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bookViews>
    <workbookView xWindow="90" yWindow="35820" windowWidth="14955" windowHeight="9060" tabRatio="787"/>
  </bookViews>
  <sheets>
    <sheet name="Notes" sheetId="15" r:id="rId1"/>
    <sheet name="Data" sheetId="19" state="hidden" r:id="rId2"/>
    <sheet name="December'19 Revenues &amp; Expenses" sheetId="3" r:id="rId3"/>
    <sheet name="December'19 AR Aging " sheetId="6" r:id="rId4"/>
    <sheet name="December'19 Financial Position" sheetId="5" r:id="rId5"/>
    <sheet name="December'19 State of Activities" sheetId="12" r:id="rId6"/>
    <sheet name="December'19 Transportation" sheetId="18" r:id="rId7"/>
    <sheet name="Transportation Projections" sheetId="23" state="hidden" r:id="rId8"/>
    <sheet name="2019 Budget" sheetId="22" state="hidden" r:id="rId9"/>
    <sheet name="2017 Medicaid Revenue" sheetId="21" state="hidden" r:id="rId10"/>
    <sheet name="Budget" sheetId="20" state="hidden" r:id="rId11"/>
    <sheet name="YE Historic Data" sheetId="17" state="hidden" r:id="rId12"/>
  </sheets>
  <definedNames>
    <definedName name="_xlnm.Print_Area" localSheetId="9">'2017 Medicaid Revenue'!$A$1:$H$69</definedName>
    <definedName name="_xlnm.Print_Area" localSheetId="10">Budget!$A$1:$G$54</definedName>
    <definedName name="_xlnm.Print_Area" localSheetId="3">'December''19 AR Aging '!$A$1:$G$117</definedName>
    <definedName name="_xlnm.Print_Area" localSheetId="4">'December''19 Financial Position'!$A$1:$L$67</definedName>
    <definedName name="_xlnm.Print_Area" localSheetId="2">'December''19 Revenues &amp; Expenses'!$A$1:$L$67</definedName>
    <definedName name="_xlnm.Print_Area" localSheetId="5">'December''19 State of Activities'!$A$1:$O$72</definedName>
    <definedName name="_xlnm.Print_Area" localSheetId="6">'December''19 Transportation'!$A$1:$P$65</definedName>
    <definedName name="_xlnm.Print_Area" localSheetId="0">Notes!$A$4:$H$111</definedName>
    <definedName name="_xlnm.Print_Area" localSheetId="7">'Transportation Projections'!$A$1:$P$53</definedName>
    <definedName name="_xlnm.Print_Area" localSheetId="11">'YE Historic Data'!$A$1:$W$41</definedName>
    <definedName name="_xlnm.Print_Titles" localSheetId="0">Notes!$1:$3</definedName>
  </definedNames>
  <calcPr calcId="152511"/>
</workbook>
</file>

<file path=xl/calcChain.xml><?xml version="1.0" encoding="utf-8"?>
<calcChain xmlns="http://schemas.openxmlformats.org/spreadsheetml/2006/main">
  <c r="M47" i="12" l="1"/>
  <c r="F110" i="15"/>
  <c r="E91" i="15"/>
  <c r="G68" i="15" l="1"/>
  <c r="G65" i="15"/>
  <c r="F45" i="15"/>
  <c r="F38" i="15"/>
  <c r="D38" i="15"/>
  <c r="N525" i="19" l="1"/>
  <c r="G572" i="19"/>
  <c r="G586" i="19" s="1"/>
  <c r="G571" i="19"/>
  <c r="E17" i="15"/>
  <c r="E16" i="15"/>
  <c r="E15" i="15"/>
  <c r="J67" i="5"/>
  <c r="B1054" i="19"/>
  <c r="B1053" i="19"/>
  <c r="J54" i="18" l="1"/>
  <c r="J50" i="18"/>
  <c r="J45" i="18"/>
  <c r="J33" i="18"/>
  <c r="J43" i="18"/>
  <c r="J40" i="18"/>
  <c r="J26" i="18"/>
  <c r="J19" i="18"/>
  <c r="O19" i="18" s="1"/>
  <c r="J14" i="18"/>
  <c r="J12" i="18"/>
  <c r="O12" i="18" s="1"/>
  <c r="M55" i="18"/>
  <c r="M50" i="18"/>
  <c r="M45" i="18"/>
  <c r="M33" i="18"/>
  <c r="M34" i="18" s="1"/>
  <c r="M24" i="18"/>
  <c r="M41" i="18" s="1"/>
  <c r="M22" i="18"/>
  <c r="M16" i="18"/>
  <c r="M15" i="18"/>
  <c r="M14" i="18"/>
  <c r="M11" i="18"/>
  <c r="M9" i="18"/>
  <c r="M65" i="18" s="1"/>
  <c r="M8" i="18"/>
  <c r="G40" i="12"/>
  <c r="G34" i="12"/>
  <c r="G24" i="12"/>
  <c r="G19" i="12"/>
  <c r="G23" i="12"/>
  <c r="J23" i="3"/>
  <c r="H23" i="3"/>
  <c r="G23" i="3" s="1"/>
  <c r="G12" i="12"/>
  <c r="J66" i="12"/>
  <c r="J65" i="12"/>
  <c r="J67" i="12" s="1"/>
  <c r="J54" i="12"/>
  <c r="J51" i="12"/>
  <c r="J48" i="12"/>
  <c r="J57" i="12" s="1"/>
  <c r="J47" i="12"/>
  <c r="J40" i="12"/>
  <c r="J35" i="12"/>
  <c r="J34" i="12"/>
  <c r="J17" i="12"/>
  <c r="J24" i="12" s="1"/>
  <c r="H50" i="5"/>
  <c r="H42" i="5"/>
  <c r="H22" i="5"/>
  <c r="H58" i="3"/>
  <c r="J57" i="3"/>
  <c r="I57" i="3"/>
  <c r="J54" i="3"/>
  <c r="J53" i="3"/>
  <c r="I44" i="3"/>
  <c r="K44" i="3" s="1"/>
  <c r="G96" i="15" s="1"/>
  <c r="F96" i="15" s="1"/>
  <c r="I38" i="3"/>
  <c r="K36" i="3"/>
  <c r="G91" i="15" s="1"/>
  <c r="I27" i="3"/>
  <c r="M25" i="18" l="1"/>
  <c r="M28" i="18" s="1"/>
  <c r="M51" i="18"/>
  <c r="J27" i="12"/>
  <c r="J29" i="12" s="1"/>
  <c r="J59" i="12" s="1"/>
  <c r="J69" i="12" s="1"/>
  <c r="J72" i="12" s="1"/>
  <c r="I16" i="3"/>
  <c r="H8" i="3"/>
  <c r="J8" i="3" s="1"/>
  <c r="C70" i="6"/>
  <c r="C117" i="6"/>
  <c r="C116" i="6"/>
  <c r="C91" i="6"/>
  <c r="C87" i="6"/>
  <c r="C86" i="6"/>
  <c r="C85" i="6"/>
  <c r="E49" i="6"/>
  <c r="D49" i="6"/>
  <c r="C68" i="6"/>
  <c r="G64" i="6"/>
  <c r="F44" i="6"/>
  <c r="C43" i="6"/>
  <c r="E32" i="6"/>
  <c r="C8" i="6"/>
  <c r="G6" i="6"/>
  <c r="M62" i="18" l="1"/>
  <c r="M59" i="18"/>
  <c r="M52" i="18"/>
  <c r="M56" i="18" s="1"/>
  <c r="O18" i="18"/>
  <c r="L13" i="5" l="1"/>
  <c r="L14" i="5"/>
  <c r="G54" i="12"/>
  <c r="L44" i="5"/>
  <c r="L50" i="5"/>
  <c r="L42" i="5"/>
  <c r="L22" i="5"/>
  <c r="J27" i="3"/>
  <c r="J15" i="3" l="1"/>
  <c r="J7" i="3"/>
  <c r="J12" i="3"/>
  <c r="E44" i="6"/>
  <c r="O12" i="23" l="1"/>
  <c r="O52" i="23"/>
  <c r="O51" i="23"/>
  <c r="O47" i="23"/>
  <c r="O46" i="23"/>
  <c r="O45" i="23"/>
  <c r="O44" i="23"/>
  <c r="O43" i="23"/>
  <c r="O42" i="23"/>
  <c r="O41" i="23"/>
  <c r="O40" i="23"/>
  <c r="O39" i="23"/>
  <c r="O38" i="23"/>
  <c r="O37" i="23"/>
  <c r="O36" i="23"/>
  <c r="O35" i="23"/>
  <c r="O34" i="23"/>
  <c r="O33" i="23"/>
  <c r="O32" i="23"/>
  <c r="O30" i="23"/>
  <c r="O29" i="23"/>
  <c r="J31" i="23"/>
  <c r="M31" i="23"/>
  <c r="M48" i="23" s="1"/>
  <c r="O48" i="23" s="1"/>
  <c r="O24" i="23"/>
  <c r="O18" i="23"/>
  <c r="O17" i="23"/>
  <c r="O16" i="23"/>
  <c r="O15" i="23"/>
  <c r="O14" i="23"/>
  <c r="O13" i="23"/>
  <c r="O10" i="23"/>
  <c r="O9" i="23"/>
  <c r="J34" i="23"/>
  <c r="M41" i="23"/>
  <c r="J41" i="23"/>
  <c r="J43" i="23"/>
  <c r="M39" i="23"/>
  <c r="J39" i="23"/>
  <c r="J35" i="23"/>
  <c r="J33" i="23"/>
  <c r="M30" i="23"/>
  <c r="O31" i="23" l="1"/>
  <c r="J29" i="23" l="1"/>
  <c r="J46" i="23" l="1"/>
  <c r="J44" i="23"/>
  <c r="M43" i="23"/>
  <c r="M37" i="23" l="1"/>
  <c r="J37" i="23"/>
  <c r="J51" i="23" l="1"/>
  <c r="P24" i="23"/>
  <c r="P16" i="23"/>
  <c r="P14" i="23"/>
  <c r="J12" i="23"/>
  <c r="P12" i="23" s="1"/>
  <c r="K52" i="23"/>
  <c r="K47" i="23"/>
  <c r="P47" i="23"/>
  <c r="P46" i="23"/>
  <c r="P44" i="23"/>
  <c r="P43" i="23"/>
  <c r="P42" i="23"/>
  <c r="K42" i="23"/>
  <c r="P41" i="23"/>
  <c r="J40" i="23"/>
  <c r="P39" i="23"/>
  <c r="M52" i="23"/>
  <c r="J52" i="23"/>
  <c r="P36" i="23"/>
  <c r="P35" i="23"/>
  <c r="P34" i="23"/>
  <c r="P33" i="23"/>
  <c r="K31" i="23"/>
  <c r="K30" i="23"/>
  <c r="P29" i="23"/>
  <c r="O23" i="23"/>
  <c r="P23" i="23" s="1"/>
  <c r="M38" i="23"/>
  <c r="K21" i="23"/>
  <c r="K38" i="23" s="1"/>
  <c r="J38" i="23"/>
  <c r="O20" i="23"/>
  <c r="M19" i="23"/>
  <c r="O19" i="23" s="1"/>
  <c r="O22" i="23" s="1"/>
  <c r="K19" i="23"/>
  <c r="P18" i="23"/>
  <c r="P17" i="23"/>
  <c r="P15" i="23"/>
  <c r="K14" i="23"/>
  <c r="K13" i="23"/>
  <c r="K12" i="23"/>
  <c r="P10" i="23"/>
  <c r="K10" i="23"/>
  <c r="K9" i="23"/>
  <c r="K8" i="23"/>
  <c r="G44" i="15"/>
  <c r="E35" i="15"/>
  <c r="P38" i="23" l="1"/>
  <c r="P31" i="23"/>
  <c r="P37" i="23"/>
  <c r="P40" i="23"/>
  <c r="J22" i="23"/>
  <c r="J25" i="23" s="1"/>
  <c r="K48" i="23"/>
  <c r="K22" i="23"/>
  <c r="K25" i="23" s="1"/>
  <c r="K49" i="23" s="1"/>
  <c r="K53" i="23" s="1"/>
  <c r="P13" i="23"/>
  <c r="P30" i="23"/>
  <c r="J48" i="23"/>
  <c r="M22" i="23"/>
  <c r="M25" i="23" s="1"/>
  <c r="O21" i="23"/>
  <c r="O25" i="23" l="1"/>
  <c r="P25" i="23" s="1"/>
  <c r="J49" i="23"/>
  <c r="M49" i="23"/>
  <c r="M53" i="23" s="1"/>
  <c r="P9" i="23"/>
  <c r="P22" i="23"/>
  <c r="P48" i="23"/>
  <c r="O49" i="23" l="1"/>
  <c r="P49" i="23"/>
  <c r="J53" i="23"/>
  <c r="O53" i="23" s="1"/>
  <c r="J15" i="18" l="1"/>
  <c r="K38" i="3"/>
  <c r="G90" i="15" s="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G65" i="12" l="1"/>
  <c r="G66" i="12"/>
  <c r="L12" i="12" l="1"/>
  <c r="K59" i="3"/>
  <c r="K62" i="3"/>
  <c r="E51" i="6" l="1"/>
  <c r="D51" i="6"/>
  <c r="G583" i="19" l="1"/>
  <c r="G584" i="19" l="1"/>
  <c r="G588" i="19" s="1"/>
  <c r="G591" i="19" s="1"/>
  <c r="A3" i="18" l="1"/>
  <c r="O10" i="18"/>
  <c r="O23" i="18"/>
  <c r="O21" i="18"/>
  <c r="O20" i="18"/>
  <c r="I40" i="3"/>
  <c r="K40" i="3" s="1"/>
  <c r="K57" i="3" l="1"/>
  <c r="G42" i="6" l="1"/>
  <c r="F105" i="15" l="1"/>
  <c r="F104" i="15"/>
  <c r="G94" i="15"/>
  <c r="F94" i="15" s="1"/>
  <c r="O11" i="18" l="1"/>
  <c r="K50" i="18" l="1"/>
  <c r="K45" i="18"/>
  <c r="K33" i="18"/>
  <c r="K34" i="18" s="1"/>
  <c r="K11" i="18"/>
  <c r="O43" i="18" l="1"/>
  <c r="P43" i="18" s="1"/>
  <c r="O40" i="18"/>
  <c r="P40" i="18" s="1"/>
  <c r="O54" i="18"/>
  <c r="O50" i="18"/>
  <c r="P50" i="18" s="1"/>
  <c r="O49" i="18"/>
  <c r="P49" i="18" s="1"/>
  <c r="O48" i="18"/>
  <c r="O47" i="18"/>
  <c r="P47" i="18" s="1"/>
  <c r="O42" i="18"/>
  <c r="P42" i="18" s="1"/>
  <c r="O39" i="18"/>
  <c r="P39" i="18" s="1"/>
  <c r="O38" i="18"/>
  <c r="P38" i="18" s="1"/>
  <c r="O37" i="18"/>
  <c r="P37" i="18" s="1"/>
  <c r="O36" i="18"/>
  <c r="P36" i="18" s="1"/>
  <c r="O35" i="18"/>
  <c r="O33" i="18"/>
  <c r="P33" i="18" s="1"/>
  <c r="O32" i="18"/>
  <c r="P32" i="18" s="1"/>
  <c r="O27" i="18"/>
  <c r="P27" i="18" s="1"/>
  <c r="O14" i="18"/>
  <c r="P14" i="18" s="1"/>
  <c r="P11" i="18"/>
  <c r="K14" i="18"/>
  <c r="J17" i="18"/>
  <c r="O17" i="18" s="1"/>
  <c r="P17" i="18" s="1"/>
  <c r="O15" i="18"/>
  <c r="P15" i="18" s="1"/>
  <c r="M63" i="12"/>
  <c r="L51" i="12"/>
  <c r="M51" i="12" s="1"/>
  <c r="L48" i="12"/>
  <c r="M48" i="12" s="1"/>
  <c r="L63" i="12"/>
  <c r="L55" i="12"/>
  <c r="L54" i="12"/>
  <c r="M54" i="12" s="1"/>
  <c r="L53" i="12"/>
  <c r="M53" i="12" s="1"/>
  <c r="L52" i="12"/>
  <c r="M52" i="12" s="1"/>
  <c r="L50" i="12"/>
  <c r="M50" i="12" s="1"/>
  <c r="L49" i="12"/>
  <c r="M49" i="12" s="1"/>
  <c r="L47" i="12"/>
  <c r="L46" i="12"/>
  <c r="M46" i="12" s="1"/>
  <c r="L45" i="12"/>
  <c r="M45" i="12" s="1"/>
  <c r="L44" i="12"/>
  <c r="L43" i="12"/>
  <c r="M43" i="12" s="1"/>
  <c r="L42" i="12"/>
  <c r="M42" i="12" s="1"/>
  <c r="L41" i="12"/>
  <c r="M41" i="12" s="1"/>
  <c r="L40" i="12"/>
  <c r="M40" i="12" s="1"/>
  <c r="L39" i="12"/>
  <c r="M39" i="12" s="1"/>
  <c r="L38" i="12"/>
  <c r="M38" i="12" s="1"/>
  <c r="L37" i="12"/>
  <c r="M37" i="12" s="1"/>
  <c r="L36" i="12"/>
  <c r="M36" i="12" s="1"/>
  <c r="L33" i="12"/>
  <c r="M33" i="12" s="1"/>
  <c r="L32" i="12"/>
  <c r="M32" i="12" s="1"/>
  <c r="L28" i="12"/>
  <c r="M28" i="12" s="1"/>
  <c r="L25" i="12"/>
  <c r="L24" i="12"/>
  <c r="M24" i="12" s="1"/>
  <c r="L23" i="12"/>
  <c r="M23" i="12" s="1"/>
  <c r="L22" i="12"/>
  <c r="M22" i="12" s="1"/>
  <c r="L21" i="12"/>
  <c r="M21" i="12" s="1"/>
  <c r="L20" i="12"/>
  <c r="M20" i="12" s="1"/>
  <c r="L19" i="12"/>
  <c r="M19" i="12" s="1"/>
  <c r="L17" i="12"/>
  <c r="L16" i="12"/>
  <c r="M16" i="12" s="1"/>
  <c r="L15" i="12"/>
  <c r="M15" i="12" s="1"/>
  <c r="L14" i="12"/>
  <c r="L13" i="12"/>
  <c r="M13" i="12" s="1"/>
  <c r="L11" i="12"/>
  <c r="M11" i="12" s="1"/>
  <c r="L10" i="12"/>
  <c r="M10" i="12" s="1"/>
  <c r="L9" i="12"/>
  <c r="M9" i="12" s="1"/>
  <c r="H65" i="12"/>
  <c r="H66" i="12"/>
  <c r="H54" i="12"/>
  <c r="H51" i="12"/>
  <c r="H48" i="12"/>
  <c r="H47" i="12"/>
  <c r="H40" i="12"/>
  <c r="H34" i="12"/>
  <c r="H17" i="12"/>
  <c r="H24" i="12" s="1"/>
  <c r="H59" i="5"/>
  <c r="H67" i="12" l="1"/>
  <c r="O26" i="18"/>
  <c r="P26" i="18" s="1"/>
  <c r="O46" i="18"/>
  <c r="P46" i="18" s="1"/>
  <c r="O45" i="18"/>
  <c r="P45" i="18" s="1"/>
  <c r="O44" i="18"/>
  <c r="P44" i="18" s="1"/>
  <c r="I35" i="3"/>
  <c r="K35" i="3" s="1"/>
  <c r="L59" i="5" l="1"/>
  <c r="J59" i="5"/>
  <c r="J50" i="5"/>
  <c r="J42" i="5"/>
  <c r="J22" i="5"/>
  <c r="G66" i="6" l="1"/>
  <c r="H57" i="3" l="1"/>
  <c r="H65" i="3" s="1"/>
  <c r="G40" i="6"/>
  <c r="G41" i="6"/>
  <c r="A4" i="18" l="1"/>
  <c r="K54" i="3"/>
  <c r="F16" i="3" l="1"/>
  <c r="J16" i="3" s="1"/>
  <c r="G51" i="22" l="1"/>
  <c r="G47" i="22"/>
  <c r="G46" i="22"/>
  <c r="G28" i="22"/>
  <c r="G13" i="22"/>
  <c r="G20" i="22"/>
  <c r="G34" i="22" l="1"/>
  <c r="G53" i="22" l="1"/>
  <c r="G55" i="22" s="1"/>
  <c r="L31" i="5" l="1"/>
  <c r="C118" i="6" l="1"/>
  <c r="G45" i="15" l="1"/>
  <c r="H44" i="15" l="1"/>
  <c r="H42" i="15"/>
  <c r="H39" i="15"/>
  <c r="H35" i="15"/>
  <c r="H43" i="15"/>
  <c r="H41" i="15"/>
  <c r="H38" i="15"/>
  <c r="H36" i="15"/>
  <c r="L65" i="12"/>
  <c r="M65" i="12" s="1"/>
  <c r="O34" i="18" l="1"/>
  <c r="P34" i="18" s="1"/>
  <c r="G74" i="15" l="1"/>
  <c r="D14" i="6" l="1"/>
  <c r="D45" i="15" l="1"/>
  <c r="J24" i="18" l="1"/>
  <c r="K24" i="18"/>
  <c r="K41" i="18" s="1"/>
  <c r="K22" i="18"/>
  <c r="K9" i="18"/>
  <c r="K65" i="18" s="1"/>
  <c r="K16" i="18"/>
  <c r="K15" i="18"/>
  <c r="K8" i="18"/>
  <c r="K51" i="18" l="1"/>
  <c r="K55" i="18"/>
  <c r="J41" i="18"/>
  <c r="J51" i="18" s="1"/>
  <c r="K25" i="18"/>
  <c r="K59" i="18" l="1"/>
  <c r="K62" i="18"/>
  <c r="L8" i="5"/>
  <c r="K53" i="3"/>
  <c r="L53" i="3" s="1"/>
  <c r="D44" i="6" l="1"/>
  <c r="G13" i="6"/>
  <c r="H12" i="3" s="1"/>
  <c r="G12" i="3" s="1"/>
  <c r="A3" i="21" l="1"/>
  <c r="H45" i="15" l="1"/>
  <c r="L54" i="3"/>
  <c r="F54" i="3"/>
  <c r="I34" i="3"/>
  <c r="K34"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E80" i="15" l="1"/>
  <c r="K58" i="3" l="1"/>
  <c r="K28" i="3" l="1"/>
  <c r="D32" i="6"/>
  <c r="J22" i="18" l="1"/>
  <c r="O22" i="18" s="1"/>
  <c r="K60" i="3" l="1"/>
  <c r="L26" i="12" l="1"/>
  <c r="M26" i="12" s="1"/>
  <c r="G8" i="12"/>
  <c r="E81" i="15" l="1"/>
  <c r="L34" i="12" l="1"/>
  <c r="M34" i="12" s="1"/>
  <c r="B323" i="19"/>
  <c r="K28" i="18" l="1"/>
  <c r="K52" i="18" s="1"/>
  <c r="K56" i="18" s="1"/>
  <c r="O24" i="18"/>
  <c r="J9" i="18" l="1"/>
  <c r="J65" i="18" s="1"/>
  <c r="J8" i="18"/>
  <c r="J55" i="18"/>
  <c r="O55" i="18" s="1"/>
  <c r="O9" i="18" l="1"/>
  <c r="P9" i="18" s="1"/>
  <c r="O41" i="18"/>
  <c r="P41" i="18" s="1"/>
  <c r="J59" i="18" l="1"/>
  <c r="O51" i="18"/>
  <c r="P51" i="18" s="1"/>
  <c r="J62" i="18"/>
  <c r="J8" i="12"/>
  <c r="L64" i="12" l="1"/>
  <c r="M64" i="12" s="1"/>
  <c r="G35" i="12"/>
  <c r="L35" i="12" s="1"/>
  <c r="M35" i="12" s="1"/>
  <c r="G18" i="12"/>
  <c r="L18" i="12" s="1"/>
  <c r="M18" i="12" s="1"/>
  <c r="H35" i="12"/>
  <c r="G57" i="12" l="1"/>
  <c r="G27" i="12"/>
  <c r="J16" i="18"/>
  <c r="O16" i="18" s="1"/>
  <c r="P16" i="18" s="1"/>
  <c r="H27" i="12"/>
  <c r="H29" i="12" s="1"/>
  <c r="K61" i="3"/>
  <c r="K65" i="3" s="1"/>
  <c r="G93" i="15"/>
  <c r="F93" i="15" s="1"/>
  <c r="I43" i="3"/>
  <c r="O25" i="18" l="1"/>
  <c r="P25" i="18" s="1"/>
  <c r="J25" i="18"/>
  <c r="J28" i="18" s="1"/>
  <c r="O28" i="18" l="1"/>
  <c r="P28" i="18" s="1"/>
  <c r="J52" i="18"/>
  <c r="O52" i="18" s="1"/>
  <c r="P52" i="18" s="1"/>
  <c r="J56" i="18" l="1"/>
  <c r="O56" i="18" s="1"/>
  <c r="G14" i="20"/>
  <c r="G46" i="20"/>
  <c r="G49" i="20"/>
  <c r="G48" i="20"/>
  <c r="G43" i="20"/>
  <c r="G41" i="20"/>
  <c r="G40" i="20"/>
  <c r="G28" i="20"/>
  <c r="G29" i="20" s="1"/>
  <c r="G24" i="20"/>
  <c r="G19" i="20"/>
  <c r="G31" i="20"/>
  <c r="G30" i="20"/>
  <c r="F109"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68" i="6"/>
  <c r="H21" i="3" l="1"/>
  <c r="D100" i="15"/>
  <c r="E100" i="15"/>
  <c r="G98" i="15"/>
  <c r="F98" i="15" s="1"/>
  <c r="F108" i="15"/>
  <c r="J21" i="3" l="1"/>
  <c r="G21" i="3"/>
  <c r="G58" i="6"/>
  <c r="C51" i="6"/>
  <c r="C44" i="6"/>
  <c r="G17" i="6"/>
  <c r="G18" i="6" l="1"/>
  <c r="F107" i="15"/>
  <c r="F106" i="15"/>
  <c r="D111" i="15"/>
  <c r="G110" i="15"/>
  <c r="G109" i="15"/>
  <c r="G108" i="15"/>
  <c r="H57" i="12" l="1"/>
  <c r="G105" i="15"/>
  <c r="E106" i="15" l="1"/>
  <c r="F111" i="15"/>
  <c r="G104" i="15"/>
  <c r="G106" i="15" l="1"/>
  <c r="G62" i="6" l="1"/>
  <c r="H25" i="3" s="1"/>
  <c r="I25" i="3" s="1"/>
  <c r="G25" i="3" l="1"/>
  <c r="J25" i="3"/>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4" i="5" l="1"/>
  <c r="L47" i="5"/>
  <c r="L56" i="5" s="1"/>
  <c r="L16" i="5"/>
  <c r="F91" i="15"/>
  <c r="G43" i="6" l="1"/>
  <c r="E14" i="15" l="1"/>
  <c r="J69" i="3"/>
  <c r="G48" i="6" l="1"/>
  <c r="G69" i="3" l="1"/>
  <c r="L23" i="5" l="1"/>
  <c r="L25" i="5" s="1"/>
  <c r="J54" i="5"/>
  <c r="H54" i="5"/>
  <c r="J16" i="5"/>
  <c r="H16" i="5"/>
  <c r="L67" i="5" l="1"/>
  <c r="L35" i="5"/>
  <c r="D192" i="6" l="1"/>
  <c r="D193" i="6"/>
  <c r="D194" i="6"/>
  <c r="L66" i="12" l="1"/>
  <c r="M66" i="12" s="1"/>
  <c r="F192" i="6" l="1"/>
  <c r="G31" i="6" l="1"/>
  <c r="G60" i="6"/>
  <c r="G51" i="6"/>
  <c r="G68" i="6" s="1"/>
  <c r="G50" i="6"/>
  <c r="H27" i="3" l="1"/>
  <c r="G27" i="3" s="1"/>
  <c r="H15" i="3"/>
  <c r="G15" i="3" s="1"/>
  <c r="F43" i="3"/>
  <c r="F45" i="3" s="1"/>
  <c r="N196" i="6" l="1"/>
  <c r="M196" i="6"/>
  <c r="L196" i="6"/>
  <c r="K196" i="6"/>
  <c r="J196" i="6"/>
  <c r="I196" i="6"/>
  <c r="H196" i="6"/>
  <c r="G196" i="6"/>
  <c r="C56" i="6" l="1"/>
  <c r="F27" i="6"/>
  <c r="F68" i="6" s="1"/>
  <c r="C32" i="6"/>
  <c r="C195" i="6" l="1"/>
  <c r="G54" i="6" l="1"/>
  <c r="G55" i="6"/>
  <c r="G56" i="6" l="1"/>
  <c r="G24" i="3" l="1"/>
  <c r="G20" i="6"/>
  <c r="C14" i="6"/>
  <c r="G12" i="6"/>
  <c r="L27" i="12" l="1"/>
  <c r="M27" i="12" s="1"/>
  <c r="L29" i="12" l="1"/>
  <c r="M29" i="12" l="1"/>
  <c r="L57" i="12"/>
  <c r="M57" i="12" s="1"/>
  <c r="L61" i="5"/>
  <c r="I33" i="3" l="1"/>
  <c r="K33" i="3" s="1"/>
  <c r="I69" i="3" l="1"/>
  <c r="G29" i="12" l="1"/>
  <c r="G59" i="12" l="1"/>
  <c r="H61" i="5" s="1"/>
  <c r="H59" i="12"/>
  <c r="J43" i="3"/>
  <c r="H69" i="12" l="1"/>
  <c r="H72" i="12" s="1"/>
  <c r="L62" i="5"/>
  <c r="J76" i="12" s="1"/>
  <c r="L59" i="12"/>
  <c r="M59" i="12" s="1"/>
  <c r="G71" i="12" l="1"/>
  <c r="H76" i="12"/>
  <c r="L64" i="5"/>
  <c r="L70" i="5" s="1"/>
  <c r="C193" i="6" l="1"/>
  <c r="G39" i="6"/>
  <c r="G32" i="6"/>
  <c r="G11" i="6"/>
  <c r="H16" i="3" l="1"/>
  <c r="G16" i="3" s="1"/>
  <c r="E12" i="15"/>
  <c r="H69" i="3"/>
  <c r="K69" i="3" s="1"/>
  <c r="D196" i="6"/>
  <c r="G14" i="6"/>
  <c r="E13" i="15" s="1"/>
  <c r="G27" i="6"/>
  <c r="G44" i="6"/>
  <c r="F196" i="6" l="1"/>
  <c r="J23" i="5" l="1"/>
  <c r="J25" i="5" s="1"/>
  <c r="J35" i="5" s="1"/>
  <c r="M65" i="3"/>
  <c r="I65" i="3"/>
  <c r="J65" i="3"/>
  <c r="G65" i="3"/>
  <c r="F65" i="3"/>
  <c r="L62" i="3"/>
  <c r="L60" i="3"/>
  <c r="L59" i="3"/>
  <c r="G45" i="3"/>
  <c r="J45" i="3"/>
  <c r="L67" i="3" s="1"/>
  <c r="J47" i="5" l="1"/>
  <c r="J56" i="5" s="1"/>
  <c r="L61" i="3" l="1"/>
  <c r="L65" i="3" l="1"/>
  <c r="G67" i="12"/>
  <c r="E107" i="15"/>
  <c r="J62" i="5" l="1"/>
  <c r="J64" i="5" s="1"/>
  <c r="J70" i="5" s="1"/>
  <c r="H60" i="5"/>
  <c r="H62" i="5" s="1"/>
  <c r="G69" i="12"/>
  <c r="G72" i="12" s="1"/>
  <c r="L67" i="12"/>
  <c r="M67" i="12" s="1"/>
  <c r="E111" i="15"/>
  <c r="G107" i="15"/>
  <c r="G111" i="15" s="1"/>
  <c r="L69" i="12" l="1"/>
  <c r="E68" i="6"/>
  <c r="G7" i="6"/>
  <c r="H7" i="3" s="1"/>
  <c r="G7" i="3" s="1"/>
  <c r="C194" i="6" l="1"/>
  <c r="G8" i="6"/>
  <c r="G70" i="6" l="1"/>
  <c r="D70" i="6"/>
  <c r="F70" i="6"/>
  <c r="E70" i="6"/>
  <c r="I28" i="3"/>
  <c r="H28" i="3"/>
  <c r="J73" i="3" s="1"/>
  <c r="G9" i="3"/>
  <c r="G28" i="3" s="1"/>
  <c r="E11" i="15"/>
  <c r="E18" i="15" s="1"/>
  <c r="C192" i="6"/>
  <c r="C196" i="6" s="1"/>
  <c r="J28" i="3" l="1"/>
  <c r="F17" i="15"/>
  <c r="F15" i="15"/>
  <c r="F14" i="15"/>
  <c r="F13" i="15"/>
  <c r="F12" i="15"/>
  <c r="F11" i="15"/>
  <c r="F16" i="15"/>
  <c r="C93" i="6"/>
  <c r="H19" i="5"/>
  <c r="H23" i="5" s="1"/>
  <c r="H25" i="5" s="1"/>
  <c r="H35" i="5" s="1"/>
  <c r="J74" i="3"/>
  <c r="J75" i="3" s="1"/>
  <c r="I37" i="3"/>
  <c r="K37" i="3" s="1"/>
  <c r="F18" i="15" l="1"/>
  <c r="H45" i="3"/>
  <c r="I45" i="3" l="1"/>
  <c r="K45" i="3" l="1"/>
  <c r="L45" i="3" s="1"/>
  <c r="G100" i="15" l="1"/>
  <c r="F90" i="15"/>
  <c r="F100" i="15" s="1"/>
  <c r="H46" i="5"/>
  <c r="H47" i="5" s="1"/>
  <c r="H56" i="5" s="1"/>
  <c r="H67" i="5" s="1"/>
  <c r="H64" i="5" l="1"/>
  <c r="H70" i="5" s="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K23" authorId="0" shapeId="0">
      <text>
        <r>
          <rPr>
            <b/>
            <sz val="9"/>
            <color indexed="81"/>
            <rFont val="Tahoma"/>
            <family val="2"/>
          </rPr>
          <t>John Ray:</t>
        </r>
        <r>
          <rPr>
            <sz val="9"/>
            <color indexed="81"/>
            <rFont val="Tahoma"/>
            <family val="2"/>
          </rPr>
          <t xml:space="preserve">
Gain from Philly Ins Claim, see Dec 18th</t>
        </r>
      </text>
    </comment>
    <comment ref="M23"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3.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4.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<sst xmlns="http://schemas.openxmlformats.org/spreadsheetml/2006/main" count="803" uniqueCount="536">
  <si>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</si>
  <si>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</si>
  <si>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</si>
  <si>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</si>
  <si>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</si>
  <si>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</si>
  <si>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</si>
  <si>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</si>
  <si>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</si>
  <si>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</si>
  <si>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</si>
  <si>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</si>
  <si>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</si>
  <si>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</si>
  <si>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</si>
  <si>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</si>
  <si>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</si>
  <si>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</si>
  <si>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</si>
  <si>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</si>
  <si>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</si>
  <si>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</si>
  <si>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</si>
  <si>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</si>
  <si>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</si>
  <si>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</si>
  <si>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</si>
  <si>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</si>
  <si>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</si>
  <si>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</si>
  <si>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</si>
  <si>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</si>
  <si>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</si>
  <si>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</si>
  <si>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</si>
  <si>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</si>
  <si>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</si>
  <si>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</si>
  <si>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</si>
  <si>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</si>
  <si>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</si>
  <si>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</si>
  <si>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</si>
  <si>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</si>
  <si>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</si>
  <si>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</si>
  <si>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</si>
  <si>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</si>
  <si>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</si>
  <si>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</si>
  <si>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</si>
  <si>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</si>
  <si>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</si>
  <si>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</si>
  <si>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</si>
  <si>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</si>
  <si>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</si>
  <si>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</si>
  <si>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</si>
  <si>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</si>
  <si>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</si>
  <si>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</si>
  <si>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</si>
  <si>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</si>
  <si>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</si>
  <si>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</si>
  <si>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</si>
  <si>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</si>
  <si>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</si>
  <si>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</si>
  <si>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</si>
  <si>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</si>
  <si>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</si>
  <si>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</si>
  <si>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</si>
  <si>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</si>
  <si>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</si>
  <si>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</si>
  <si>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</si>
  <si>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</si>
  <si>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</si>
  <si>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</si>
  <si>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</si>
  <si>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</si>
  <si>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</si>
  <si>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</si>
  <si>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</si>
  <si>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</si>
  <si>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</si>
  <si>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</si>
  <si>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</si>
  <si>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</si>
  <si>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</si>
  <si>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</si>
  <si>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</si>
  <si>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</si>
  <si>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</si>
  <si>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</si>
  <si>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</si>
  <si>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</si>
  <si>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</si>
  <si>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</si>
  <si>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</si>
  <si>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</si>
  <si>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</si>
  <si>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</si>
  <si>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</si>
  <si>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</si>
  <si>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</si>
  <si>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</si>
  <si>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</si>
  <si>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</si>
  <si>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</si>
  <si>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</si>
  <si>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</si>
  <si>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</si>
  <si>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</si>
  <si>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</si>
  <si>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</si>
  <si>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</si>
  <si>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</si>
  <si>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</si>
  <si>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</si>
  <si>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</si>
  <si>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</si>
  <si>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</si>
  <si>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</si>
  <si>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</si>
  <si>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</si>
  <si>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</si>
  <si>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</si>
  <si>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</si>
  <si>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</si>
  <si>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</si>
  <si>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</si>
  <si>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</si>
  <si>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</si>
  <si>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</si>
  <si>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</si>
  <si>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</si>
  <si>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</si>
  <si>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</si>
  <si>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</si>
  <si>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</si>
  <si>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</si>
  <si>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</si>
  <si>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</si>
  <si>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</si>
  <si>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</si>
  <si>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</si>
  <si>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</si>
  <si>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</si>
  <si>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</si>
  <si>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</si>
  <si>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</si>
  <si>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</si>
  <si>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</si>
  <si>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</si>
  <si>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</si>
  <si>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</si>
  <si>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</si>
  <si>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</si>
  <si>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</si>
  <si>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</si>
  <si>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</si>
  <si>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</si>
  <si>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</si>
  <si>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C-029670</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</si>
  <si>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</si>
  <si>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</si>
  <si>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</si>
  <si>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</si>
  <si>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</si>
  <si>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</si>
  <si>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</si>
  <si>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</si>
  <si>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</si>
  <si>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</si>
  <si>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</si>
  <si>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</si>
  <si>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</si>
  <si>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</si>
  <si>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</si>
  <si>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</si>
  <si>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</si>
  <si>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</si>
  <si>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</si>
  <si>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</si>
  <si>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</si>
  <si>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</si>
  <si>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</si>
  <si>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</si>
  <si>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</si>
  <si>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</si>
  <si>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</si>
  <si>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</si>
  <si>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</si>
  <si>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</si>
  <si>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</si>
  <si>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</si>
  <si>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</si>
  <si>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</si>
  <si>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</si>
  <si>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</si>
  <si>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</si>
  <si>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</si>
  <si>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</si>
  <si>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</si>
  <si>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</si>
  <si>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</si>
  <si>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Ancram/Copake Prescription Access (2016)</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</si>
  <si>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</si>
  <si>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</si>
  <si>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</si>
  <si>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</si>
  <si>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</si>
  <si>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</si>
  <si>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</si>
  <si>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</si>
  <si>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</si>
  <si>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</si>
  <si>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</si>
  <si>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</si>
  <si>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</si>
  <si>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</si>
  <si>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</si>
  <si>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</si>
  <si>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</si>
  <si>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</si>
  <si>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</si>
  <si>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</si>
  <si>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</si>
  <si>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</si>
  <si>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</si>
  <si>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</si>
  <si>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</si>
  <si>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</si>
  <si>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</si>
  <si>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</si>
  <si>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</si>
  <si>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</si>
  <si>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</si>
  <si>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</si>
  <si>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</si>
  <si>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</si>
  <si>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</si>
  <si>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</si>
  <si>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NYS Grant Advances</t>
  </si>
  <si>
    <t>Tobacco Free Program</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</si>
  <si>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</si>
  <si>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</si>
  <si>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</si>
  <si>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</si>
  <si>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</si>
  <si>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</si>
  <si>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</si>
  <si>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</si>
  <si>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</si>
  <si>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</si>
  <si>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</si>
  <si>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</si>
  <si>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</si>
  <si>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</si>
  <si>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</si>
  <si>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</si>
  <si>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</si>
  <si>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</si>
  <si>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</si>
  <si>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</si>
  <si>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</si>
  <si>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Tobacco Free Communities Grant - COLA</t>
  </si>
  <si>
    <t>Totals</t>
  </si>
  <si>
    <t>Ten Months Ended October 31, 2016 and 2015</t>
  </si>
  <si>
    <t>Albany Medical Center</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</si>
  <si>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</si>
  <si>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</si>
  <si>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</si>
  <si>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</si>
  <si>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</si>
  <si>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</si>
  <si>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</si>
  <si>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</si>
  <si>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</si>
  <si>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</si>
  <si>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</si>
  <si>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</si>
  <si>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</si>
  <si>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</si>
  <si>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</si>
  <si>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</si>
  <si>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</si>
  <si>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</si>
  <si>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</si>
  <si>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</si>
  <si>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</si>
  <si>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</si>
  <si>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</si>
  <si>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</si>
  <si>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</si>
  <si>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</si>
  <si>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</si>
  <si>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</si>
  <si>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</si>
  <si>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</si>
  <si>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</si>
  <si>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</si>
  <si>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</si>
  <si>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</si>
  <si>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</si>
  <si>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</si>
  <si>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</si>
  <si>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</si>
  <si>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</si>
  <si>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</si>
  <si>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</si>
  <si>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</si>
  <si>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</si>
  <si>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</si>
  <si>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</si>
  <si>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</si>
  <si>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</si>
  <si>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</si>
  <si>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</si>
  <si>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</si>
  <si>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</si>
  <si>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</si>
  <si>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</si>
  <si>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</si>
  <si>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</si>
  <si>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Tobacco Free Communities Grant - Yr#5 of 5</t>
  </si>
  <si>
    <t>Miscellaneous</t>
  </si>
  <si>
    <t>Vehicle mileage for period</t>
  </si>
  <si>
    <t>Number of Rides for period</t>
  </si>
  <si>
    <t>Number of Medicaid Rides for Period</t>
  </si>
  <si>
    <t>Recoup 2% of Medicaid Claims from 2015 Yr</t>
  </si>
  <si>
    <t>NYSDOH 07/18 to 06/19</t>
  </si>
  <si>
    <t>HRI Clinical Services 07/18 to 09/18</t>
  </si>
  <si>
    <t>Transportation Scheduling Software-RoutingBox</t>
  </si>
  <si>
    <t>Cost per mile (w/o depreciation&amp;rent)</t>
  </si>
  <si>
    <t>Research Foundation SUNY - Women's Project</t>
  </si>
  <si>
    <t>Transportation Services (2019)</t>
  </si>
  <si>
    <r>
      <t xml:space="preserve">Greene County DSS </t>
    </r>
    <r>
      <rPr>
        <sz val="10"/>
        <color theme="1"/>
        <rFont val="Arial"/>
        <family val="2"/>
      </rPr>
      <t>(HEAP Program )</t>
    </r>
  </si>
  <si>
    <t>For the Year Ended December 31, 2019</t>
  </si>
  <si>
    <t>Grants - Federal (5310 Funding)</t>
  </si>
  <si>
    <t>Columbia County BOS</t>
  </si>
  <si>
    <t>Unrealized Gain on Investments</t>
  </si>
  <si>
    <t>Community Cancer Funds</t>
  </si>
  <si>
    <t>Gain on Sale of Vehicle</t>
  </si>
  <si>
    <t>The Research Foundation - SUNY (Women's Project)</t>
  </si>
  <si>
    <t>Senior Transportation Services - 2019</t>
  </si>
  <si>
    <t>County Government - 2019</t>
  </si>
  <si>
    <t>County Departments - 2019</t>
  </si>
  <si>
    <t>Columbia County BOS 2019 Budget Appropriation</t>
  </si>
  <si>
    <t>Columbia County Departments 2019 Donations (CARTS)</t>
  </si>
  <si>
    <t>Legal</t>
  </si>
  <si>
    <t>Federal</t>
  </si>
  <si>
    <t>Total Fixed Assets-Net</t>
  </si>
  <si>
    <t>Rural Health Network Program- Yr#1of 5</t>
  </si>
  <si>
    <t>NYSDOH 01/19 to 12/19 (Quarterly Voucher)</t>
  </si>
  <si>
    <t>Columbia County Dept. of Human Services (Qrtly)</t>
  </si>
  <si>
    <t>In Person Assistors &amp; Navigators- Yr#1 of 5</t>
  </si>
  <si>
    <t>Balance as of 01/01/2019</t>
  </si>
  <si>
    <t>Without Donor Restrictions</t>
  </si>
  <si>
    <t>With Donor Restrictions</t>
  </si>
  <si>
    <t>General Operating Support (12-Months)</t>
  </si>
  <si>
    <t>Prescription Access (30-Months)</t>
  </si>
  <si>
    <t>Medicare Improvements for Patients &amp; Providers (MIPPA)</t>
  </si>
  <si>
    <t>With Donor Restrictions Net Assets</t>
  </si>
  <si>
    <t>Statement of Activities</t>
  </si>
  <si>
    <t xml:space="preserve">Change in With Donor Restrictions </t>
  </si>
  <si>
    <t>Changes in With Donor Restrictions - Net Assets</t>
  </si>
  <si>
    <t>CSP Program stopped as of Sept'18</t>
  </si>
  <si>
    <t>Columbia Memorial Hospital</t>
  </si>
  <si>
    <t>Misc. Revenue</t>
  </si>
  <si>
    <t>Beginning Balance at 01/01/2019</t>
  </si>
  <si>
    <t>2019 Operating Support</t>
  </si>
  <si>
    <t>Circulation</t>
  </si>
  <si>
    <t>Columbia Memorial Hospital-Comm Health Plan</t>
  </si>
  <si>
    <t>NY Connects E&amp;EP         04/19 to 03/20</t>
  </si>
  <si>
    <t>Columbia Memorial Hospital - Transportation (Qrtly)</t>
  </si>
  <si>
    <t>Tobacco Free Communities Grant - Yr#1 of 5</t>
  </si>
  <si>
    <t>C34801GG</t>
  </si>
  <si>
    <t>C34154GG</t>
  </si>
  <si>
    <r>
      <t xml:space="preserve">In Person Assisitors &amp; Navigators </t>
    </r>
    <r>
      <rPr>
        <sz val="10"/>
        <color theme="1"/>
        <rFont val="Arial"/>
        <family val="2"/>
      </rPr>
      <t>(7 Mth Extension)</t>
    </r>
  </si>
  <si>
    <r>
      <t xml:space="preserve">In Person Assisitors &amp; Navigators </t>
    </r>
    <r>
      <rPr>
        <sz val="10"/>
        <color theme="1"/>
        <rFont val="Arial"/>
        <family val="2"/>
      </rPr>
      <t>(3 Mth Extension)</t>
    </r>
  </si>
  <si>
    <t>Collaborative Community Health Planning Jan'19-Dec'19</t>
  </si>
  <si>
    <t>Total Donor Restrictions</t>
  </si>
  <si>
    <t>Gain (Loss) on Sale of Vehicle</t>
  </si>
  <si>
    <t>Auctions International</t>
  </si>
  <si>
    <t>2012 Chevy Impala</t>
  </si>
  <si>
    <t>OFA: NY Connects</t>
  </si>
  <si>
    <t>Dell Latitude Laptop</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</si>
  <si>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</si>
  <si>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</si>
  <si>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</si>
  <si>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</si>
  <si>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</si>
  <si>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</si>
  <si>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</si>
  <si>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</si>
  <si>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</si>
  <si>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</si>
  <si>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</si>
  <si>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</si>
  <si>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</si>
  <si>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</si>
  <si>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</si>
  <si>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Total Grant Receivable - April 2019</t>
  </si>
  <si>
    <t>Aging Percent %</t>
  </si>
  <si>
    <t>Columbia County Programs</t>
  </si>
  <si>
    <r>
      <t>è</t>
    </r>
    <r>
      <rPr>
        <b/>
        <sz val="12"/>
        <color theme="1"/>
        <rFont val="Times New Roman"/>
        <family val="1"/>
      </rPr>
      <t xml:space="preserve"> Equipment, Furniture &amp; Vehicles</t>
    </r>
    <r>
      <rPr>
        <sz val="12"/>
        <color theme="1"/>
        <rFont val="Calibri"/>
        <family val="2"/>
      </rPr>
      <t xml:space="preserve"> </t>
    </r>
  </si>
  <si>
    <t>Additions:</t>
  </si>
  <si>
    <t>Month</t>
  </si>
  <si>
    <r>
      <t xml:space="preserve">è </t>
    </r>
    <r>
      <rPr>
        <sz val="12"/>
        <color theme="1"/>
        <rFont val="Times New Roman"/>
        <family val="1"/>
      </rPr>
      <t>Investment - Infinex Financial-Securities - Brief Description</t>
    </r>
  </si>
  <si>
    <t>NYSDOH 07/19 to 06/20</t>
  </si>
  <si>
    <t>NYSDOH 05/19 to 07/19</t>
  </si>
  <si>
    <t>East Coast Riders, Inc</t>
  </si>
  <si>
    <t>C34567GG</t>
  </si>
  <si>
    <t>East Coast Riders</t>
  </si>
  <si>
    <t>Transportation - Other: Circulation &amp; CMH</t>
  </si>
  <si>
    <t>For 2019, new source of transportation revenue</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</si>
  <si>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two years until August 1, 2021.  </t>
    </r>
  </si>
  <si>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</si>
  <si>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</si>
  <si>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</si>
  <si>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</si>
  <si>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</si>
  <si>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</si>
  <si>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</si>
  <si>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</si>
  <si>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NYSDOH 08/19 to 07/20</t>
  </si>
  <si>
    <t>Greene County -Dept of Social Services</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</si>
  <si>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</si>
  <si>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</si>
  <si>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</si>
  <si>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</si>
  <si>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</si>
  <si>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</si>
  <si>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</si>
  <si>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</si>
  <si>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</si>
  <si>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</si>
  <si>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</si>
  <si>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October</t>
  </si>
  <si>
    <t>MIPPA                              04/19 to 9/19</t>
  </si>
  <si>
    <r>
      <t xml:space="preserve">ICAN Progrm                  </t>
    </r>
    <r>
      <rPr>
        <sz val="14"/>
        <color rgb="FF000000"/>
        <rFont val="Arial"/>
        <family val="2"/>
      </rPr>
      <t>10/19 to 4/20</t>
    </r>
  </si>
  <si>
    <t>Ancram/Copake Prescription Access (2018)</t>
  </si>
  <si>
    <t xml:space="preserve">General Operating Support (24-Months) </t>
  </si>
  <si>
    <t>Transportation-Vehicle &amp; Communication Upgrade</t>
  </si>
  <si>
    <t>Ten Months Ended October 31, 2019 and 2018</t>
  </si>
  <si>
    <t>2019 Dodge Grand Caravan</t>
  </si>
  <si>
    <t>Agency</t>
  </si>
  <si>
    <t xml:space="preserve">Robert Green Auto &amp; Truck </t>
  </si>
  <si>
    <t>Central Dodge, Inc</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</si>
  <si>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</si>
  <si>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</si>
  <si>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DSRIP funding in 2018</t>
  </si>
  <si>
    <t>Healthy Capital District Initiative</t>
  </si>
  <si>
    <t>Grants Receivable Aging Summary as of December 31, 2019</t>
  </si>
  <si>
    <t>December</t>
  </si>
  <si>
    <t>Payments Received After December 31, 2019</t>
  </si>
  <si>
    <t>Total AR Payments Received After December 31, 2019</t>
  </si>
  <si>
    <t>November</t>
  </si>
  <si>
    <t>OFA: NY Connects - November'19 Voucher</t>
  </si>
  <si>
    <t>IPA/Navigator Program - November 2019 Voucher</t>
  </si>
  <si>
    <t>Tobacco-Free - November 2019 Voucher</t>
  </si>
  <si>
    <t>OFA: NY Connects - October'19 Voucher</t>
  </si>
  <si>
    <t>September &amp; Older</t>
  </si>
  <si>
    <t>December 31st AR Balance at January 27, 2019</t>
  </si>
  <si>
    <t>Grants Receivable at 12/31/2019</t>
  </si>
  <si>
    <t>NYSARH $18,886  (April'19-March'20)</t>
  </si>
  <si>
    <t>Greene County RHN</t>
  </si>
  <si>
    <t>Columbia County Dept of Human Services - 4th Quarter</t>
  </si>
  <si>
    <t>OFA: Senior Transportation - October'19 Voucher</t>
  </si>
  <si>
    <t>OFA: Senior Transportation - November'19 Voucher</t>
  </si>
  <si>
    <t>OFA: Senior Transportation - December'19 Voucher</t>
  </si>
  <si>
    <t>Columbia Memorial Hospital- 4th Quarter Voucher</t>
  </si>
  <si>
    <t>ICAN Program - October'19 Voucher</t>
  </si>
  <si>
    <t>ICAN Program - December'19 Voucher</t>
  </si>
  <si>
    <t>ICAN Program - November'19 Voucher</t>
  </si>
  <si>
    <t>Navigator Program - October 2019 Voucher</t>
  </si>
  <si>
    <t>Community Foundation of the Hudson Valley-General Support</t>
  </si>
  <si>
    <t>Other: Greene County RHN</t>
  </si>
  <si>
    <t>N/A</t>
  </si>
  <si>
    <t>Rural Health Network Program- Yr#2of 5</t>
  </si>
  <si>
    <r>
      <t xml:space="preserve">NYS Assocaition for Rural Health  </t>
    </r>
    <r>
      <rPr>
        <b/>
        <sz val="11"/>
        <color rgb="FFFF0000"/>
        <rFont val="Arial"/>
        <family val="2"/>
      </rPr>
      <t>(NEW)</t>
    </r>
  </si>
  <si>
    <t xml:space="preserve">ICAN Program </t>
  </si>
  <si>
    <r>
      <t xml:space="preserve">Rip Van Winkle Foundation </t>
    </r>
    <r>
      <rPr>
        <b/>
        <sz val="11"/>
        <color rgb="FFFF0000"/>
        <rFont val="Arial"/>
        <family val="2"/>
      </rPr>
      <t>(NEW)</t>
    </r>
  </si>
  <si>
    <t>Columbia County BOS 2020 Budget Appropriation</t>
  </si>
  <si>
    <t>Columbia County Departments 2020 Donations (CARTS)</t>
  </si>
  <si>
    <t>QuickBooks AR at 12/31/2019</t>
  </si>
  <si>
    <t>Diff Transportation CMH &amp; Circulation &amp; Other</t>
  </si>
  <si>
    <t>December'19 vs.'18</t>
  </si>
  <si>
    <t>CoCo Dept of Health</t>
  </si>
  <si>
    <r>
      <t xml:space="preserve">HEALing Communities Study </t>
    </r>
    <r>
      <rPr>
        <b/>
        <sz val="11"/>
        <color rgb="FFFF0000"/>
        <rFont val="Arial"/>
        <family val="2"/>
      </rPr>
      <t>(NEW)</t>
    </r>
  </si>
  <si>
    <t>Foundation Revenue - FCH, Dyson &amp; Rip Van Winkle</t>
  </si>
  <si>
    <t>For the Years Ended December 31, 2019 &amp; 2018</t>
  </si>
  <si>
    <t>in 2019, sold Chevy Impala &amp; Ford Focus for $4,850. Fully depreciated vehicle</t>
  </si>
  <si>
    <t>Health &amp; Dental Ins increased by $23.8K &amp; W/C Ins by $1.5K in 2019</t>
  </si>
  <si>
    <t>Sharp positive swing in investment value between December'18 and December'19</t>
  </si>
  <si>
    <t>Grants - New York State - Assoc for Rural Health</t>
  </si>
  <si>
    <t>December'19 vs. '18</t>
  </si>
  <si>
    <t>Foundation Revenue-RipVan Winkle Foundation</t>
  </si>
  <si>
    <r>
      <t>è</t>
    </r>
    <r>
      <rPr>
        <b/>
        <sz val="12"/>
        <color theme="1"/>
        <rFont val="Times New Roman"/>
        <family val="1"/>
      </rPr>
      <t xml:space="preserve"> Cash</t>
    </r>
    <r>
      <rPr>
        <sz val="12"/>
        <color theme="1"/>
        <rFont val="Calibri"/>
        <family val="2"/>
      </rPr>
      <t xml:space="preserve"> -  Cash balance in the operating checking account started the 2019 year off with $274K and ended on the month of December 31, 2019 with $189K. Low balance on October 28th was $129K &amp; the high balance on March 25th was $334K. Average daily balance for the 2019 &amp; 2018 years were $237K and $259K, respectively.</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</si>
  <si>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December 31, 2019 our Grant Receivable is $241K. Expectation is that we will collect on all receivables.  Annual  average days to collect at December'19 was 72 days with an annual receivable turnover ratio of 5.1. Summary of Grants Receivable at December 31, 2019 is as follows:</t>
    </r>
  </si>
  <si>
    <t>Credit Sales</t>
  </si>
  <si>
    <r>
      <t>è</t>
    </r>
    <r>
      <rPr>
        <b/>
        <sz val="12"/>
        <color theme="1"/>
        <rFont val="Times New Roman"/>
        <family val="1"/>
      </rPr>
      <t xml:space="preserve"> Investment - Infinex Financial-Securities</t>
    </r>
    <r>
      <rPr>
        <sz val="12"/>
        <color theme="1"/>
        <rFont val="Calibri"/>
        <family val="2"/>
      </rPr>
      <t xml:space="preserve"> - As of December 31, 2019, investment account value of seven funds is $184.4K. Initial investment during the month of March 2016 was $152K. This represents an annual increase of 5.3% over the last 3 3/4 years.</t>
    </r>
  </si>
  <si>
    <t>Ending Balance at 12/31/2019</t>
  </si>
  <si>
    <t>Rip Van Winkle Foundation</t>
  </si>
  <si>
    <t>Main Motorcar</t>
  </si>
  <si>
    <t>Windows 10 Software Upgrade</t>
  </si>
  <si>
    <t>2010 Ford Focus</t>
  </si>
  <si>
    <t xml:space="preserve">On January 28, 2019, we sold the 2012 Chevy Impala for $2,300 with original cost $17,844 and on December 23, 2019, we sold the 2010 Ford Focus for $2,550 with original cost of $11,367. </t>
  </si>
  <si>
    <r>
      <t>è</t>
    </r>
    <r>
      <rPr>
        <b/>
        <sz val="12"/>
        <color theme="1"/>
        <rFont val="Times New Roman"/>
        <family val="1"/>
      </rPr>
      <t xml:space="preserve">Accounts Payable - </t>
    </r>
    <r>
      <rPr>
        <sz val="12"/>
        <color theme="1"/>
        <rFont val="Calibri"/>
        <family val="2"/>
        <scheme val="minor"/>
      </rPr>
      <t>At December 31, 2019, accounts payable lability is $26,721. All accounts payable liability is being paid timely within 28 days. The two vendors with the largest balance due is Intelligent Tech Solutions in the amount of $8,842 for Windows 10 software upgrade and The Bonadio Group in the amount of $4,500 for 2019 audit services.</t>
    </r>
  </si>
  <si>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</si>
  <si>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December 31, 2019,</t>
    </r>
  </si>
  <si>
    <t>Ending Balance at December 31, 2019</t>
  </si>
  <si>
    <t>Transportation Grant</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</si>
  <si>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December 31, 2019: </t>
    </r>
  </si>
  <si>
    <t>RHN &amp; Navigator Programs</t>
  </si>
  <si>
    <t>In 2018, Tobacco event expenses was $6.6K higher plus 20th Agency Anniversary</t>
  </si>
  <si>
    <t>Vehicle R&amp;M and Insurance expense &amp; increased by $6K in 2019</t>
  </si>
  <si>
    <t>In 2019, no Tobacco COLA, down $17K, Tobacco down $21K &amp; RHN down $6K</t>
  </si>
  <si>
    <t xml:space="preserve">In 2018,Transportation paid $18,000 for a study. In 2019,Tobacco paid $14,000 for </t>
  </si>
  <si>
    <t>Increase in funding from Dyson over 2018 funding plus new Rip Van Winkle funding</t>
  </si>
  <si>
    <t>Cancer Service Program funding stopped as of Sept'18</t>
  </si>
  <si>
    <t>Increase revenue in program for NY Connect by $28K for 2019</t>
  </si>
  <si>
    <t>In 2019, decrease in CSP Grants by &lt;$62K&gt;, RHN &lt;$50K&gt;, and  Tobacco &lt;$42K&gt;</t>
  </si>
  <si>
    <t>As of  December 31, 2019</t>
  </si>
  <si>
    <t xml:space="preserve">Community Foundation of the Hudson Valley </t>
  </si>
  <si>
    <r>
      <t xml:space="preserve">General Operating Support  </t>
    </r>
    <r>
      <rPr>
        <b/>
        <sz val="11"/>
        <color rgb="FFFF0000"/>
        <rFont val="Arial"/>
        <family val="2"/>
      </rPr>
      <t>(NEW)</t>
    </r>
  </si>
  <si>
    <r>
      <t xml:space="preserve">Senior Transportation Services - 2020 </t>
    </r>
    <r>
      <rPr>
        <b/>
        <sz val="11"/>
        <color rgb="FFFF0000"/>
        <rFont val="Arial"/>
        <family val="2"/>
      </rPr>
      <t>(Renewal)</t>
    </r>
  </si>
  <si>
    <r>
      <t xml:space="preserve">Transportation Services </t>
    </r>
    <r>
      <rPr>
        <b/>
        <sz val="11"/>
        <color rgb="FFFF0000"/>
        <rFont val="Arial"/>
        <family val="2"/>
      </rPr>
      <t>(Renewal)</t>
    </r>
  </si>
  <si>
    <r>
      <t xml:space="preserve">Transportation Services (2020)  </t>
    </r>
    <r>
      <rPr>
        <b/>
        <sz val="11"/>
        <color theme="1"/>
        <rFont val="Arial"/>
        <family val="2"/>
      </rPr>
      <t xml:space="preserve">  </t>
    </r>
    <r>
      <rPr>
        <b/>
        <sz val="11"/>
        <color rgb="FFFF0000"/>
        <rFont val="Arial"/>
        <family val="2"/>
      </rPr>
      <t>(Renewal)</t>
    </r>
  </si>
  <si>
    <r>
      <t xml:space="preserve">County Government - 2020 </t>
    </r>
    <r>
      <rPr>
        <b/>
        <sz val="11"/>
        <color rgb="FFFF0000"/>
        <rFont val="Arial"/>
        <family val="2"/>
      </rPr>
      <t>(Renewal)</t>
    </r>
  </si>
  <si>
    <r>
      <t xml:space="preserve">County Departments - 2020 </t>
    </r>
    <r>
      <rPr>
        <b/>
        <sz val="11"/>
        <color rgb="FFFF0000"/>
        <rFont val="Arial"/>
        <family val="2"/>
      </rPr>
      <t>(Renewal)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</si>
</sst>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0.000000000000_);[Red]\(#,##0.000000000000\)"/>
    <numFmt numFmtId="171" formatCode="&quot;$&quot;#,##0"/>
  </numFmts>
  <fonts count="6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s>
  <fills count="1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s>
  <borders count="74">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5">
    <xf numFmtId="0" fontId="0"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9" fontId="4" fillId="0" borderId="0" applyFont="0" applyFill="0" applyBorder="0" applyAlignment="0" applyProtection="0"/>
  </cellStyleXfs>
  <cellXfs count="877">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6"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xf numFmtId="14" fontId="6" fillId="0" borderId="0" xfId="0" applyNumberFormat="1" applyFont="1" applyFill="1" applyAlignment="1">
      <alignment horizontal="left"/>
    </xf>
    <xf numFmtId="0" fontId="8"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6" fillId="4" borderId="6" xfId="0" applyFont="1" applyFill="1" applyBorder="1"/>
    <xf numFmtId="0" fontId="0" fillId="4" borderId="6" xfId="0" applyFill="1" applyBorder="1"/>
    <xf numFmtId="0" fontId="0" fillId="3" borderId="2" xfId="0" applyFill="1" applyBorder="1" applyAlignment="1">
      <alignment horizontal="center"/>
    </xf>
    <xf numFmtId="0" fontId="9" fillId="4" borderId="0" xfId="0" applyFont="1" applyFill="1"/>
    <xf numFmtId="0" fontId="0" fillId="0" borderId="12" xfId="0" applyBorder="1"/>
    <xf numFmtId="40" fontId="7" fillId="0" borderId="0" xfId="0" applyNumberFormat="1" applyFont="1" applyFill="1" applyAlignment="1"/>
    <xf numFmtId="40" fontId="7"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7" fillId="0" borderId="0" xfId="0" applyNumberFormat="1" applyFont="1" applyFill="1" applyBorder="1" applyAlignment="1"/>
    <xf numFmtId="0" fontId="7" fillId="0" borderId="0" xfId="0" applyFont="1" applyFill="1" applyBorder="1"/>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8" fillId="0" borderId="0" xfId="0" applyNumberFormat="1" applyFont="1" applyFill="1" applyBorder="1" applyAlignment="1"/>
    <xf numFmtId="4" fontId="8" fillId="0" borderId="0" xfId="0" applyNumberFormat="1" applyFont="1" applyFill="1" applyBorder="1" applyAlignment="1"/>
    <xf numFmtId="0" fontId="8" fillId="0" borderId="0" xfId="0" applyFont="1" applyFill="1" applyBorder="1"/>
    <xf numFmtId="40" fontId="6" fillId="0" borderId="0" xfId="0" applyNumberFormat="1" applyFont="1" applyFill="1" applyBorder="1" applyAlignment="1"/>
    <xf numFmtId="0" fontId="6" fillId="0" borderId="0" xfId="0" applyFont="1" applyFill="1" applyBorder="1"/>
    <xf numFmtId="4" fontId="6"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5"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8" fillId="0" borderId="0" xfId="1" applyNumberFormat="1" applyFont="1" applyFill="1" applyBorder="1" applyAlignment="1"/>
    <xf numFmtId="0" fontId="0" fillId="4" borderId="11" xfId="0" applyFill="1" applyBorder="1"/>
    <xf numFmtId="0" fontId="8" fillId="0" borderId="0" xfId="0" applyFont="1" applyFill="1" applyBorder="1" applyAlignment="1"/>
    <xf numFmtId="0" fontId="8" fillId="3" borderId="0" xfId="0" applyFont="1" applyFill="1" applyBorder="1" applyAlignment="1"/>
    <xf numFmtId="0" fontId="8" fillId="3" borderId="5" xfId="0" applyFont="1" applyFill="1" applyBorder="1" applyAlignment="1"/>
    <xf numFmtId="0" fontId="8" fillId="4" borderId="13" xfId="0" applyFont="1" applyFill="1" applyBorder="1" applyAlignment="1"/>
    <xf numFmtId="0" fontId="8" fillId="4" borderId="14" xfId="0" applyFont="1" applyFill="1" applyBorder="1" applyAlignment="1"/>
    <xf numFmtId="0" fontId="8" fillId="3" borderId="16" xfId="0" applyFont="1" applyFill="1" applyBorder="1" applyAlignment="1"/>
    <xf numFmtId="0" fontId="0" fillId="0" borderId="0" xfId="0" applyFill="1" applyBorder="1" applyAlignment="1">
      <alignment horizontal="left"/>
    </xf>
    <xf numFmtId="49" fontId="10" fillId="0" borderId="0" xfId="0" applyNumberFormat="1" applyFont="1" applyAlignment="1">
      <alignment horizontal="center"/>
    </xf>
    <xf numFmtId="0" fontId="0" fillId="0" borderId="0" xfId="0" applyAlignment="1">
      <alignment horizontal="center"/>
    </xf>
    <xf numFmtId="0" fontId="10" fillId="0" borderId="0" xfId="0" applyNumberFormat="1" applyFont="1"/>
    <xf numFmtId="0" fontId="11" fillId="0" borderId="0" xfId="0" applyFont="1"/>
    <xf numFmtId="0" fontId="12" fillId="0" borderId="0" xfId="0" applyFont="1"/>
    <xf numFmtId="0" fontId="12" fillId="0" borderId="0" xfId="0" applyFont="1" applyAlignment="1">
      <alignment horizontal="center"/>
    </xf>
    <xf numFmtId="49" fontId="13"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4" fillId="0" borderId="30" xfId="0" applyNumberFormat="1" applyFont="1" applyBorder="1" applyAlignment="1">
      <alignment vertical="center"/>
    </xf>
    <xf numFmtId="0" fontId="16" fillId="0" borderId="0" xfId="0" applyFont="1" applyBorder="1" applyAlignment="1">
      <alignment vertical="center"/>
    </xf>
    <xf numFmtId="0" fontId="16" fillId="0" borderId="30" xfId="0" applyFont="1" applyBorder="1" applyAlignment="1">
      <alignment vertical="center"/>
    </xf>
    <xf numFmtId="49" fontId="13" fillId="0" borderId="0" xfId="0" applyNumberFormat="1" applyFont="1" applyBorder="1" applyAlignment="1">
      <alignment vertical="center"/>
    </xf>
    <xf numFmtId="0" fontId="0" fillId="0" borderId="0" xfId="0" applyBorder="1" applyAlignment="1">
      <alignment vertical="center"/>
    </xf>
    <xf numFmtId="49" fontId="13" fillId="0" borderId="0" xfId="0" applyNumberFormat="1" applyFont="1" applyAlignment="1"/>
    <xf numFmtId="49" fontId="13" fillId="0" borderId="2" xfId="0" applyNumberFormat="1" applyFont="1" applyBorder="1" applyAlignment="1"/>
    <xf numFmtId="0" fontId="0" fillId="0" borderId="0" xfId="0" applyBorder="1" applyAlignment="1"/>
    <xf numFmtId="0" fontId="0" fillId="0" borderId="0" xfId="0" applyAlignment="1"/>
    <xf numFmtId="49" fontId="13" fillId="0" borderId="0" xfId="0" applyNumberFormat="1" applyFont="1" applyAlignment="1">
      <alignment vertical="center"/>
    </xf>
    <xf numFmtId="0" fontId="0" fillId="0" borderId="0" xfId="0" applyAlignment="1">
      <alignment vertical="center"/>
    </xf>
    <xf numFmtId="49" fontId="17"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7" fillId="0" borderId="2" xfId="0" applyNumberFormat="1" applyFont="1" applyBorder="1" applyAlignment="1">
      <alignment vertical="center"/>
    </xf>
    <xf numFmtId="49" fontId="17" fillId="0" borderId="0" xfId="0" applyNumberFormat="1" applyFont="1" applyBorder="1" applyAlignment="1">
      <alignment vertical="center"/>
    </xf>
    <xf numFmtId="49" fontId="13" fillId="0" borderId="3" xfId="0" applyNumberFormat="1" applyFont="1" applyBorder="1" applyAlignment="1">
      <alignment vertical="center"/>
    </xf>
    <xf numFmtId="49" fontId="14" fillId="0" borderId="31"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49" fontId="18" fillId="0" borderId="27" xfId="0" applyNumberFormat="1" applyFont="1" applyBorder="1" applyAlignment="1">
      <alignment vertical="center"/>
    </xf>
    <xf numFmtId="49" fontId="13" fillId="0" borderId="27" xfId="0" applyNumberFormat="1" applyFont="1" applyBorder="1" applyAlignment="1">
      <alignment vertical="center"/>
    </xf>
    <xf numFmtId="49" fontId="13" fillId="0" borderId="2" xfId="0" applyNumberFormat="1" applyFont="1" applyBorder="1" applyAlignment="1">
      <alignment vertical="center"/>
    </xf>
    <xf numFmtId="49" fontId="18" fillId="0" borderId="28" xfId="0" applyNumberFormat="1" applyFont="1" applyBorder="1" applyAlignment="1">
      <alignment vertical="center"/>
    </xf>
    <xf numFmtId="49" fontId="13" fillId="0" borderId="28" xfId="0" applyNumberFormat="1" applyFont="1" applyBorder="1" applyAlignment="1">
      <alignment vertical="center"/>
    </xf>
    <xf numFmtId="0" fontId="14" fillId="0" borderId="0" xfId="0" applyFont="1" applyAlignment="1">
      <alignment vertical="center"/>
    </xf>
    <xf numFmtId="49" fontId="19"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0"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1" fillId="6" borderId="0" xfId="0" applyNumberFormat="1" applyFont="1" applyFill="1" applyBorder="1"/>
    <xf numFmtId="0" fontId="0" fillId="7" borderId="0" xfId="0" applyFont="1" applyFill="1"/>
    <xf numFmtId="49" fontId="21" fillId="7" borderId="0" xfId="0" applyNumberFormat="1" applyFont="1" applyFill="1" applyBorder="1"/>
    <xf numFmtId="0" fontId="0" fillId="7" borderId="0" xfId="0" applyFont="1" applyFill="1" applyAlignment="1">
      <alignment horizontal="center"/>
    </xf>
    <xf numFmtId="49" fontId="20" fillId="0" borderId="0" xfId="0" applyNumberFormat="1" applyFont="1" applyFill="1" applyBorder="1" applyAlignment="1">
      <alignment horizontal="center"/>
    </xf>
    <xf numFmtId="49" fontId="20" fillId="0" borderId="0" xfId="0" applyNumberFormat="1" applyFont="1" applyFill="1" applyBorder="1" applyAlignment="1">
      <alignment horizontal="left"/>
    </xf>
    <xf numFmtId="0" fontId="0" fillId="10" borderId="0" xfId="0" applyFont="1" applyFill="1"/>
    <xf numFmtId="0" fontId="0" fillId="8" borderId="0" xfId="0" applyFont="1" applyFill="1"/>
    <xf numFmtId="49" fontId="20" fillId="0" borderId="0" xfId="0" applyNumberFormat="1" applyFont="1" applyFill="1" applyBorder="1"/>
    <xf numFmtId="0" fontId="0" fillId="0" borderId="3" xfId="0" applyFont="1" applyFill="1" applyBorder="1"/>
    <xf numFmtId="0" fontId="0" fillId="8" borderId="3" xfId="0" applyFont="1" applyFill="1" applyBorder="1"/>
    <xf numFmtId="49" fontId="21"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1" fillId="11" borderId="0" xfId="0" applyNumberFormat="1" applyFont="1" applyFill="1" applyBorder="1" applyAlignment="1">
      <alignment horizontal="left"/>
    </xf>
    <xf numFmtId="0" fontId="0" fillId="9" borderId="0" xfId="0" applyFont="1" applyFill="1" applyAlignment="1">
      <alignment horizontal="center"/>
    </xf>
    <xf numFmtId="49" fontId="20" fillId="0" borderId="0" xfId="0" applyNumberFormat="1" applyFont="1" applyBorder="1"/>
    <xf numFmtId="0" fontId="20" fillId="0" borderId="0" xfId="0" applyNumberFormat="1" applyFont="1" applyBorder="1"/>
    <xf numFmtId="0" fontId="0" fillId="12" borderId="0" xfId="0" applyFont="1" applyFill="1"/>
    <xf numFmtId="0" fontId="22" fillId="0" borderId="0" xfId="0" applyNumberFormat="1" applyFont="1" applyBorder="1"/>
    <xf numFmtId="0" fontId="10" fillId="0" borderId="0" xfId="0" applyNumberFormat="1" applyFont="1" applyBorder="1"/>
    <xf numFmtId="0" fontId="0" fillId="0" borderId="0" xfId="0" applyNumberFormat="1" applyAlignment="1">
      <alignment horizontal="right"/>
    </xf>
    <xf numFmtId="49" fontId="21" fillId="5" borderId="0" xfId="0" applyNumberFormat="1" applyFont="1" applyFill="1" applyBorder="1"/>
    <xf numFmtId="49" fontId="21" fillId="7" borderId="0" xfId="0" applyNumberFormat="1" applyFont="1" applyFill="1" applyBorder="1" applyAlignment="1">
      <alignment horizontal="left"/>
    </xf>
    <xf numFmtId="49" fontId="21" fillId="10" borderId="0" xfId="0" applyNumberFormat="1" applyFont="1" applyFill="1" applyBorder="1"/>
    <xf numFmtId="49" fontId="21" fillId="11" borderId="0" xfId="0" applyNumberFormat="1" applyFont="1" applyFill="1" applyBorder="1"/>
    <xf numFmtId="0" fontId="7" fillId="0" borderId="0" xfId="0" applyFont="1" applyBorder="1" applyAlignment="1">
      <alignment horizontal="center"/>
    </xf>
    <xf numFmtId="49" fontId="20" fillId="5" borderId="16" xfId="0" applyNumberFormat="1" applyFont="1" applyFill="1" applyBorder="1"/>
    <xf numFmtId="49" fontId="20" fillId="6" borderId="34" xfId="0" applyNumberFormat="1" applyFont="1" applyFill="1" applyBorder="1"/>
    <xf numFmtId="49" fontId="20" fillId="6" borderId="28" xfId="0" applyNumberFormat="1" applyFont="1" applyFill="1" applyBorder="1"/>
    <xf numFmtId="49" fontId="20" fillId="6" borderId="16" xfId="0" applyNumberFormat="1" applyFont="1" applyFill="1" applyBorder="1"/>
    <xf numFmtId="49" fontId="20" fillId="7" borderId="34" xfId="0" applyNumberFormat="1" applyFont="1" applyFill="1" applyBorder="1"/>
    <xf numFmtId="49" fontId="20" fillId="7" borderId="28" xfId="0" applyNumberFormat="1" applyFont="1" applyFill="1" applyBorder="1"/>
    <xf numFmtId="49" fontId="20" fillId="7" borderId="16" xfId="0" applyNumberFormat="1" applyFont="1" applyFill="1" applyBorder="1"/>
    <xf numFmtId="49" fontId="20" fillId="7" borderId="16" xfId="0" applyNumberFormat="1" applyFont="1" applyFill="1" applyBorder="1" applyAlignment="1">
      <alignment horizontal="center"/>
    </xf>
    <xf numFmtId="49" fontId="20" fillId="10" borderId="34" xfId="0" applyNumberFormat="1" applyFont="1" applyFill="1" applyBorder="1"/>
    <xf numFmtId="49" fontId="20" fillId="10" borderId="28" xfId="0" applyNumberFormat="1" applyFont="1" applyFill="1" applyBorder="1"/>
    <xf numFmtId="49" fontId="20" fillId="10" borderId="16" xfId="0" applyNumberFormat="1" applyFont="1" applyFill="1" applyBorder="1"/>
    <xf numFmtId="49" fontId="20" fillId="8" borderId="34" xfId="0" applyNumberFormat="1" applyFont="1" applyFill="1" applyBorder="1"/>
    <xf numFmtId="49" fontId="20" fillId="8" borderId="28" xfId="0" applyNumberFormat="1" applyFont="1" applyFill="1" applyBorder="1"/>
    <xf numFmtId="49" fontId="21" fillId="8" borderId="16" xfId="0" applyNumberFormat="1" applyFont="1" applyFill="1" applyBorder="1"/>
    <xf numFmtId="49" fontId="20" fillId="11" borderId="34" xfId="0" applyNumberFormat="1" applyFont="1" applyFill="1" applyBorder="1" applyAlignment="1">
      <alignment horizontal="left"/>
    </xf>
    <xf numFmtId="49" fontId="20" fillId="11" borderId="28" xfId="0" applyNumberFormat="1" applyFont="1" applyFill="1" applyBorder="1" applyAlignment="1">
      <alignment horizontal="center"/>
    </xf>
    <xf numFmtId="0" fontId="7" fillId="11" borderId="16" xfId="0" applyFont="1" applyFill="1" applyBorder="1" applyAlignment="1">
      <alignment horizontal="center"/>
    </xf>
    <xf numFmtId="49" fontId="20" fillId="9" borderId="34" xfId="0" applyNumberFormat="1" applyFont="1" applyFill="1" applyBorder="1"/>
    <xf numFmtId="49" fontId="20" fillId="5" borderId="37" xfId="0" applyNumberFormat="1" applyFont="1" applyFill="1" applyBorder="1" applyAlignment="1"/>
    <xf numFmtId="49" fontId="20" fillId="8" borderId="24" xfId="0" applyNumberFormat="1" applyFont="1" applyFill="1" applyBorder="1"/>
    <xf numFmtId="0" fontId="8" fillId="3" borderId="8" xfId="0" applyFont="1" applyFill="1" applyBorder="1" applyAlignment="1">
      <alignment horizontal="center" wrapText="1"/>
    </xf>
    <xf numFmtId="40" fontId="5" fillId="3" borderId="9" xfId="0" applyNumberFormat="1" applyFont="1" applyFill="1" applyBorder="1" applyAlignment="1">
      <alignment horizontal="center" vertical="center" wrapText="1"/>
    </xf>
    <xf numFmtId="0" fontId="8" fillId="3" borderId="22" xfId="0" applyFont="1" applyFill="1" applyBorder="1" applyAlignment="1">
      <alignment horizontal="center" vertical="center"/>
    </xf>
    <xf numFmtId="0" fontId="0" fillId="0" borderId="2" xfId="0" applyFont="1" applyBorder="1" applyAlignment="1">
      <alignment vertical="center"/>
    </xf>
    <xf numFmtId="49" fontId="13" fillId="0" borderId="27" xfId="0" applyNumberFormat="1" applyFont="1" applyBorder="1" applyAlignment="1"/>
    <xf numFmtId="0" fontId="0" fillId="0" borderId="27" xfId="0" applyBorder="1" applyAlignment="1"/>
    <xf numFmtId="49" fontId="20"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9" fillId="0" borderId="0" xfId="0" applyNumberFormat="1" applyFont="1" applyBorder="1" applyAlignment="1">
      <alignment horizontal="center"/>
    </xf>
    <xf numFmtId="0" fontId="22" fillId="0" borderId="0" xfId="0" applyNumberFormat="1" applyFont="1" applyAlignment="1">
      <alignment horizontal="center"/>
    </xf>
    <xf numFmtId="38" fontId="21" fillId="5" borderId="1" xfId="1" applyNumberFormat="1" applyFont="1" applyFill="1" applyBorder="1" applyAlignment="1">
      <alignment horizontal="right"/>
    </xf>
    <xf numFmtId="38" fontId="21" fillId="5" borderId="9" xfId="1" applyNumberFormat="1" applyFont="1" applyFill="1" applyBorder="1" applyAlignment="1">
      <alignment horizontal="right"/>
    </xf>
    <xf numFmtId="38" fontId="20" fillId="0" borderId="0" xfId="0" applyNumberFormat="1" applyFont="1" applyBorder="1" applyAlignment="1">
      <alignment horizontal="right"/>
    </xf>
    <xf numFmtId="38" fontId="21" fillId="6" borderId="37" xfId="0" applyNumberFormat="1" applyFont="1" applyFill="1" applyBorder="1" applyAlignment="1">
      <alignment horizontal="right"/>
    </xf>
    <xf numFmtId="38" fontId="21" fillId="6" borderId="39" xfId="0" applyNumberFormat="1" applyFont="1" applyFill="1" applyBorder="1" applyAlignment="1">
      <alignment horizontal="right"/>
    </xf>
    <xf numFmtId="38" fontId="21" fillId="6" borderId="1" xfId="1" applyNumberFormat="1" applyFont="1" applyFill="1" applyBorder="1" applyAlignment="1">
      <alignment horizontal="right"/>
    </xf>
    <xf numFmtId="38" fontId="21" fillId="6" borderId="9" xfId="1" applyNumberFormat="1" applyFont="1" applyFill="1" applyBorder="1" applyAlignment="1">
      <alignment horizontal="right"/>
    </xf>
    <xf numFmtId="38" fontId="20" fillId="0" borderId="0" xfId="1" applyNumberFormat="1" applyFont="1" applyBorder="1" applyAlignment="1">
      <alignment horizontal="right"/>
    </xf>
    <xf numFmtId="38" fontId="7" fillId="0" borderId="0" xfId="1" applyNumberFormat="1" applyFont="1" applyBorder="1" applyAlignment="1">
      <alignment horizontal="right"/>
    </xf>
    <xf numFmtId="38" fontId="21" fillId="7" borderId="37" xfId="1" applyNumberFormat="1" applyFont="1" applyFill="1" applyBorder="1" applyAlignment="1">
      <alignment horizontal="right"/>
    </xf>
    <xf numFmtId="38" fontId="21" fillId="7" borderId="39" xfId="1" applyNumberFormat="1" applyFont="1" applyFill="1" applyBorder="1" applyAlignment="1">
      <alignment horizontal="right"/>
    </xf>
    <xf numFmtId="38" fontId="21" fillId="7" borderId="1" xfId="1" applyNumberFormat="1" applyFont="1" applyFill="1" applyBorder="1" applyAlignment="1">
      <alignment horizontal="right"/>
    </xf>
    <xf numFmtId="38" fontId="21" fillId="7" borderId="9" xfId="1" applyNumberFormat="1" applyFont="1" applyFill="1" applyBorder="1" applyAlignment="1">
      <alignment horizontal="right"/>
    </xf>
    <xf numFmtId="38" fontId="20" fillId="0" borderId="0" xfId="1" applyNumberFormat="1" applyFont="1" applyFill="1" applyBorder="1" applyAlignment="1">
      <alignment horizontal="right"/>
    </xf>
    <xf numFmtId="38" fontId="21" fillId="10" borderId="37" xfId="1" applyNumberFormat="1" applyFont="1" applyFill="1" applyBorder="1" applyAlignment="1">
      <alignment horizontal="right"/>
    </xf>
    <xf numFmtId="38" fontId="21" fillId="10" borderId="39" xfId="1" applyNumberFormat="1" applyFont="1" applyFill="1" applyBorder="1" applyAlignment="1">
      <alignment horizontal="right"/>
    </xf>
    <xf numFmtId="38" fontId="21" fillId="10" borderId="1" xfId="1" applyNumberFormat="1" applyFont="1" applyFill="1" applyBorder="1" applyAlignment="1">
      <alignment horizontal="right"/>
    </xf>
    <xf numFmtId="38" fontId="21" fillId="10"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8" borderId="1" xfId="1" applyNumberFormat="1" applyFont="1" applyFill="1" applyBorder="1" applyAlignment="1">
      <alignment horizontal="right"/>
    </xf>
    <xf numFmtId="38" fontId="21" fillId="8" borderId="9" xfId="1" applyNumberFormat="1" applyFont="1" applyFill="1" applyBorder="1" applyAlignment="1">
      <alignment horizontal="right"/>
    </xf>
    <xf numFmtId="38" fontId="20" fillId="8" borderId="37" xfId="1" applyNumberFormat="1" applyFont="1" applyFill="1" applyBorder="1" applyAlignment="1">
      <alignment horizontal="right"/>
    </xf>
    <xf numFmtId="38" fontId="20" fillId="8" borderId="39" xfId="1" applyNumberFormat="1" applyFont="1" applyFill="1" applyBorder="1" applyAlignment="1">
      <alignment horizontal="right"/>
    </xf>
    <xf numFmtId="38" fontId="20" fillId="11" borderId="37" xfId="1" applyNumberFormat="1" applyFont="1" applyFill="1" applyBorder="1" applyAlignment="1">
      <alignment horizontal="right"/>
    </xf>
    <xf numFmtId="38" fontId="20" fillId="11" borderId="39" xfId="1" applyNumberFormat="1" applyFont="1" applyFill="1" applyBorder="1" applyAlignment="1">
      <alignment horizontal="right"/>
    </xf>
    <xf numFmtId="38" fontId="21" fillId="11" borderId="1" xfId="1" applyNumberFormat="1" applyFont="1" applyFill="1" applyBorder="1" applyAlignment="1">
      <alignment horizontal="right"/>
    </xf>
    <xf numFmtId="38" fontId="21"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0" fillId="5" borderId="19" xfId="0" applyNumberFormat="1" applyFont="1" applyFill="1" applyBorder="1" applyAlignment="1">
      <alignment horizontal="center"/>
    </xf>
    <xf numFmtId="6" fontId="20"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0" fillId="6" borderId="19" xfId="0" applyNumberFormat="1" applyFont="1" applyFill="1" applyBorder="1" applyAlignment="1">
      <alignment horizontal="center"/>
    </xf>
    <xf numFmtId="6" fontId="20"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0" fillId="7" borderId="19" xfId="0" applyNumberFormat="1" applyFont="1" applyFill="1" applyBorder="1" applyAlignment="1">
      <alignment horizontal="center"/>
    </xf>
    <xf numFmtId="6" fontId="20"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0" fillId="10" borderId="19" xfId="0" applyNumberFormat="1" applyFont="1" applyFill="1" applyBorder="1" applyAlignment="1">
      <alignment horizontal="center"/>
    </xf>
    <xf numFmtId="6" fontId="20" fillId="10" borderId="25" xfId="1" applyNumberFormat="1" applyFont="1" applyFill="1" applyBorder="1" applyAlignment="1">
      <alignment horizontal="right"/>
    </xf>
    <xf numFmtId="6" fontId="20"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0" fillId="8" borderId="19" xfId="0" applyNumberFormat="1" applyFont="1" applyFill="1" applyBorder="1" applyAlignment="1">
      <alignment horizontal="center"/>
    </xf>
    <xf numFmtId="6" fontId="20" fillId="8" borderId="25" xfId="1" applyNumberFormat="1" applyFont="1" applyFill="1" applyBorder="1" applyAlignment="1">
      <alignment horizontal="right"/>
    </xf>
    <xf numFmtId="6" fontId="20" fillId="8" borderId="20"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6" fillId="11" borderId="19" xfId="0" applyNumberFormat="1" applyFont="1" applyFill="1" applyBorder="1" applyAlignment="1">
      <alignment horizontal="center"/>
    </xf>
    <xf numFmtId="6" fontId="20"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0"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2" fillId="0" borderId="0" xfId="0" applyNumberFormat="1" applyFont="1"/>
    <xf numFmtId="41" fontId="13" fillId="0" borderId="0" xfId="0" applyNumberFormat="1" applyFont="1" applyBorder="1" applyAlignment="1">
      <alignment horizontal="center" vertical="center"/>
    </xf>
    <xf numFmtId="41" fontId="17" fillId="0" borderId="0" xfId="0" applyNumberFormat="1" applyFont="1" applyBorder="1" applyAlignment="1">
      <alignment vertical="center"/>
    </xf>
    <xf numFmtId="41" fontId="17" fillId="0" borderId="27" xfId="0" applyNumberFormat="1" applyFont="1" applyBorder="1" applyAlignment="1"/>
    <xf numFmtId="41" fontId="17" fillId="0" borderId="0" xfId="0" applyNumberFormat="1" applyFont="1" applyAlignment="1">
      <alignment vertical="center"/>
    </xf>
    <xf numFmtId="41" fontId="17" fillId="0" borderId="2" xfId="0" applyNumberFormat="1" applyFont="1" applyBorder="1" applyAlignment="1">
      <alignment vertical="center"/>
    </xf>
    <xf numFmtId="41" fontId="13" fillId="0" borderId="0" xfId="0" applyNumberFormat="1" applyFont="1" applyAlignment="1">
      <alignment vertical="center"/>
    </xf>
    <xf numFmtId="41" fontId="13" fillId="0" borderId="0" xfId="0" applyNumberFormat="1" applyFont="1" applyBorder="1" applyAlignment="1">
      <alignment vertical="center"/>
    </xf>
    <xf numFmtId="41" fontId="13" fillId="0" borderId="31" xfId="0" applyNumberFormat="1" applyFont="1" applyBorder="1" applyAlignment="1">
      <alignment vertical="center"/>
    </xf>
    <xf numFmtId="41" fontId="17" fillId="0" borderId="2" xfId="0" applyNumberFormat="1" applyFont="1" applyBorder="1" applyAlignment="1"/>
    <xf numFmtId="41" fontId="13" fillId="0" borderId="3" xfId="0" applyNumberFormat="1" applyFont="1" applyBorder="1" applyAlignment="1">
      <alignment vertical="center"/>
    </xf>
    <xf numFmtId="41" fontId="15" fillId="0" borderId="30" xfId="0" applyNumberFormat="1" applyFont="1" applyBorder="1" applyAlignment="1">
      <alignment vertical="center"/>
    </xf>
    <xf numFmtId="41" fontId="17" fillId="0" borderId="27" xfId="0" applyNumberFormat="1" applyFont="1" applyBorder="1" applyAlignment="1">
      <alignment vertical="center"/>
    </xf>
    <xf numFmtId="41" fontId="17" fillId="0" borderId="6" xfId="0" applyNumberFormat="1" applyFont="1" applyBorder="1" applyAlignment="1">
      <alignment vertical="center"/>
    </xf>
    <xf numFmtId="41" fontId="0" fillId="0" borderId="0" xfId="0" applyNumberFormat="1"/>
    <xf numFmtId="42" fontId="17" fillId="0" borderId="0" xfId="0" applyNumberFormat="1" applyFont="1" applyAlignment="1">
      <alignment vertical="center"/>
    </xf>
    <xf numFmtId="42" fontId="14" fillId="0" borderId="31" xfId="0" applyNumberFormat="1" applyFont="1" applyBorder="1" applyAlignment="1">
      <alignment vertical="center"/>
    </xf>
    <xf numFmtId="42" fontId="17"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5" fillId="0" borderId="0" xfId="0" applyNumberFormat="1" applyFont="1" applyFill="1" applyBorder="1" applyAlignment="1"/>
    <xf numFmtId="42" fontId="5" fillId="0" borderId="0" xfId="0" applyNumberFormat="1" applyFont="1" applyFill="1" applyBorder="1"/>
    <xf numFmtId="42" fontId="5" fillId="3" borderId="6" xfId="0" applyNumberFormat="1" applyFont="1" applyFill="1" applyBorder="1"/>
    <xf numFmtId="40" fontId="5" fillId="0" borderId="44" xfId="0" applyNumberFormat="1" applyFont="1" applyFill="1" applyBorder="1" applyAlignment="1">
      <alignment horizontal="center"/>
    </xf>
    <xf numFmtId="0" fontId="8" fillId="4" borderId="32" xfId="0" applyFont="1" applyFill="1" applyBorder="1" applyAlignment="1">
      <alignment vertical="center"/>
    </xf>
    <xf numFmtId="0" fontId="8" fillId="4" borderId="33" xfId="0" applyFont="1" applyFill="1" applyBorder="1" applyAlignment="1">
      <alignment vertical="center"/>
    </xf>
    <xf numFmtId="0" fontId="8" fillId="4" borderId="42" xfId="0" applyFont="1" applyFill="1" applyBorder="1" applyAlignment="1">
      <alignment vertical="center"/>
    </xf>
    <xf numFmtId="40" fontId="5" fillId="3" borderId="47" xfId="0" applyNumberFormat="1" applyFont="1" applyFill="1" applyBorder="1" applyAlignment="1">
      <alignment horizontal="center" vertical="center" wrapText="1"/>
    </xf>
    <xf numFmtId="0" fontId="8" fillId="3" borderId="35" xfId="0" applyFont="1" applyFill="1" applyBorder="1"/>
    <xf numFmtId="0" fontId="8" fillId="3" borderId="27" xfId="0" applyFont="1" applyFill="1" applyBorder="1"/>
    <xf numFmtId="0" fontId="8" fillId="3" borderId="27" xfId="0" applyFont="1" applyFill="1" applyBorder="1" applyAlignment="1">
      <alignment horizontal="center"/>
    </xf>
    <xf numFmtId="14" fontId="8" fillId="3" borderId="27" xfId="0" applyNumberFormat="1" applyFont="1" applyFill="1" applyBorder="1" applyAlignment="1">
      <alignment horizontal="center"/>
    </xf>
    <xf numFmtId="42" fontId="25" fillId="0" borderId="0" xfId="0" applyNumberFormat="1" applyFont="1" applyAlignment="1">
      <alignment horizontal="right" vertical="center"/>
    </xf>
    <xf numFmtId="41" fontId="0" fillId="0" borderId="0" xfId="0" applyNumberFormat="1" applyBorder="1" applyAlignment="1">
      <alignment vertical="center"/>
    </xf>
    <xf numFmtId="42" fontId="17" fillId="0" borderId="0" xfId="0" applyNumberFormat="1" applyFont="1" applyFill="1" applyAlignment="1">
      <alignment vertical="center"/>
    </xf>
    <xf numFmtId="41" fontId="17" fillId="0" borderId="0" xfId="0" applyNumberFormat="1" applyFont="1" applyFill="1" applyAlignment="1">
      <alignment vertical="center"/>
    </xf>
    <xf numFmtId="41" fontId="17" fillId="0" borderId="27" xfId="0" applyNumberFormat="1" applyFont="1" applyFill="1" applyBorder="1" applyAlignment="1">
      <alignment vertical="center"/>
    </xf>
    <xf numFmtId="49" fontId="13" fillId="0" borderId="0" xfId="0" applyNumberFormat="1" applyFont="1" applyBorder="1" applyAlignment="1"/>
    <xf numFmtId="41" fontId="17" fillId="0" borderId="0" xfId="0" applyNumberFormat="1" applyFont="1" applyBorder="1" applyAlignment="1"/>
    <xf numFmtId="49" fontId="14" fillId="0" borderId="0" xfId="0" applyNumberFormat="1" applyFont="1" applyBorder="1" applyAlignment="1">
      <alignment vertical="center"/>
    </xf>
    <xf numFmtId="42" fontId="14" fillId="0" borderId="0" xfId="0" applyNumberFormat="1" applyFont="1" applyBorder="1" applyAlignment="1">
      <alignment vertical="center"/>
    </xf>
    <xf numFmtId="41" fontId="15" fillId="0" borderId="0" xfId="0" applyNumberFormat="1" applyFont="1" applyBorder="1" applyAlignment="1">
      <alignment vertical="center"/>
    </xf>
    <xf numFmtId="49" fontId="18" fillId="0" borderId="0" xfId="0" applyNumberFormat="1" applyFont="1" applyBorder="1" applyAlignment="1">
      <alignment vertical="center"/>
    </xf>
    <xf numFmtId="41" fontId="0" fillId="0" borderId="0" xfId="0" applyNumberFormat="1" applyBorder="1"/>
    <xf numFmtId="42" fontId="13" fillId="0" borderId="0" xfId="0" applyNumberFormat="1" applyFont="1" applyBorder="1" applyAlignment="1">
      <alignment vertical="center"/>
    </xf>
    <xf numFmtId="0" fontId="26" fillId="0" borderId="0" xfId="0" applyFont="1" applyBorder="1"/>
    <xf numFmtId="41" fontId="26" fillId="0" borderId="0" xfId="0" applyNumberFormat="1" applyFont="1" applyBorder="1" applyAlignment="1">
      <alignment vertical="center"/>
    </xf>
    <xf numFmtId="41" fontId="17" fillId="0" borderId="0" xfId="0" applyNumberFormat="1" applyFont="1" applyBorder="1" applyAlignment="1">
      <alignment horizontal="right" vertical="center"/>
    </xf>
    <xf numFmtId="41" fontId="26" fillId="0" borderId="0" xfId="0" applyNumberFormat="1" applyFont="1" applyBorder="1"/>
    <xf numFmtId="0" fontId="0" fillId="0" borderId="0" xfId="0" applyFill="1" applyBorder="1" applyAlignment="1">
      <alignment horizontal="left"/>
    </xf>
    <xf numFmtId="6" fontId="6" fillId="13" borderId="38" xfId="1" applyNumberFormat="1" applyFont="1" applyFill="1" applyBorder="1" applyAlignment="1">
      <alignment horizontal="right"/>
    </xf>
    <xf numFmtId="0" fontId="27" fillId="0" borderId="0" xfId="0" applyNumberFormat="1" applyFont="1"/>
    <xf numFmtId="38" fontId="17" fillId="0" borderId="0" xfId="0" applyNumberFormat="1" applyFont="1" applyBorder="1" applyAlignment="1">
      <alignment vertical="center"/>
    </xf>
    <xf numFmtId="166" fontId="28" fillId="0" borderId="27" xfId="0" applyNumberFormat="1" applyFont="1" applyBorder="1" applyAlignment="1">
      <alignment horizontal="center"/>
    </xf>
    <xf numFmtId="10" fontId="0" fillId="0" borderId="0" xfId="0" applyNumberFormat="1" applyFill="1" applyBorder="1" applyAlignment="1"/>
    <xf numFmtId="0" fontId="29" fillId="0" borderId="0" xfId="0" applyFont="1" applyFill="1" applyBorder="1" applyAlignment="1">
      <alignment horizontal="left"/>
    </xf>
    <xf numFmtId="42" fontId="8" fillId="3" borderId="46" xfId="1" applyNumberFormat="1" applyFont="1" applyFill="1" applyBorder="1" applyAlignment="1"/>
    <xf numFmtId="42" fontId="5" fillId="3" borderId="35" xfId="0" applyNumberFormat="1" applyFont="1" applyFill="1" applyBorder="1"/>
    <xf numFmtId="0" fontId="0" fillId="0" borderId="49" xfId="0" applyFill="1" applyBorder="1"/>
    <xf numFmtId="0" fontId="0" fillId="0" borderId="46" xfId="0" applyFill="1" applyBorder="1"/>
    <xf numFmtId="42" fontId="5" fillId="3" borderId="27" xfId="0" applyNumberFormat="1" applyFont="1" applyFill="1" applyBorder="1"/>
    <xf numFmtId="42" fontId="5"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5"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5" fillId="3" borderId="27" xfId="0" applyNumberFormat="1" applyFont="1" applyFill="1" applyBorder="1" applyAlignment="1"/>
    <xf numFmtId="42" fontId="5" fillId="3" borderId="52" xfId="0" applyNumberFormat="1" applyFont="1" applyFill="1" applyBorder="1" applyAlignment="1"/>
    <xf numFmtId="42" fontId="5" fillId="3" borderId="53" xfId="0" applyNumberFormat="1" applyFont="1" applyFill="1" applyBorder="1" applyAlignment="1"/>
    <xf numFmtId="0" fontId="8" fillId="4" borderId="34" xfId="0" applyFont="1" applyFill="1" applyBorder="1"/>
    <xf numFmtId="0" fontId="6" fillId="4" borderId="28" xfId="0" applyFont="1" applyFill="1" applyBorder="1"/>
    <xf numFmtId="0" fontId="6"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6"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6" fillId="4" borderId="41" xfId="0" applyNumberFormat="1" applyFont="1" applyFill="1" applyBorder="1" applyAlignment="1"/>
    <xf numFmtId="40" fontId="6" fillId="4" borderId="36" xfId="0" applyNumberFormat="1" applyFont="1" applyFill="1" applyBorder="1" applyAlignment="1"/>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0" fillId="0" borderId="0" xfId="0" applyNumberFormat="1" applyFont="1" applyBorder="1" applyAlignment="1">
      <alignment horizontal="center"/>
    </xf>
    <xf numFmtId="0" fontId="24"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5" fillId="3" borderId="44" xfId="0" applyFont="1" applyFill="1" applyBorder="1" applyAlignment="1">
      <alignment horizontal="center" vertical="center"/>
    </xf>
    <xf numFmtId="42" fontId="5" fillId="3" borderId="32" xfId="0" applyNumberFormat="1" applyFont="1" applyFill="1" applyBorder="1"/>
    <xf numFmtId="42" fontId="5" fillId="3" borderId="33" xfId="0" applyNumberFormat="1" applyFont="1" applyFill="1" applyBorder="1"/>
    <xf numFmtId="42" fontId="5" fillId="3" borderId="42" xfId="0" applyNumberFormat="1" applyFont="1" applyFill="1" applyBorder="1"/>
    <xf numFmtId="40" fontId="5" fillId="3" borderId="44" xfId="0" applyNumberFormat="1" applyFont="1" applyFill="1" applyBorder="1" applyAlignment="1">
      <alignment horizontal="center" vertical="center"/>
    </xf>
    <xf numFmtId="40" fontId="5"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3" fillId="0" borderId="31" xfId="0" applyNumberFormat="1" applyFont="1" applyBorder="1" applyAlignment="1">
      <alignment vertical="center"/>
    </xf>
    <xf numFmtId="41" fontId="17" fillId="0" borderId="0" xfId="0" applyNumberFormat="1" applyFont="1" applyFill="1" applyBorder="1" applyAlignment="1">
      <alignment vertical="center"/>
    </xf>
    <xf numFmtId="166" fontId="28" fillId="0" borderId="0" xfId="0" applyNumberFormat="1" applyFont="1" applyBorder="1" applyAlignment="1">
      <alignment horizontal="center"/>
    </xf>
    <xf numFmtId="41" fontId="15" fillId="0" borderId="57" xfId="0" applyNumberFormat="1" applyFont="1" applyBorder="1" applyAlignment="1">
      <alignment vertical="center"/>
    </xf>
    <xf numFmtId="41" fontId="13" fillId="0" borderId="57" xfId="0" applyNumberFormat="1" applyFont="1" applyBorder="1" applyAlignment="1">
      <alignment vertical="center"/>
    </xf>
    <xf numFmtId="42" fontId="17" fillId="0" borderId="0" xfId="0" applyNumberFormat="1" applyFont="1" applyFill="1" applyBorder="1" applyAlignment="1">
      <alignment vertical="center"/>
    </xf>
    <xf numFmtId="41" fontId="20" fillId="5" borderId="16" xfId="0" applyNumberFormat="1" applyFont="1" applyFill="1" applyBorder="1" applyAlignment="1">
      <alignment horizontal="left"/>
    </xf>
    <xf numFmtId="41" fontId="20"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1" fillId="0" borderId="0" xfId="0" applyNumberFormat="1" applyFont="1" applyBorder="1" applyAlignment="1">
      <alignment vertical="center"/>
    </xf>
    <xf numFmtId="49" fontId="20" fillId="12" borderId="34" xfId="0" applyNumberFormat="1" applyFont="1" applyFill="1" applyBorder="1"/>
    <xf numFmtId="49" fontId="20" fillId="12" borderId="28" xfId="0" applyNumberFormat="1" applyFont="1" applyFill="1" applyBorder="1"/>
    <xf numFmtId="6" fontId="20" fillId="12" borderId="39" xfId="1" applyNumberFormat="1" applyFont="1" applyFill="1" applyBorder="1" applyAlignment="1">
      <alignment horizontal="right"/>
    </xf>
    <xf numFmtId="49" fontId="20" fillId="12" borderId="16" xfId="0" applyNumberFormat="1" applyFont="1" applyFill="1" applyBorder="1"/>
    <xf numFmtId="49" fontId="20" fillId="12" borderId="24" xfId="0" applyNumberFormat="1" applyFont="1" applyFill="1" applyBorder="1"/>
    <xf numFmtId="6" fontId="20" fillId="12" borderId="40" xfId="1" applyNumberFormat="1" applyFont="1" applyFill="1" applyBorder="1" applyAlignment="1">
      <alignment horizontal="right"/>
    </xf>
    <xf numFmtId="49" fontId="21" fillId="12" borderId="0" xfId="0" applyNumberFormat="1" applyFont="1" applyFill="1" applyBorder="1"/>
    <xf numFmtId="49" fontId="21" fillId="12" borderId="2" xfId="0" applyNumberFormat="1" applyFont="1" applyFill="1" applyBorder="1"/>
    <xf numFmtId="0" fontId="30"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4" fillId="0" borderId="57" xfId="0" applyNumberFormat="1" applyFont="1" applyBorder="1" applyAlignment="1">
      <alignment vertical="center"/>
    </xf>
    <xf numFmtId="38" fontId="20" fillId="12" borderId="39" xfId="1" applyNumberFormat="1" applyFont="1" applyFill="1" applyBorder="1" applyAlignment="1">
      <alignment horizontal="right"/>
    </xf>
    <xf numFmtId="49" fontId="20"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2" fillId="0" borderId="0" xfId="0" applyNumberFormat="1" applyFont="1"/>
    <xf numFmtId="8" fontId="0" fillId="0" borderId="0" xfId="0" applyNumberFormat="1" applyBorder="1" applyAlignment="1">
      <alignment horizontal="center" vertical="center"/>
    </xf>
    <xf numFmtId="8" fontId="16"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4" fillId="0" borderId="0" xfId="0" applyNumberFormat="1" applyFont="1" applyBorder="1" applyAlignment="1">
      <alignment vertical="center"/>
    </xf>
    <xf numFmtId="8" fontId="10"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0" fillId="9" borderId="16" xfId="0" applyNumberFormat="1" applyFont="1" applyFill="1" applyBorder="1"/>
    <xf numFmtId="49" fontId="20" fillId="9" borderId="24" xfId="0" applyNumberFormat="1" applyFont="1" applyFill="1" applyBorder="1"/>
    <xf numFmtId="49" fontId="20" fillId="14" borderId="33" xfId="0" applyNumberFormat="1" applyFont="1" applyFill="1" applyBorder="1"/>
    <xf numFmtId="6" fontId="20" fillId="14" borderId="38" xfId="1" applyNumberFormat="1" applyFont="1" applyFill="1" applyBorder="1" applyAlignment="1">
      <alignment horizontal="right"/>
    </xf>
    <xf numFmtId="38" fontId="20" fillId="14" borderId="38" xfId="1" applyNumberFormat="1" applyFont="1" applyFill="1" applyBorder="1" applyAlignment="1">
      <alignment horizontal="right"/>
    </xf>
    <xf numFmtId="42" fontId="5" fillId="3" borderId="60" xfId="1" applyNumberFormat="1" applyFont="1" applyFill="1" applyBorder="1" applyAlignment="1"/>
    <xf numFmtId="42" fontId="5" fillId="3" borderId="38" xfId="1" applyNumberFormat="1" applyFont="1" applyFill="1" applyBorder="1" applyAlignment="1"/>
    <xf numFmtId="42" fontId="5" fillId="3" borderId="61" xfId="1" applyNumberFormat="1" applyFont="1" applyFill="1" applyBorder="1" applyAlignment="1"/>
    <xf numFmtId="42" fontId="5" fillId="3" borderId="62" xfId="1" applyNumberFormat="1" applyFont="1" applyFill="1" applyBorder="1" applyAlignment="1"/>
    <xf numFmtId="41" fontId="26" fillId="0" borderId="27" xfId="0" applyNumberFormat="1" applyFont="1" applyBorder="1" applyAlignment="1">
      <alignment vertical="center"/>
    </xf>
    <xf numFmtId="42" fontId="26" fillId="0" borderId="0" xfId="0" applyNumberFormat="1" applyFont="1" applyBorder="1" applyAlignment="1">
      <alignment vertical="center"/>
    </xf>
    <xf numFmtId="42" fontId="0" fillId="0" borderId="0" xfId="0" applyNumberFormat="1" applyFont="1" applyBorder="1" applyAlignment="1">
      <alignment vertical="center"/>
    </xf>
    <xf numFmtId="41" fontId="32"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3" fillId="0" borderId="0" xfId="0" applyNumberFormat="1" applyFont="1" applyFill="1" applyBorder="1" applyAlignment="1">
      <alignment vertical="center"/>
    </xf>
    <xf numFmtId="42" fontId="14"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7" fillId="0" borderId="0" xfId="0" applyNumberFormat="1" applyFont="1" applyAlignment="1">
      <alignment vertical="center"/>
    </xf>
    <xf numFmtId="49" fontId="17" fillId="0" borderId="0" xfId="0" applyNumberFormat="1" applyFont="1" applyFill="1" applyBorder="1" applyAlignment="1">
      <alignment vertical="center"/>
    </xf>
    <xf numFmtId="49" fontId="17" fillId="0" borderId="0" xfId="0" applyNumberFormat="1" applyFont="1" applyFill="1" applyAlignment="1">
      <alignment vertical="center"/>
    </xf>
    <xf numFmtId="49" fontId="13" fillId="0" borderId="0" xfId="0" applyNumberFormat="1" applyFont="1" applyFill="1" applyAlignment="1">
      <alignment vertical="center"/>
    </xf>
    <xf numFmtId="49" fontId="13" fillId="0" borderId="27" xfId="0" applyNumberFormat="1" applyFont="1" applyFill="1" applyBorder="1" applyAlignment="1">
      <alignment vertical="center"/>
    </xf>
    <xf numFmtId="49" fontId="13" fillId="0" borderId="0" xfId="0" applyNumberFormat="1" applyFont="1" applyFill="1" applyBorder="1" applyAlignment="1">
      <alignment vertical="center"/>
    </xf>
    <xf numFmtId="49" fontId="14" fillId="0" borderId="0" xfId="0" applyNumberFormat="1" applyFont="1" applyFill="1" applyBorder="1" applyAlignment="1">
      <alignment vertical="center"/>
    </xf>
    <xf numFmtId="49" fontId="18" fillId="0" borderId="0" xfId="0" applyNumberFormat="1" applyFont="1" applyFill="1" applyBorder="1" applyAlignment="1">
      <alignment vertical="center"/>
    </xf>
    <xf numFmtId="0" fontId="10" fillId="0" borderId="0" xfId="0" applyNumberFormat="1" applyFont="1" applyFill="1"/>
    <xf numFmtId="41" fontId="17" fillId="0" borderId="2" xfId="0" applyNumberFormat="1" applyFont="1" applyFill="1" applyBorder="1" applyAlignment="1">
      <alignment vertical="center"/>
    </xf>
    <xf numFmtId="41" fontId="26" fillId="0" borderId="0" xfId="0" applyNumberFormat="1" applyFont="1" applyFill="1" applyBorder="1" applyAlignment="1">
      <alignment vertical="center"/>
    </xf>
    <xf numFmtId="41" fontId="17" fillId="0" borderId="0" xfId="0" applyNumberFormat="1" applyFont="1" applyFill="1" applyBorder="1" applyAlignment="1">
      <alignment horizontal="right" vertical="center"/>
    </xf>
    <xf numFmtId="0" fontId="5" fillId="3" borderId="47" xfId="0" applyFont="1" applyFill="1" applyBorder="1" applyAlignment="1">
      <alignment horizontal="center" vertical="center"/>
    </xf>
    <xf numFmtId="42" fontId="10" fillId="0" borderId="0" xfId="0" applyNumberFormat="1" applyFont="1" applyBorder="1" applyAlignment="1">
      <alignment vertical="center"/>
    </xf>
    <xf numFmtId="0" fontId="26" fillId="0" borderId="0" xfId="0" applyFont="1" applyBorder="1" applyAlignment="1">
      <alignment vertical="center"/>
    </xf>
    <xf numFmtId="0" fontId="13" fillId="0" borderId="0" xfId="0" applyFont="1" applyBorder="1" applyAlignment="1">
      <alignment vertical="center"/>
    </xf>
    <xf numFmtId="0" fontId="26" fillId="0" borderId="27" xfId="0" applyFont="1" applyBorder="1" applyAlignment="1">
      <alignment vertical="center"/>
    </xf>
    <xf numFmtId="41" fontId="15" fillId="0" borderId="30" xfId="0" applyNumberFormat="1" applyFont="1" applyBorder="1" applyAlignment="1">
      <alignment horizontal="center" vertical="center"/>
    </xf>
    <xf numFmtId="49" fontId="17" fillId="0" borderId="0" xfId="0" applyNumberFormat="1" applyFont="1" applyAlignment="1">
      <alignment vertical="center"/>
    </xf>
    <xf numFmtId="49" fontId="17" fillId="0" borderId="27" xfId="0" applyNumberFormat="1" applyFont="1" applyBorder="1" applyAlignment="1">
      <alignment vertical="center"/>
    </xf>
    <xf numFmtId="49" fontId="13" fillId="0" borderId="0" xfId="0" applyNumberFormat="1" applyFont="1" applyAlignment="1">
      <alignment wrapText="1"/>
    </xf>
    <xf numFmtId="166" fontId="28" fillId="0" borderId="27" xfId="0" applyNumberFormat="1" applyFont="1" applyBorder="1" applyAlignment="1">
      <alignment horizontal="center" vertical="center" wrapText="1"/>
    </xf>
    <xf numFmtId="41" fontId="10" fillId="0" borderId="0" xfId="0" applyNumberFormat="1" applyFont="1"/>
    <xf numFmtId="10" fontId="13" fillId="0" borderId="0" xfId="0" applyNumberFormat="1" applyFont="1" applyAlignment="1">
      <alignment vertical="center"/>
    </xf>
    <xf numFmtId="0" fontId="26" fillId="0" borderId="30" xfId="0" applyFont="1" applyBorder="1" applyAlignment="1">
      <alignment horizontal="center" vertical="center"/>
    </xf>
    <xf numFmtId="165" fontId="9" fillId="0" borderId="0" xfId="0" applyNumberFormat="1" applyFont="1" applyBorder="1" applyAlignment="1">
      <alignment horizontal="center" vertical="center"/>
    </xf>
    <xf numFmtId="165" fontId="9" fillId="0" borderId="27" xfId="0" applyNumberFormat="1" applyFont="1" applyBorder="1" applyAlignment="1">
      <alignment horizontal="center" vertical="center"/>
    </xf>
    <xf numFmtId="0" fontId="26" fillId="0" borderId="30" xfId="0" applyFont="1" applyBorder="1" applyAlignment="1">
      <alignment horizontal="right" vertical="center"/>
    </xf>
    <xf numFmtId="8" fontId="44" fillId="0" borderId="0" xfId="0" applyNumberFormat="1" applyFont="1" applyAlignment="1">
      <alignment vertical="center"/>
    </xf>
    <xf numFmtId="0" fontId="44" fillId="0" borderId="0" xfId="0" applyFont="1" applyAlignment="1">
      <alignment vertical="center"/>
    </xf>
    <xf numFmtId="0" fontId="44" fillId="0" borderId="0" xfId="0" applyFont="1"/>
    <xf numFmtId="8" fontId="44" fillId="0" borderId="0" xfId="0" applyNumberFormat="1" applyFont="1"/>
    <xf numFmtId="49" fontId="17"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20" fillId="9" borderId="40" xfId="1" applyNumberFormat="1" applyFont="1" applyFill="1" applyBorder="1" applyAlignment="1">
      <alignment horizontal="right"/>
    </xf>
    <xf numFmtId="165" fontId="45" fillId="0" borderId="0" xfId="0" applyNumberFormat="1" applyFont="1" applyBorder="1" applyAlignment="1">
      <alignment horizontal="center" vertical="center"/>
    </xf>
    <xf numFmtId="0" fontId="27" fillId="0" borderId="0" xfId="0" applyNumberFormat="1" applyFont="1" applyFill="1"/>
    <xf numFmtId="38" fontId="0" fillId="0" borderId="48" xfId="1" applyNumberFormat="1" applyFont="1" applyFill="1" applyBorder="1" applyAlignment="1">
      <alignment horizontal="right"/>
    </xf>
    <xf numFmtId="6" fontId="21" fillId="9" borderId="0" xfId="0" applyNumberFormat="1" applyFont="1" applyFill="1" applyBorder="1"/>
    <xf numFmtId="6" fontId="20" fillId="9" borderId="19" xfId="0" applyNumberFormat="1" applyFont="1" applyFill="1" applyBorder="1" applyAlignment="1">
      <alignment horizontal="center"/>
    </xf>
    <xf numFmtId="38" fontId="20" fillId="9" borderId="9" xfId="1" applyNumberFormat="1" applyFont="1" applyFill="1" applyBorder="1" applyAlignment="1">
      <alignment horizontal="right"/>
    </xf>
    <xf numFmtId="38" fontId="20" fillId="9" borderId="1" xfId="1" applyNumberFormat="1" applyFont="1" applyFill="1" applyBorder="1" applyAlignment="1">
      <alignment horizontal="right"/>
    </xf>
    <xf numFmtId="38" fontId="20" fillId="9" borderId="4" xfId="1" applyNumberFormat="1" applyFont="1" applyFill="1" applyBorder="1" applyAlignment="1">
      <alignment horizontal="right"/>
    </xf>
    <xf numFmtId="6" fontId="20" fillId="0" borderId="0" xfId="1" applyNumberFormat="1" applyFont="1" applyFill="1" applyBorder="1" applyAlignment="1">
      <alignment horizontal="right"/>
    </xf>
    <xf numFmtId="6" fontId="20" fillId="15" borderId="38" xfId="1" applyNumberFormat="1" applyFont="1" applyFill="1" applyBorder="1" applyAlignment="1">
      <alignment horizontal="right"/>
    </xf>
    <xf numFmtId="38" fontId="20" fillId="15" borderId="38" xfId="1" applyNumberFormat="1" applyFont="1" applyFill="1" applyBorder="1" applyAlignment="1">
      <alignment horizontal="right"/>
    </xf>
    <xf numFmtId="0" fontId="30" fillId="0" borderId="0" xfId="0" applyNumberFormat="1" applyFont="1" applyFill="1" applyBorder="1" applyAlignment="1">
      <alignment horizontal="center"/>
    </xf>
    <xf numFmtId="42" fontId="5" fillId="2" borderId="44" xfId="0" applyNumberFormat="1" applyFont="1" applyFill="1" applyBorder="1" applyAlignment="1"/>
    <xf numFmtId="40" fontId="47" fillId="0" borderId="0" xfId="0" applyNumberFormat="1" applyFont="1" applyAlignment="1">
      <alignment horizontal="center" vertical="center"/>
    </xf>
    <xf numFmtId="165" fontId="46" fillId="0" borderId="0" xfId="0" applyNumberFormat="1" applyFont="1" applyBorder="1" applyAlignment="1">
      <alignment horizontal="center" vertical="center"/>
    </xf>
    <xf numFmtId="167" fontId="37" fillId="0" borderId="0" xfId="0" applyNumberFormat="1" applyFont="1" applyFill="1" applyAlignment="1">
      <alignment horizontal="right" wrapText="1"/>
    </xf>
    <xf numFmtId="0" fontId="37" fillId="0" borderId="0" xfId="0" applyFont="1" applyFill="1" applyAlignment="1">
      <alignment horizontal="right" wrapText="1"/>
    </xf>
    <xf numFmtId="41" fontId="37" fillId="0" borderId="0" xfId="0" applyNumberFormat="1" applyFont="1" applyFill="1" applyAlignment="1">
      <alignment horizontal="center" wrapText="1"/>
    </xf>
    <xf numFmtId="0" fontId="36" fillId="0" borderId="0" xfId="0" applyFont="1" applyFill="1" applyAlignment="1">
      <alignment horizontal="left" vertical="center" wrapText="1"/>
    </xf>
    <xf numFmtId="0" fontId="40" fillId="0" borderId="0" xfId="0" quotePrefix="1" applyFont="1" applyFill="1" applyAlignment="1">
      <alignment horizontal="center" vertical="center" wrapText="1"/>
    </xf>
    <xf numFmtId="42" fontId="37" fillId="0" borderId="31" xfId="0" applyNumberFormat="1" applyFont="1" applyFill="1" applyBorder="1" applyAlignment="1">
      <alignment horizontal="center" vertical="center" wrapText="1"/>
    </xf>
    <xf numFmtId="167" fontId="37" fillId="0" borderId="0" xfId="0" applyNumberFormat="1" applyFont="1" applyFill="1" applyAlignment="1">
      <alignment horizontal="center" wrapText="1"/>
    </xf>
    <xf numFmtId="6" fontId="37" fillId="0" borderId="31" xfId="0" applyNumberFormat="1" applyFont="1" applyFill="1" applyBorder="1" applyAlignment="1">
      <alignment horizontal="right" wrapText="1"/>
    </xf>
    <xf numFmtId="42" fontId="37" fillId="0" borderId="31" xfId="0" applyNumberFormat="1" applyFont="1" applyFill="1" applyBorder="1" applyAlignment="1">
      <alignment horizontal="left" vertical="center" wrapText="1"/>
    </xf>
    <xf numFmtId="0" fontId="43" fillId="0" borderId="0" xfId="0" applyFont="1" applyFill="1" applyAlignment="1">
      <alignment horizontal="center" wrapText="1"/>
    </xf>
    <xf numFmtId="0" fontId="36" fillId="0" borderId="0" xfId="0" applyFont="1" applyFill="1" applyAlignment="1">
      <alignment horizontal="center" vertical="center" wrapText="1"/>
    </xf>
    <xf numFmtId="0" fontId="37" fillId="0" borderId="0" xfId="0" applyFont="1" applyFill="1" applyAlignment="1">
      <alignment horizontal="left" vertical="center" wrapText="1"/>
    </xf>
    <xf numFmtId="41" fontId="37" fillId="0" borderId="0" xfId="0" applyNumberFormat="1" applyFont="1" applyFill="1" applyAlignment="1">
      <alignment horizontal="center" vertical="center" wrapText="1"/>
    </xf>
    <xf numFmtId="0" fontId="40" fillId="0" borderId="0" xfId="0" applyFont="1" applyFill="1" applyAlignment="1">
      <alignment horizontal="center" vertical="center" wrapText="1"/>
    </xf>
    <xf numFmtId="38" fontId="21" fillId="9" borderId="9" xfId="1" applyNumberFormat="1" applyFont="1" applyFill="1" applyBorder="1" applyAlignment="1">
      <alignment horizontal="right"/>
    </xf>
    <xf numFmtId="38" fontId="21" fillId="9" borderId="10" xfId="1" applyNumberFormat="1" applyFont="1" applyFill="1" applyBorder="1" applyAlignment="1">
      <alignment horizontal="right"/>
    </xf>
    <xf numFmtId="38" fontId="21" fillId="12" borderId="9" xfId="1" applyNumberFormat="1" applyFont="1" applyFill="1" applyBorder="1" applyAlignment="1">
      <alignment horizontal="right"/>
    </xf>
    <xf numFmtId="38" fontId="21" fillId="12" borderId="10" xfId="1" applyNumberFormat="1" applyFont="1" applyFill="1" applyBorder="1" applyAlignment="1">
      <alignment horizontal="right"/>
    </xf>
    <xf numFmtId="6" fontId="20" fillId="13" borderId="33" xfId="0" applyNumberFormat="1" applyFont="1" applyFill="1" applyBorder="1" applyAlignment="1">
      <alignment horizontal="center" vertical="center"/>
    </xf>
    <xf numFmtId="49" fontId="20" fillId="15" borderId="33" xfId="0" applyNumberFormat="1" applyFont="1" applyFill="1" applyBorder="1" applyAlignment="1">
      <alignment vertical="center"/>
    </xf>
    <xf numFmtId="49" fontId="20" fillId="15" borderId="32" xfId="0" applyNumberFormat="1" applyFont="1" applyFill="1" applyBorder="1" applyAlignment="1">
      <alignment vertical="center"/>
    </xf>
    <xf numFmtId="49" fontId="20" fillId="16" borderId="33" xfId="0" applyNumberFormat="1" applyFont="1" applyFill="1" applyBorder="1"/>
    <xf numFmtId="6" fontId="20" fillId="16" borderId="38" xfId="1" applyNumberFormat="1" applyFont="1" applyFill="1" applyBorder="1" applyAlignment="1">
      <alignment horizontal="right"/>
    </xf>
    <xf numFmtId="38" fontId="20" fillId="16" borderId="38" xfId="1" applyNumberFormat="1" applyFont="1" applyFill="1" applyBorder="1" applyAlignment="1">
      <alignment horizontal="right"/>
    </xf>
    <xf numFmtId="49" fontId="20" fillId="16" borderId="32" xfId="0" applyNumberFormat="1" applyFont="1" applyFill="1" applyBorder="1" applyAlignment="1">
      <alignment vertical="center"/>
    </xf>
    <xf numFmtId="43" fontId="0" fillId="0" borderId="49" xfId="1" applyNumberFormat="1" applyFont="1" applyFill="1" applyBorder="1" applyAlignment="1"/>
    <xf numFmtId="0" fontId="12" fillId="0" borderId="0" xfId="0" applyFont="1" applyBorder="1"/>
    <xf numFmtId="165" fontId="46" fillId="0" borderId="27" xfId="0" applyNumberFormat="1" applyFont="1" applyBorder="1" applyAlignment="1">
      <alignment horizontal="center" vertical="center"/>
    </xf>
    <xf numFmtId="42" fontId="26" fillId="0" borderId="31" xfId="0" applyNumberFormat="1" applyFont="1" applyBorder="1" applyAlignment="1">
      <alignment vertical="center"/>
    </xf>
    <xf numFmtId="41" fontId="17" fillId="0" borderId="19" xfId="0" applyNumberFormat="1" applyFont="1" applyFill="1" applyBorder="1" applyAlignment="1">
      <alignment vertical="center"/>
    </xf>
    <xf numFmtId="42" fontId="17" fillId="0" borderId="27" xfId="0" applyNumberFormat="1" applyFont="1" applyFill="1" applyBorder="1" applyAlignment="1">
      <alignment vertical="center"/>
    </xf>
    <xf numFmtId="42" fontId="17" fillId="0" borderId="31" xfId="0" applyNumberFormat="1" applyFont="1" applyFill="1" applyBorder="1" applyAlignment="1">
      <alignment vertical="center"/>
    </xf>
    <xf numFmtId="0" fontId="5" fillId="0" borderId="0" xfId="0" applyFont="1" applyBorder="1" applyAlignment="1">
      <alignment horizontal="center" vertical="center" wrapText="1"/>
    </xf>
    <xf numFmtId="41" fontId="5"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0" fillId="0" borderId="0" xfId="0" applyFont="1" applyFill="1" applyAlignment="1">
      <alignment horizontal="right" vertical="center" wrapText="1"/>
    </xf>
    <xf numFmtId="42" fontId="37"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6" fillId="0" borderId="0" xfId="0" applyFont="1" applyFill="1" applyAlignment="1">
      <alignment horizontal="left" vertical="top" wrapText="1"/>
    </xf>
    <xf numFmtId="38" fontId="0" fillId="0" borderId="0" xfId="0" applyNumberFormat="1" applyFill="1"/>
    <xf numFmtId="0" fontId="23"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1"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6" fillId="0" borderId="0" xfId="0" applyFont="1" applyFill="1" applyAlignment="1">
      <alignment horizontal="left" vertical="top" wrapText="1"/>
    </xf>
    <xf numFmtId="41" fontId="37" fillId="0" borderId="0" xfId="0" applyNumberFormat="1" applyFont="1" applyFill="1" applyAlignment="1">
      <alignment horizontal="right" vertical="center" wrapText="1"/>
    </xf>
    <xf numFmtId="49" fontId="17" fillId="0" borderId="0" xfId="0" applyNumberFormat="1" applyFont="1" applyAlignment="1">
      <alignment horizontal="left" vertical="center"/>
    </xf>
    <xf numFmtId="42" fontId="8" fillId="2" borderId="44" xfId="0" applyNumberFormat="1" applyFont="1" applyFill="1" applyBorder="1" applyAlignment="1"/>
    <xf numFmtId="0" fontId="16" fillId="0" borderId="0" xfId="0" applyFont="1" applyFill="1" applyBorder="1" applyAlignment="1">
      <alignment vertical="center"/>
    </xf>
    <xf numFmtId="38" fontId="10" fillId="0" borderId="65" xfId="0" applyNumberFormat="1" applyFont="1" applyBorder="1" applyAlignment="1">
      <alignment horizontal="center"/>
    </xf>
    <xf numFmtId="38" fontId="10" fillId="0" borderId="0" xfId="0" applyNumberFormat="1" applyFont="1"/>
    <xf numFmtId="38" fontId="53" fillId="0" borderId="0" xfId="0" applyNumberFormat="1" applyFont="1"/>
    <xf numFmtId="38" fontId="53" fillId="0" borderId="0" xfId="0" applyNumberFormat="1" applyFont="1" applyBorder="1"/>
    <xf numFmtId="38" fontId="52" fillId="0" borderId="0" xfId="0" applyNumberFormat="1" applyFont="1"/>
    <xf numFmtId="168" fontId="54"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7" fillId="0" borderId="0" xfId="0" applyFont="1" applyFill="1" applyBorder="1" applyAlignment="1">
      <alignment horizontal="center" vertical="center" wrapText="1"/>
    </xf>
    <xf numFmtId="41" fontId="15" fillId="0" borderId="30" xfId="0" applyNumberFormat="1" applyFont="1" applyBorder="1" applyAlignment="1">
      <alignment horizontal="center" vertical="center"/>
    </xf>
    <xf numFmtId="49" fontId="20" fillId="14" borderId="32" xfId="0" applyNumberFormat="1" applyFont="1" applyFill="1" applyBorder="1" applyAlignment="1">
      <alignment vertical="center"/>
    </xf>
    <xf numFmtId="165" fontId="46" fillId="0" borderId="31" xfId="0" applyNumberFormat="1" applyFont="1" applyBorder="1" applyAlignment="1">
      <alignment horizontal="center" vertical="center"/>
    </xf>
    <xf numFmtId="0" fontId="12"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4" fillId="0" borderId="0" xfId="0" applyFont="1" applyFill="1" applyBorder="1" applyAlignment="1">
      <alignment vertical="center"/>
    </xf>
    <xf numFmtId="41" fontId="15"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6" fillId="0" borderId="33" xfId="0" applyNumberFormat="1" applyFont="1" applyBorder="1" applyAlignment="1">
      <alignment horizontal="center" vertical="center"/>
    </xf>
    <xf numFmtId="41" fontId="56" fillId="0" borderId="0" xfId="0" applyNumberFormat="1" applyFont="1" applyBorder="1" applyAlignment="1">
      <alignment vertical="center"/>
    </xf>
    <xf numFmtId="41" fontId="55" fillId="0" borderId="27" xfId="0" applyNumberFormat="1" applyFont="1" applyBorder="1" applyAlignment="1">
      <alignment vertical="center"/>
    </xf>
    <xf numFmtId="165" fontId="46" fillId="0" borderId="2" xfId="0" applyNumberFormat="1" applyFont="1" applyBorder="1" applyAlignment="1">
      <alignment horizontal="center" vertical="center"/>
    </xf>
    <xf numFmtId="41" fontId="56" fillId="0" borderId="2" xfId="0" applyNumberFormat="1" applyFont="1" applyBorder="1" applyAlignment="1">
      <alignment vertical="center"/>
    </xf>
    <xf numFmtId="0" fontId="56" fillId="0" borderId="0" xfId="0" applyFont="1" applyBorder="1" applyAlignment="1">
      <alignment vertical="center"/>
    </xf>
    <xf numFmtId="0" fontId="56" fillId="0" borderId="27" xfId="0" applyFont="1" applyBorder="1" applyAlignment="1">
      <alignment vertical="center"/>
    </xf>
    <xf numFmtId="41" fontId="21" fillId="5" borderId="1" xfId="0" applyNumberFormat="1" applyFont="1" applyFill="1" applyBorder="1" applyAlignment="1"/>
    <xf numFmtId="38" fontId="21" fillId="9" borderId="1" xfId="1" applyNumberFormat="1" applyFont="1" applyFill="1" applyBorder="1" applyAlignment="1">
      <alignment horizontal="right"/>
    </xf>
    <xf numFmtId="168" fontId="57" fillId="0" borderId="0" xfId="0" applyNumberFormat="1" applyFont="1"/>
    <xf numFmtId="3" fontId="53" fillId="0" borderId="0" xfId="0" applyNumberFormat="1" applyFont="1"/>
    <xf numFmtId="168" fontId="10" fillId="0" borderId="65" xfId="0" applyNumberFormat="1" applyFont="1" applyBorder="1" applyAlignment="1">
      <alignment horizontal="center"/>
    </xf>
    <xf numFmtId="168" fontId="10" fillId="0" borderId="0" xfId="0" applyNumberFormat="1" applyFont="1"/>
    <xf numFmtId="168" fontId="53"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8" fillId="0" borderId="0" xfId="0" applyNumberFormat="1" applyFont="1" applyBorder="1" applyAlignment="1">
      <alignment horizontal="center"/>
    </xf>
    <xf numFmtId="0" fontId="59" fillId="0" borderId="0" xfId="0" applyFont="1"/>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xf numFmtId="41" fontId="7" fillId="0" borderId="0" xfId="0" applyNumberFormat="1" applyFont="1" applyBorder="1" applyAlignment="1">
      <alignment vertical="center"/>
    </xf>
    <xf numFmtId="41" fontId="21" fillId="0" borderId="0" xfId="0" applyNumberFormat="1" applyFont="1" applyFill="1" applyBorder="1" applyAlignment="1">
      <alignment vertical="center"/>
    </xf>
    <xf numFmtId="43" fontId="7" fillId="0" borderId="0" xfId="0" applyNumberFormat="1" applyFont="1" applyBorder="1" applyAlignment="1">
      <alignment vertical="center"/>
    </xf>
    <xf numFmtId="0" fontId="20" fillId="0" borderId="0" xfId="0" applyFont="1" applyBorder="1" applyAlignment="1">
      <alignment vertical="center"/>
    </xf>
    <xf numFmtId="0" fontId="7" fillId="0" borderId="0" xfId="0" applyFont="1" applyBorder="1"/>
    <xf numFmtId="0" fontId="37" fillId="0" borderId="0" xfId="0" applyFont="1" applyFill="1" applyAlignment="1">
      <alignment horizontal="left" vertical="center" wrapText="1"/>
    </xf>
    <xf numFmtId="41" fontId="37"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5" fillId="0" borderId="11" xfId="0" applyNumberFormat="1" applyFont="1" applyFill="1" applyBorder="1" applyAlignment="1">
      <alignment horizontal="center" vertical="center" wrapText="1"/>
    </xf>
    <xf numFmtId="0" fontId="5" fillId="0" borderId="11" xfId="0" applyFont="1" applyBorder="1" applyAlignment="1">
      <alignment horizontal="center" vertical="center" wrapText="1"/>
    </xf>
    <xf numFmtId="44" fontId="5" fillId="0" borderId="11" xfId="1" applyFont="1" applyFill="1" applyBorder="1" applyAlignment="1">
      <alignment horizontal="center" vertical="center" wrapText="1"/>
    </xf>
    <xf numFmtId="41" fontId="5" fillId="0" borderId="11" xfId="0" applyNumberFormat="1" applyFont="1" applyFill="1" applyBorder="1" applyAlignment="1">
      <alignment horizontal="center" vertical="center" wrapText="1"/>
    </xf>
    <xf numFmtId="44" fontId="60"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2" fillId="0" borderId="11" xfId="0" applyFont="1" applyBorder="1" applyAlignment="1">
      <alignment horizontal="center" vertical="center" wrapText="1"/>
    </xf>
    <xf numFmtId="42" fontId="37" fillId="0" borderId="0" xfId="0" applyNumberFormat="1" applyFont="1" applyFill="1" applyBorder="1" applyAlignment="1">
      <alignment horizontal="left" vertical="center" wrapText="1"/>
    </xf>
    <xf numFmtId="0" fontId="36" fillId="0" borderId="0" xfId="0" applyFont="1" applyFill="1" applyAlignment="1">
      <alignment horizontal="left" vertical="top" wrapText="1"/>
    </xf>
    <xf numFmtId="40" fontId="0" fillId="0" borderId="0" xfId="0" applyNumberFormat="1" applyFont="1" applyFill="1" applyBorder="1"/>
    <xf numFmtId="0" fontId="61" fillId="0" borderId="0" xfId="0" applyNumberFormat="1" applyFont="1" applyFill="1" applyBorder="1" applyAlignment="1">
      <alignment horizontal="left"/>
    </xf>
    <xf numFmtId="0" fontId="58" fillId="0" borderId="0" xfId="0" applyNumberFormat="1" applyFont="1" applyFill="1"/>
    <xf numFmtId="38" fontId="9" fillId="0" borderId="0" xfId="0" applyNumberFormat="1" applyFont="1" applyAlignment="1">
      <alignment horizontal="right"/>
    </xf>
    <xf numFmtId="3" fontId="53" fillId="2" borderId="0" xfId="0" applyNumberFormat="1" applyFont="1" applyFill="1"/>
    <xf numFmtId="38" fontId="52"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4" fillId="0" borderId="45" xfId="0" applyFont="1" applyBorder="1" applyAlignment="1">
      <alignment horizontal="center"/>
    </xf>
    <xf numFmtId="38" fontId="34" fillId="0" borderId="45" xfId="0" applyNumberFormat="1" applyFont="1" applyBorder="1" applyAlignment="1">
      <alignment horizontal="center" vertical="center"/>
    </xf>
    <xf numFmtId="0" fontId="34" fillId="0" borderId="46" xfId="0" applyFont="1" applyBorder="1" applyAlignment="1">
      <alignment horizontal="center"/>
    </xf>
    <xf numFmtId="38" fontId="34" fillId="0" borderId="46" xfId="0" applyNumberFormat="1" applyFont="1" applyBorder="1" applyAlignment="1">
      <alignment horizontal="center" vertical="center"/>
    </xf>
    <xf numFmtId="0" fontId="64"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4" fillId="0" borderId="44" xfId="0" applyFont="1" applyBorder="1" applyAlignment="1">
      <alignment horizontal="center" vertical="center"/>
    </xf>
    <xf numFmtId="38" fontId="34"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4" fillId="0" borderId="0" xfId="0" applyFont="1" applyAlignment="1">
      <alignment horizontal="center"/>
    </xf>
    <xf numFmtId="38" fontId="34"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0" fontId="5" fillId="3" borderId="14" xfId="0" applyFont="1" applyFill="1" applyBorder="1" applyAlignment="1">
      <alignment horizontal="center" vertic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38" fontId="0" fillId="0" borderId="0" xfId="0" applyNumberFormat="1" applyFont="1" applyFill="1" applyBorder="1"/>
    <xf numFmtId="0" fontId="65" fillId="0" borderId="0" xfId="0" applyFont="1"/>
    <xf numFmtId="169" fontId="0" fillId="0" borderId="11" xfId="1" applyNumberFormat="1" applyFont="1" applyBorder="1"/>
    <xf numFmtId="38" fontId="23" fillId="0" borderId="11" xfId="0" applyNumberFormat="1" applyFont="1" applyBorder="1"/>
    <xf numFmtId="169" fontId="23" fillId="0" borderId="11" xfId="1" applyNumberFormat="1" applyFont="1" applyBorder="1"/>
    <xf numFmtId="169" fontId="23" fillId="0" borderId="11" xfId="0" applyNumberFormat="1" applyFont="1" applyBorder="1"/>
    <xf numFmtId="6" fontId="0" fillId="0" borderId="49" xfId="1" applyNumberFormat="1" applyFont="1" applyFill="1" applyBorder="1" applyAlignment="1">
      <alignment horizontal="right"/>
    </xf>
    <xf numFmtId="38" fontId="9" fillId="0" borderId="0" xfId="0" applyNumberFormat="1" applyFont="1" applyFill="1" applyBorder="1" applyAlignment="1">
      <alignment horizontal="right"/>
    </xf>
    <xf numFmtId="43" fontId="17" fillId="0" borderId="0" xfId="0" applyNumberFormat="1" applyFont="1" applyFill="1" applyBorder="1" applyAlignment="1">
      <alignment vertical="center"/>
    </xf>
    <xf numFmtId="0" fontId="23" fillId="0" borderId="0" xfId="0" applyFont="1" applyFill="1" applyBorder="1" applyAlignment="1">
      <alignment horizontal="center" wrapText="1"/>
    </xf>
    <xf numFmtId="0" fontId="23" fillId="0" borderId="0" xfId="0" applyFont="1" applyBorder="1" applyAlignment="1">
      <alignment horizontal="center" wrapText="1"/>
    </xf>
    <xf numFmtId="169" fontId="0" fillId="0" borderId="0" xfId="0" applyNumberFormat="1" applyFont="1" applyFill="1" applyBorder="1" applyAlignment="1">
      <alignment horizontal="center"/>
    </xf>
    <xf numFmtId="169" fontId="66" fillId="0" borderId="0" xfId="0" applyNumberFormat="1" applyFont="1" applyFill="1" applyBorder="1" applyAlignment="1">
      <alignment horizontal="center"/>
    </xf>
    <xf numFmtId="169" fontId="23" fillId="0" borderId="0" xfId="0" applyNumberFormat="1" applyFont="1" applyFill="1" applyBorder="1" applyAlignment="1">
      <alignment horizontal="center"/>
    </xf>
    <xf numFmtId="42" fontId="0" fillId="0" borderId="11" xfId="0" applyNumberFormat="1" applyBorder="1"/>
    <xf numFmtId="0" fontId="36" fillId="0" borderId="0" xfId="0" applyFont="1" applyFill="1" applyAlignment="1">
      <alignment horizontal="left" vertical="top" wrapText="1"/>
    </xf>
    <xf numFmtId="0" fontId="23" fillId="0" borderId="11" xfId="0" applyFont="1" applyFill="1" applyBorder="1" applyAlignment="1">
      <alignment horizontal="center"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2" fillId="0" borderId="11" xfId="1" applyFont="1" applyFill="1" applyBorder="1" applyAlignment="1">
      <alignment horizontal="center" vertical="center" wrapText="1"/>
    </xf>
    <xf numFmtId="41" fontId="0" fillId="0" borderId="11" xfId="1" applyNumberFormat="1" applyFont="1" applyBorder="1"/>
    <xf numFmtId="6" fontId="21" fillId="9" borderId="2" xfId="0" applyNumberFormat="1" applyFont="1" applyFill="1" applyBorder="1"/>
    <xf numFmtId="38" fontId="21" fillId="9" borderId="4" xfId="1" applyNumberFormat="1" applyFont="1" applyFill="1" applyBorder="1" applyAlignment="1">
      <alignment horizontal="right"/>
    </xf>
    <xf numFmtId="14" fontId="0" fillId="0" borderId="6" xfId="0" applyNumberFormat="1" applyFill="1" applyBorder="1" applyAlignment="1">
      <alignment horizontal="center"/>
    </xf>
    <xf numFmtId="41" fontId="0" fillId="0" borderId="63" xfId="1" applyNumberFormat="1" applyFont="1" applyFill="1" applyBorder="1" applyAlignment="1"/>
    <xf numFmtId="38" fontId="0" fillId="0" borderId="63" xfId="1" applyNumberFormat="1" applyFont="1" applyFill="1" applyBorder="1" applyAlignment="1"/>
    <xf numFmtId="0" fontId="0" fillId="0" borderId="49" xfId="0" applyFill="1" applyBorder="1" applyAlignment="1"/>
    <xf numFmtId="41" fontId="37" fillId="0" borderId="0" xfId="0" applyNumberFormat="1" applyFont="1" applyFill="1" applyAlignment="1">
      <alignment horizontal="center" vertical="center" wrapText="1"/>
    </xf>
    <xf numFmtId="0" fontId="7" fillId="0" borderId="30" xfId="0" applyFont="1" applyBorder="1" applyAlignment="1">
      <alignment vertical="center"/>
    </xf>
    <xf numFmtId="7" fontId="17" fillId="0" borderId="19" xfId="0" applyNumberFormat="1" applyFont="1" applyFill="1" applyBorder="1" applyAlignment="1">
      <alignment vertical="center"/>
    </xf>
    <xf numFmtId="7" fontId="17" fillId="0" borderId="0" xfId="0" applyNumberFormat="1" applyFont="1" applyFill="1" applyBorder="1" applyAlignment="1">
      <alignment vertical="center"/>
    </xf>
    <xf numFmtId="41" fontId="15" fillId="0" borderId="30" xfId="0" applyNumberFormat="1" applyFont="1" applyBorder="1" applyAlignment="1">
      <alignment horizontal="center" vertical="center"/>
    </xf>
    <xf numFmtId="170" fontId="0" fillId="0" borderId="0" xfId="0" applyNumberFormat="1" applyFont="1" applyFill="1" applyBorder="1"/>
    <xf numFmtId="38" fontId="0" fillId="0" borderId="31" xfId="0" applyNumberFormat="1" applyBorder="1" applyAlignment="1">
      <alignment horizontal="right"/>
    </xf>
    <xf numFmtId="0" fontId="36" fillId="0" borderId="0" xfId="0" applyFont="1" applyFill="1" applyAlignment="1">
      <alignment horizontal="left" vertical="top" wrapText="1"/>
    </xf>
    <xf numFmtId="0" fontId="23" fillId="0" borderId="11" xfId="0" applyFont="1" applyBorder="1" applyAlignment="1">
      <alignment horizontal="center" vertical="center"/>
    </xf>
    <xf numFmtId="40" fontId="23" fillId="0" borderId="11" xfId="0" applyNumberFormat="1" applyFont="1" applyBorder="1" applyAlignment="1">
      <alignment horizontal="center" vertical="center" wrapText="1"/>
    </xf>
    <xf numFmtId="0" fontId="23" fillId="0" borderId="11" xfId="0" applyFont="1" applyBorder="1" applyAlignment="1">
      <alignment horizontal="center" vertical="center" wrapText="1"/>
    </xf>
    <xf numFmtId="8" fontId="0" fillId="0" borderId="2" xfId="0" applyNumberFormat="1" applyFont="1" applyBorder="1" applyAlignment="1">
      <alignment vertical="center"/>
    </xf>
    <xf numFmtId="41" fontId="26"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0" fontId="0" fillId="0" borderId="63" xfId="0" applyFill="1" applyBorder="1" applyAlignment="1">
      <alignment horizontal="left"/>
    </xf>
    <xf numFmtId="41" fontId="0" fillId="0" borderId="46" xfId="1" applyNumberFormat="1" applyFont="1" applyFill="1" applyBorder="1" applyAlignment="1">
      <alignment horizontal="center"/>
    </xf>
    <xf numFmtId="44" fontId="14" fillId="0" borderId="0" xfId="0" applyNumberFormat="1" applyFont="1" applyBorder="1" applyAlignment="1">
      <alignment vertical="center"/>
    </xf>
    <xf numFmtId="8" fontId="0" fillId="0" borderId="0" xfId="0" applyNumberFormat="1"/>
    <xf numFmtId="42" fontId="36" fillId="0" borderId="0" xfId="0" applyNumberFormat="1" applyFont="1" applyFill="1" applyAlignment="1">
      <alignment horizontal="left" vertical="top" wrapText="1"/>
    </xf>
    <xf numFmtId="41" fontId="7" fillId="0" borderId="0" xfId="0" applyNumberFormat="1" applyFont="1" applyBorder="1" applyAlignment="1">
      <alignment horizontal="left" vertical="center"/>
    </xf>
    <xf numFmtId="49" fontId="58" fillId="0" borderId="0" xfId="0" applyNumberFormat="1" applyFont="1" applyBorder="1" applyAlignment="1">
      <alignment horizontal="center"/>
    </xf>
    <xf numFmtId="3" fontId="7" fillId="0" borderId="0" xfId="0" applyNumberFormat="1" applyFont="1" applyFill="1" applyBorder="1" applyAlignment="1"/>
    <xf numFmtId="3" fontId="0" fillId="0" borderId="0" xfId="0" applyNumberFormat="1" applyAlignment="1">
      <alignment horizontal="right"/>
    </xf>
    <xf numFmtId="3" fontId="19" fillId="0" borderId="0" xfId="0" applyNumberFormat="1" applyFont="1" applyBorder="1" applyAlignment="1">
      <alignment horizontal="center"/>
    </xf>
    <xf numFmtId="3" fontId="20" fillId="5" borderId="36" xfId="0" applyNumberFormat="1" applyFont="1" applyFill="1" applyBorder="1" applyAlignment="1"/>
    <xf numFmtId="3" fontId="21" fillId="5" borderId="17" xfId="1" applyNumberFormat="1" applyFont="1" applyFill="1" applyBorder="1" applyAlignment="1">
      <alignment horizontal="right"/>
    </xf>
    <xf numFmtId="3" fontId="20" fillId="5" borderId="21" xfId="1" applyNumberFormat="1" applyFont="1" applyFill="1" applyBorder="1" applyAlignment="1">
      <alignment horizontal="right"/>
    </xf>
    <xf numFmtId="3" fontId="20" fillId="0" borderId="0" xfId="0" applyNumberFormat="1" applyFont="1" applyBorder="1" applyAlignment="1">
      <alignment horizontal="right"/>
    </xf>
    <xf numFmtId="3" fontId="21" fillId="6" borderId="36" xfId="0" applyNumberFormat="1" applyFont="1" applyFill="1" applyBorder="1" applyAlignment="1">
      <alignment horizontal="right"/>
    </xf>
    <xf numFmtId="3" fontId="21" fillId="6" borderId="17" xfId="1" applyNumberFormat="1" applyFont="1" applyFill="1" applyBorder="1" applyAlignment="1">
      <alignment horizontal="right"/>
    </xf>
    <xf numFmtId="3" fontId="20" fillId="6" borderId="21" xfId="1" applyNumberFormat="1" applyFont="1" applyFill="1" applyBorder="1" applyAlignment="1">
      <alignment horizontal="right"/>
    </xf>
    <xf numFmtId="3" fontId="20" fillId="0" borderId="0" xfId="1" applyNumberFormat="1" applyFont="1" applyBorder="1" applyAlignment="1">
      <alignment horizontal="right"/>
    </xf>
    <xf numFmtId="3" fontId="21" fillId="7" borderId="36" xfId="1" applyNumberFormat="1" applyFont="1" applyFill="1" applyBorder="1" applyAlignment="1">
      <alignment horizontal="right"/>
    </xf>
    <xf numFmtId="3" fontId="21" fillId="7" borderId="17" xfId="1" applyNumberFormat="1" applyFont="1" applyFill="1" applyBorder="1" applyAlignment="1">
      <alignment horizontal="right"/>
    </xf>
    <xf numFmtId="3" fontId="20" fillId="7" borderId="21" xfId="1" applyNumberFormat="1" applyFont="1" applyFill="1" applyBorder="1" applyAlignment="1">
      <alignment horizontal="right"/>
    </xf>
    <xf numFmtId="3" fontId="20" fillId="0" borderId="0" xfId="1" applyNumberFormat="1" applyFont="1" applyFill="1" applyBorder="1" applyAlignment="1">
      <alignment horizontal="right"/>
    </xf>
    <xf numFmtId="3" fontId="21" fillId="10" borderId="36" xfId="1" applyNumberFormat="1" applyFont="1" applyFill="1" applyBorder="1" applyAlignment="1">
      <alignment horizontal="right"/>
    </xf>
    <xf numFmtId="3" fontId="21" fillId="10" borderId="17" xfId="1" applyNumberFormat="1" applyFont="1" applyFill="1" applyBorder="1" applyAlignment="1">
      <alignment horizontal="right"/>
    </xf>
    <xf numFmtId="3" fontId="20" fillId="10"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8" borderId="17" xfId="1" applyNumberFormat="1" applyFont="1" applyFill="1" applyBorder="1" applyAlignment="1">
      <alignment horizontal="right"/>
    </xf>
    <xf numFmtId="3" fontId="20" fillId="8" borderId="21" xfId="1" applyNumberFormat="1" applyFont="1" applyFill="1" applyBorder="1" applyAlignment="1">
      <alignment horizontal="right"/>
    </xf>
    <xf numFmtId="3" fontId="20" fillId="8" borderId="36" xfId="1" applyNumberFormat="1" applyFont="1" applyFill="1" applyBorder="1" applyAlignment="1">
      <alignment horizontal="right"/>
    </xf>
    <xf numFmtId="3" fontId="20" fillId="11" borderId="36" xfId="1" applyNumberFormat="1" applyFont="1" applyFill="1" applyBorder="1" applyAlignment="1">
      <alignment horizontal="right"/>
    </xf>
    <xf numFmtId="3" fontId="21" fillId="11" borderId="17" xfId="1" applyNumberFormat="1" applyFont="1" applyFill="1" applyBorder="1" applyAlignment="1">
      <alignment horizontal="right"/>
    </xf>
    <xf numFmtId="3" fontId="20" fillId="11" borderId="21" xfId="1" applyNumberFormat="1" applyFont="1" applyFill="1" applyBorder="1" applyAlignment="1">
      <alignment horizontal="right"/>
    </xf>
    <xf numFmtId="3" fontId="7" fillId="0" borderId="0" xfId="1" applyNumberFormat="1" applyFont="1" applyBorder="1" applyAlignment="1">
      <alignment horizontal="right"/>
    </xf>
    <xf numFmtId="3" fontId="0" fillId="9" borderId="36" xfId="0" applyNumberFormat="1" applyFont="1" applyFill="1" applyBorder="1" applyAlignment="1">
      <alignment horizontal="center"/>
    </xf>
    <xf numFmtId="3" fontId="20" fillId="9" borderId="17" xfId="1" applyNumberFormat="1" applyFont="1" applyFill="1" applyBorder="1" applyAlignment="1">
      <alignment horizontal="right"/>
    </xf>
    <xf numFmtId="3" fontId="20" fillId="9" borderId="64" xfId="1" applyNumberFormat="1" applyFont="1" applyFill="1" applyBorder="1" applyAlignment="1">
      <alignment horizontal="right"/>
    </xf>
    <xf numFmtId="3" fontId="20" fillId="9" borderId="51" xfId="1" applyNumberFormat="1" applyFont="1" applyFill="1" applyBorder="1" applyAlignment="1">
      <alignment horizontal="right"/>
    </xf>
    <xf numFmtId="3" fontId="20" fillId="12" borderId="41" xfId="1" applyNumberFormat="1" applyFont="1" applyFill="1" applyBorder="1" applyAlignment="1">
      <alignment horizontal="right"/>
    </xf>
    <xf numFmtId="3" fontId="20" fillId="12" borderId="29" xfId="1" applyNumberFormat="1" applyFont="1" applyFill="1" applyBorder="1" applyAlignment="1">
      <alignment horizontal="right"/>
    </xf>
    <xf numFmtId="3" fontId="20" fillId="12" borderId="43" xfId="1" applyNumberFormat="1" applyFont="1" applyFill="1" applyBorder="1" applyAlignment="1">
      <alignment horizontal="right"/>
    </xf>
    <xf numFmtId="3" fontId="20" fillId="12" borderId="40" xfId="1" applyNumberFormat="1" applyFont="1" applyFill="1" applyBorder="1" applyAlignment="1">
      <alignment horizontal="right"/>
    </xf>
    <xf numFmtId="3" fontId="20" fillId="16" borderId="42" xfId="1" applyNumberFormat="1" applyFont="1" applyFill="1" applyBorder="1" applyAlignment="1">
      <alignment horizontal="right"/>
    </xf>
    <xf numFmtId="3" fontId="20" fillId="14" borderId="42" xfId="1" applyNumberFormat="1" applyFont="1" applyFill="1" applyBorder="1" applyAlignment="1">
      <alignment horizontal="right"/>
    </xf>
    <xf numFmtId="3" fontId="20"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1" fontId="6" fillId="13" borderId="38" xfId="1" applyNumberFormat="1" applyFont="1" applyFill="1" applyBorder="1" applyAlignment="1">
      <alignment horizontal="right"/>
    </xf>
    <xf numFmtId="49" fontId="20" fillId="0" borderId="0" xfId="0" applyNumberFormat="1" applyFont="1" applyFill="1" applyBorder="1" applyAlignment="1">
      <alignment vertical="center"/>
    </xf>
    <xf numFmtId="49" fontId="20" fillId="2" borderId="32" xfId="0" applyNumberFormat="1" applyFont="1" applyFill="1" applyBorder="1" applyAlignment="1">
      <alignment vertical="center"/>
    </xf>
    <xf numFmtId="49" fontId="20" fillId="2" borderId="33" xfId="0" applyNumberFormat="1" applyFont="1" applyFill="1" applyBorder="1" applyAlignment="1">
      <alignment vertical="center"/>
    </xf>
    <xf numFmtId="6" fontId="20" fillId="2" borderId="69" xfId="1" applyNumberFormat="1" applyFont="1" applyFill="1" applyBorder="1" applyAlignment="1">
      <alignment horizontal="right"/>
    </xf>
    <xf numFmtId="38" fontId="20" fillId="2" borderId="69" xfId="1" applyNumberFormat="1" applyFont="1" applyFill="1" applyBorder="1" applyAlignment="1">
      <alignment horizontal="right"/>
    </xf>
    <xf numFmtId="3" fontId="20" fillId="2" borderId="61" xfId="1" applyNumberFormat="1" applyFont="1" applyFill="1" applyBorder="1" applyAlignment="1">
      <alignment horizontal="right"/>
    </xf>
    <xf numFmtId="0" fontId="43" fillId="0" borderId="0" xfId="0" applyFont="1" applyFill="1" applyAlignment="1">
      <alignment horizontal="center" wrapText="1"/>
    </xf>
    <xf numFmtId="41" fontId="37" fillId="0" borderId="0" xfId="0" applyNumberFormat="1" applyFont="1" applyFill="1" applyAlignment="1">
      <alignment horizontal="center" vertical="center" wrapText="1"/>
    </xf>
    <xf numFmtId="0" fontId="40" fillId="0" borderId="0" xfId="0" applyFont="1" applyFill="1" applyAlignment="1">
      <alignment horizontal="center" vertical="center" wrapText="1"/>
    </xf>
    <xf numFmtId="44" fontId="8"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7" fontId="17" fillId="0" borderId="0" xfId="0" applyNumberFormat="1" applyFont="1" applyFill="1" applyBorder="1" applyAlignment="1">
      <alignment vertical="center"/>
    </xf>
    <xf numFmtId="6" fontId="37" fillId="0" borderId="0" xfId="0" applyNumberFormat="1" applyFont="1" applyFill="1" applyBorder="1" applyAlignment="1">
      <alignment horizontal="center" wrapText="1"/>
    </xf>
    <xf numFmtId="0" fontId="36" fillId="0" borderId="0" xfId="0" applyFont="1" applyFill="1" applyAlignment="1">
      <alignment horizontal="left" vertical="top" wrapText="1"/>
    </xf>
    <xf numFmtId="0" fontId="36" fillId="0" borderId="0" xfId="0" applyFont="1" applyFill="1" applyAlignment="1">
      <alignment horizontal="left" wrapText="1"/>
    </xf>
    <xf numFmtId="41" fontId="37" fillId="0" borderId="0" xfId="0" applyNumberFormat="1" applyFont="1" applyFill="1" applyAlignment="1">
      <alignment horizontal="center" vertical="center" wrapText="1"/>
    </xf>
    <xf numFmtId="3" fontId="0" fillId="0" borderId="0" xfId="0" applyNumberFormat="1" applyFont="1" applyFill="1" applyBorder="1" applyAlignment="1">
      <alignment horizontal="center"/>
    </xf>
    <xf numFmtId="4" fontId="0" fillId="0" borderId="0" xfId="0" applyNumberFormat="1" applyFont="1" applyFill="1" applyBorder="1"/>
    <xf numFmtId="40" fontId="67" fillId="0" borderId="45" xfId="0" applyNumberFormat="1" applyFont="1" applyFill="1" applyBorder="1" applyAlignment="1">
      <alignment horizontal="center"/>
    </xf>
    <xf numFmtId="166" fontId="28" fillId="0" borderId="27" xfId="0" applyNumberFormat="1" applyFont="1" applyFill="1" applyBorder="1" applyAlignment="1">
      <alignment horizontal="center"/>
    </xf>
    <xf numFmtId="166" fontId="21" fillId="0" borderId="27" xfId="0" applyNumberFormat="1" applyFont="1" applyFill="1" applyBorder="1" applyAlignment="1">
      <alignment horizontal="center"/>
    </xf>
    <xf numFmtId="166" fontId="28"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7" fillId="0" borderId="0" xfId="0" applyFont="1" applyFill="1" applyBorder="1" applyAlignment="1">
      <alignment vertical="center"/>
    </xf>
    <xf numFmtId="165" fontId="37" fillId="0" borderId="0" xfId="0" applyNumberFormat="1" applyFont="1" applyFill="1" applyAlignment="1">
      <alignment horizontal="center" wrapText="1"/>
    </xf>
    <xf numFmtId="165" fontId="37" fillId="0" borderId="31" xfId="0" applyNumberFormat="1" applyFont="1" applyFill="1" applyBorder="1" applyAlignment="1">
      <alignment horizontal="center" wrapText="1"/>
    </xf>
    <xf numFmtId="0" fontId="20" fillId="0" borderId="0" xfId="0" applyNumberFormat="1" applyFont="1" applyBorder="1" applyAlignment="1">
      <alignment horizontal="right" vertical="center"/>
    </xf>
    <xf numFmtId="165" fontId="6" fillId="0" borderId="0" xfId="0" applyNumberFormat="1" applyFont="1" applyBorder="1" applyAlignment="1">
      <alignment horizontal="right" vertical="center"/>
    </xf>
    <xf numFmtId="6" fontId="20" fillId="0" borderId="0" xfId="0" applyNumberFormat="1" applyFont="1" applyFill="1" applyBorder="1"/>
    <xf numFmtId="6" fontId="20" fillId="0" borderId="0" xfId="0" applyNumberFormat="1" applyFont="1" applyFill="1" applyBorder="1" applyAlignment="1">
      <alignment horizontal="center" vertical="center"/>
    </xf>
    <xf numFmtId="6" fontId="6" fillId="0" borderId="0" xfId="1" applyNumberFormat="1" applyFont="1" applyFill="1" applyBorder="1" applyAlignment="1">
      <alignment horizontal="right"/>
    </xf>
    <xf numFmtId="171" fontId="6" fillId="0" borderId="0" xfId="1" applyNumberFormat="1" applyFont="1" applyFill="1" applyBorder="1" applyAlignment="1">
      <alignment horizontal="right"/>
    </xf>
    <xf numFmtId="0" fontId="37" fillId="0" borderId="0" xfId="0" applyFont="1" applyFill="1" applyAlignment="1">
      <alignment horizontal="left" wrapText="1"/>
    </xf>
    <xf numFmtId="42" fontId="0" fillId="0" borderId="2" xfId="0" applyNumberFormat="1" applyFont="1" applyFill="1" applyBorder="1" applyAlignment="1">
      <alignment horizontal="left" vertical="top" wrapText="1"/>
    </xf>
    <xf numFmtId="167" fontId="60"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6"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3" fillId="0" borderId="11" xfId="0" applyNumberFormat="1" applyFont="1" applyBorder="1" applyAlignment="1">
      <alignment horizontal="center"/>
    </xf>
    <xf numFmtId="41" fontId="15" fillId="0" borderId="30" xfId="0" applyNumberFormat="1" applyFont="1" applyBorder="1" applyAlignment="1">
      <alignment horizontal="center" vertical="center"/>
    </xf>
    <xf numFmtId="38" fontId="52" fillId="0" borderId="0" xfId="0" applyNumberFormat="1" applyFont="1" applyFill="1"/>
    <xf numFmtId="14" fontId="0" fillId="0" borderId="0" xfId="0" applyNumberFormat="1" applyFill="1"/>
    <xf numFmtId="37" fontId="0" fillId="0" borderId="11" xfId="1" applyNumberFormat="1" applyFont="1" applyBorder="1"/>
    <xf numFmtId="43" fontId="16" fillId="0" borderId="0" xfId="0" applyNumberFormat="1" applyFont="1" applyBorder="1" applyAlignment="1">
      <alignment vertical="center"/>
    </xf>
    <xf numFmtId="41" fontId="56" fillId="0" borderId="0" xfId="0" applyNumberFormat="1" applyFont="1" applyFill="1" applyBorder="1" applyAlignment="1">
      <alignment vertical="center"/>
    </xf>
    <xf numFmtId="43" fontId="56" fillId="0" borderId="0" xfId="0" applyNumberFormat="1" applyFont="1" applyFill="1" applyBorder="1" applyAlignment="1">
      <alignment vertical="center"/>
    </xf>
    <xf numFmtId="41" fontId="56" fillId="0" borderId="0" xfId="0" applyNumberFormat="1" applyFont="1" applyFill="1" applyBorder="1" applyAlignment="1">
      <alignment horizontal="right" vertical="center"/>
    </xf>
    <xf numFmtId="41" fontId="56" fillId="0" borderId="2" xfId="0" applyNumberFormat="1" applyFont="1" applyFill="1" applyBorder="1" applyAlignment="1">
      <alignment vertical="center"/>
    </xf>
    <xf numFmtId="2" fontId="0" fillId="0" borderId="0" xfId="0" applyNumberFormat="1" applyFill="1"/>
    <xf numFmtId="41" fontId="37"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37" fillId="0" borderId="0" xfId="0" applyFont="1" applyFill="1" applyAlignment="1">
      <alignment horizontal="left" vertical="top" wrapText="1"/>
    </xf>
    <xf numFmtId="0" fontId="37" fillId="0" borderId="0" xfId="0" applyFont="1" applyFill="1" applyAlignment="1">
      <alignment horizontal="center"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36" fillId="0" borderId="0" xfId="0" applyFont="1" applyFill="1" applyAlignment="1">
      <alignment horizontal="left"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3" fillId="0" borderId="11" xfId="0" applyFont="1" applyFill="1" applyBorder="1" applyAlignment="1">
      <alignment horizontal="center" vertical="top" wrapText="1"/>
    </xf>
    <xf numFmtId="0" fontId="36" fillId="0" borderId="0" xfId="0" applyFont="1" applyFill="1" applyAlignment="1">
      <alignment horizontal="left" vertical="top" wrapText="1"/>
    </xf>
    <xf numFmtId="0" fontId="37"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2" fillId="0" borderId="11" xfId="0" applyFont="1" applyFill="1" applyBorder="1" applyAlignment="1">
      <alignment horizontal="left" vertical="top" wrapText="1"/>
    </xf>
    <xf numFmtId="0" fontId="37" fillId="0" borderId="0" xfId="0" applyFont="1" applyFill="1" applyAlignment="1">
      <alignment horizontal="right" vertical="center" wrapText="1"/>
    </xf>
    <xf numFmtId="0" fontId="37" fillId="0" borderId="0" xfId="0" applyFont="1" applyFill="1" applyAlignment="1">
      <alignment horizontal="left" vertical="center" wrapText="1"/>
    </xf>
    <xf numFmtId="41" fontId="37" fillId="0" borderId="0" xfId="0" applyNumberFormat="1" applyFont="1" applyFill="1" applyAlignment="1">
      <alignment horizontal="center" vertical="center" wrapText="1"/>
    </xf>
    <xf numFmtId="0" fontId="37" fillId="0" borderId="0" xfId="0" applyFont="1" applyFill="1" applyAlignment="1">
      <alignment horizontal="left" vertical="center" wrapText="1" indent="2"/>
    </xf>
    <xf numFmtId="0" fontId="40" fillId="0" borderId="0" xfId="0" applyFont="1" applyFill="1" applyAlignment="1">
      <alignment horizontal="right" vertical="center" wrapText="1"/>
    </xf>
    <xf numFmtId="0" fontId="40" fillId="0" borderId="0" xfId="0" applyFont="1" applyFill="1" applyAlignment="1">
      <alignment horizontal="left" vertical="center" wrapText="1"/>
    </xf>
    <xf numFmtId="0" fontId="40" fillId="0" borderId="0" xfId="0" applyFont="1" applyFill="1" applyAlignment="1">
      <alignment horizontal="center" vertical="center" wrapText="1"/>
    </xf>
    <xf numFmtId="0" fontId="62" fillId="0" borderId="0" xfId="0" applyFont="1" applyFill="1" applyAlignment="1">
      <alignment horizontal="center" vertical="center" wrapText="1"/>
    </xf>
    <xf numFmtId="0" fontId="36" fillId="0" borderId="2" xfId="0" applyFont="1" applyFill="1" applyBorder="1" applyAlignment="1">
      <alignment horizontal="left" vertical="top" wrapText="1"/>
    </xf>
    <xf numFmtId="0" fontId="35" fillId="0" borderId="0" xfId="0" applyFont="1" applyFill="1" applyAlignment="1">
      <alignment horizontal="center" vertical="center"/>
    </xf>
    <xf numFmtId="168" fontId="35" fillId="0" borderId="0" xfId="0" applyNumberFormat="1" applyFont="1" applyFill="1" applyAlignment="1">
      <alignment horizontal="center" vertical="center"/>
    </xf>
    <xf numFmtId="0" fontId="43" fillId="0" borderId="0" xfId="0" applyFont="1" applyFill="1" applyAlignment="1">
      <alignment horizontal="center" vertical="center" wrapText="1"/>
    </xf>
    <xf numFmtId="0" fontId="5" fillId="3" borderId="32" xfId="0" applyFont="1" applyFill="1" applyBorder="1" applyAlignment="1">
      <alignment horizontal="center" vertical="center"/>
    </xf>
    <xf numFmtId="0" fontId="5" fillId="3" borderId="42"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5" fillId="3" borderId="33" xfId="0" applyFont="1" applyFill="1" applyBorder="1" applyAlignment="1">
      <alignment horizontal="center" vertical="center"/>
    </xf>
    <xf numFmtId="0" fontId="0" fillId="0" borderId="23" xfId="0" applyFont="1" applyFill="1" applyBorder="1" applyAlignment="1">
      <alignment horizontal="left"/>
    </xf>
    <xf numFmtId="0" fontId="0" fillId="0" borderId="50" xfId="0" applyFill="1" applyBorder="1" applyAlignment="1">
      <alignment horizontal="left"/>
    </xf>
    <xf numFmtId="0" fontId="0" fillId="0" borderId="23"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0" fillId="5" borderId="34" xfId="0" applyNumberFormat="1" applyFont="1" applyFill="1" applyBorder="1" applyAlignment="1">
      <alignment horizontal="left"/>
    </xf>
    <xf numFmtId="49" fontId="20" fillId="5" borderId="28" xfId="0" applyNumberFormat="1" applyFont="1" applyFill="1" applyBorder="1" applyAlignment="1">
      <alignment horizontal="left"/>
    </xf>
    <xf numFmtId="49" fontId="20" fillId="12" borderId="35" xfId="0" applyNumberFormat="1" applyFont="1" applyFill="1" applyBorder="1" applyAlignment="1">
      <alignment horizontal="center" vertical="center"/>
    </xf>
    <xf numFmtId="49" fontId="20" fillId="12" borderId="52" xfId="0" applyNumberFormat="1" applyFont="1" applyFill="1" applyBorder="1" applyAlignment="1">
      <alignment horizontal="center" vertical="center"/>
    </xf>
    <xf numFmtId="49" fontId="19" fillId="0" borderId="0" xfId="0" applyNumberFormat="1" applyFont="1" applyAlignment="1">
      <alignment horizontal="center" vertical="center"/>
    </xf>
    <xf numFmtId="0" fontId="0" fillId="0" borderId="27" xfId="0" applyBorder="1" applyAlignment="1">
      <alignment horizontal="center"/>
    </xf>
    <xf numFmtId="41" fontId="15" fillId="0" borderId="30" xfId="0" applyNumberFormat="1" applyFont="1" applyBorder="1" applyAlignment="1">
      <alignment horizontal="center" vertical="center"/>
    </xf>
    <xf numFmtId="49" fontId="17" fillId="0" borderId="0" xfId="0" applyNumberFormat="1" applyFont="1" applyBorder="1" applyAlignment="1">
      <alignment horizontal="left" vertical="center"/>
    </xf>
    <xf numFmtId="49" fontId="13" fillId="0" borderId="0" xfId="0" applyNumberFormat="1" applyFont="1" applyBorder="1" applyAlignment="1">
      <alignment horizontal="center" vertical="center"/>
    </xf>
    <xf numFmtId="49" fontId="17" fillId="0" borderId="0" xfId="0" applyNumberFormat="1" applyFont="1" applyAlignment="1">
      <alignment horizontal="left" vertical="center"/>
    </xf>
    <xf numFmtId="0" fontId="63" fillId="0" borderId="32" xfId="0" applyFont="1" applyBorder="1" applyAlignment="1">
      <alignment horizontal="center"/>
    </xf>
    <xf numFmtId="0" fontId="63" fillId="0" borderId="33" xfId="0" applyFont="1" applyBorder="1" applyAlignment="1">
      <alignment horizontal="center"/>
    </xf>
    <xf numFmtId="0" fontId="63" fillId="0" borderId="42" xfId="0" applyFont="1" applyBorder="1" applyAlignment="1">
      <alignment horizontal="center"/>
    </xf>
    <xf numFmtId="49" fontId="13" fillId="0" borderId="27" xfId="0" applyNumberFormat="1" applyFont="1" applyBorder="1" applyAlignment="1">
      <alignment horizontal="center" wrapText="1"/>
    </xf>
    <xf numFmtId="49" fontId="13" fillId="0" borderId="0" xfId="0" applyNumberFormat="1" applyFont="1" applyAlignment="1">
      <alignment horizontal="left" vertical="center"/>
    </xf>
    <xf numFmtId="2" fontId="0" fillId="0" borderId="0" xfId="1" applyNumberFormat="1" applyFont="1" applyFill="1" applyBorder="1" applyAlignment="1"/>
    <xf numFmtId="38" fontId="20" fillId="5" borderId="20" xfId="1" applyNumberFormat="1" applyFont="1" applyFill="1" applyBorder="1" applyAlignment="1">
      <alignment horizontal="right"/>
    </xf>
    <xf numFmtId="49" fontId="20" fillId="17" borderId="32" xfId="0" applyNumberFormat="1" applyFont="1" applyFill="1" applyBorder="1" applyAlignment="1">
      <alignment vertical="center"/>
    </xf>
    <xf numFmtId="49" fontId="20" fillId="17" borderId="33" xfId="0" applyNumberFormat="1" applyFont="1" applyFill="1" applyBorder="1" applyAlignment="1">
      <alignment vertical="center"/>
    </xf>
    <xf numFmtId="6" fontId="20" fillId="17" borderId="69" xfId="1" applyNumberFormat="1" applyFont="1" applyFill="1" applyBorder="1" applyAlignment="1">
      <alignment horizontal="right"/>
    </xf>
    <xf numFmtId="38" fontId="20" fillId="17" borderId="69" xfId="1" applyNumberFormat="1" applyFont="1" applyFill="1" applyBorder="1" applyAlignment="1">
      <alignment horizontal="right"/>
    </xf>
    <xf numFmtId="3" fontId="20" fillId="17" borderId="61" xfId="1" applyNumberFormat="1" applyFont="1" applyFill="1" applyBorder="1" applyAlignment="1">
      <alignment horizontal="right"/>
    </xf>
    <xf numFmtId="38" fontId="32" fillId="0" borderId="45" xfId="1" applyNumberFormat="1" applyFont="1" applyFill="1" applyBorder="1" applyAlignment="1"/>
    <xf numFmtId="0" fontId="0" fillId="0" borderId="59" xfId="0" applyFill="1" applyBorder="1" applyAlignment="1">
      <alignment horizontal="left"/>
    </xf>
    <xf numFmtId="14" fontId="0" fillId="0" borderId="3" xfId="0" applyNumberFormat="1" applyFill="1" applyBorder="1" applyAlignment="1">
      <alignment horizontal="center"/>
    </xf>
    <xf numFmtId="38" fontId="0" fillId="0" borderId="59" xfId="1" applyNumberFormat="1" applyFont="1" applyFill="1" applyBorder="1" applyAlignment="1"/>
    <xf numFmtId="41" fontId="0" fillId="0" borderId="59" xfId="1" applyNumberFormat="1" applyFont="1" applyFill="1" applyBorder="1" applyAlignment="1"/>
    <xf numFmtId="0" fontId="5" fillId="3" borderId="70" xfId="0" applyFont="1" applyFill="1" applyBorder="1" applyAlignment="1">
      <alignment horizontal="center" vertical="center"/>
    </xf>
    <xf numFmtId="14" fontId="0" fillId="0" borderId="49" xfId="0" applyNumberFormat="1" applyFont="1" applyFill="1" applyBorder="1" applyAlignment="1">
      <alignment horizontal="left"/>
    </xf>
    <xf numFmtId="0" fontId="0" fillId="0" borderId="48" xfId="0" applyFill="1" applyBorder="1"/>
    <xf numFmtId="0" fontId="0" fillId="0" borderId="59" xfId="0" applyFill="1" applyBorder="1"/>
    <xf numFmtId="0" fontId="60" fillId="0" borderId="49" xfId="0" applyFont="1" applyFill="1" applyBorder="1"/>
    <xf numFmtId="0" fontId="0" fillId="0" borderId="63" xfId="0" applyFill="1" applyBorder="1"/>
    <xf numFmtId="40" fontId="5" fillId="3" borderId="45" xfId="0" applyNumberFormat="1" applyFont="1" applyFill="1" applyBorder="1" applyAlignment="1">
      <alignment horizontal="center" vertical="center" wrapText="1"/>
    </xf>
    <xf numFmtId="41" fontId="0" fillId="0" borderId="45" xfId="1" applyNumberFormat="1" applyFont="1" applyFill="1" applyBorder="1" applyAlignment="1">
      <alignment horizontal="center"/>
    </xf>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14" fontId="0" fillId="0" borderId="43" xfId="0" applyNumberFormat="1" applyFill="1" applyBorder="1" applyAlignment="1">
      <alignment horizontal="center"/>
    </xf>
    <xf numFmtId="14" fontId="0" fillId="0" borderId="71" xfId="0" applyNumberFormat="1" applyFill="1" applyBorder="1" applyAlignment="1">
      <alignment horizontal="center"/>
    </xf>
    <xf numFmtId="14" fontId="0" fillId="0" borderId="7" xfId="0" applyNumberFormat="1" applyFill="1" applyBorder="1" applyAlignment="1">
      <alignment horizontal="center" vertical="center"/>
    </xf>
    <xf numFmtId="14" fontId="0" fillId="0" borderId="72" xfId="0" applyNumberFormat="1" applyFill="1" applyBorder="1" applyAlignment="1">
      <alignment horizontal="center"/>
    </xf>
    <xf numFmtId="0" fontId="0" fillId="0" borderId="48" xfId="0" applyFill="1" applyBorder="1" applyAlignment="1">
      <alignment horizontal="center"/>
    </xf>
    <xf numFmtId="0" fontId="0" fillId="0" borderId="59" xfId="0" applyFill="1" applyBorder="1" applyAlignment="1">
      <alignment horizontal="center"/>
    </xf>
    <xf numFmtId="0" fontId="0" fillId="0" borderId="63" xfId="0" applyFill="1" applyBorder="1" applyAlignment="1">
      <alignment horizontal="center" vertical="center"/>
    </xf>
    <xf numFmtId="0" fontId="0" fillId="0" borderId="63" xfId="0" applyFill="1" applyBorder="1" applyAlignment="1">
      <alignment horizontal="center"/>
    </xf>
    <xf numFmtId="0" fontId="0" fillId="0" borderId="46" xfId="0" applyFill="1" applyBorder="1" applyAlignment="1">
      <alignment horizontal="center"/>
    </xf>
    <xf numFmtId="0" fontId="0" fillId="0" borderId="63" xfId="0" applyFill="1" applyBorder="1" applyAlignment="1">
      <alignment horizontal="left" vertical="center"/>
    </xf>
    <xf numFmtId="0" fontId="0" fillId="0" borderId="63" xfId="0" applyFill="1" applyBorder="1" applyAlignment="1">
      <alignment vertical="center"/>
    </xf>
    <xf numFmtId="14" fontId="0" fillId="0" borderId="5" xfId="0" applyNumberFormat="1" applyFill="1" applyBorder="1" applyAlignment="1">
      <alignment horizontal="center" vertical="center"/>
    </xf>
    <xf numFmtId="38" fontId="0" fillId="0" borderId="63" xfId="1" applyNumberFormat="1" applyFont="1" applyFill="1" applyBorder="1" applyAlignment="1">
      <alignment horizontal="right" vertical="center"/>
    </xf>
    <xf numFmtId="41" fontId="0" fillId="0" borderId="63" xfId="1" applyNumberFormat="1" applyFont="1" applyFill="1" applyBorder="1" applyAlignment="1">
      <alignment vertical="center"/>
    </xf>
    <xf numFmtId="38" fontId="0" fillId="0" borderId="63" xfId="1" applyNumberFormat="1" applyFont="1" applyFill="1" applyBorder="1" applyAlignment="1">
      <alignment vertical="center"/>
    </xf>
    <xf numFmtId="17" fontId="0" fillId="0" borderId="2" xfId="0" applyNumberFormat="1" applyFont="1" applyFill="1" applyBorder="1" applyAlignment="1">
      <alignment horizontal="left" wrapText="1"/>
    </xf>
    <xf numFmtId="0" fontId="36" fillId="0" borderId="0" xfId="0" applyFont="1" applyFill="1" applyAlignment="1">
      <alignment horizontal="left" vertical="center" wrapText="1"/>
    </xf>
    <xf numFmtId="41" fontId="7" fillId="0" borderId="0" xfId="0" applyNumberFormat="1" applyFont="1" applyFill="1" applyBorder="1" applyAlignment="1">
      <alignment vertical="center"/>
    </xf>
    <xf numFmtId="0" fontId="0" fillId="0" borderId="1" xfId="0" applyFont="1" applyFill="1" applyBorder="1" applyAlignment="1">
      <alignment horizontal="left"/>
    </xf>
    <xf numFmtId="0" fontId="0" fillId="0" borderId="1" xfId="0" applyFill="1" applyBorder="1" applyAlignment="1">
      <alignment horizontal="left"/>
    </xf>
    <xf numFmtId="0" fontId="0" fillId="0" borderId="73" xfId="0" applyFill="1" applyBorder="1" applyAlignment="1">
      <alignment horizontal="left"/>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Data!$A$525:$A$1046</c:f>
              <c:numCache>
                <c:formatCode>[$-F800]dddd\,\ mmmm\ dd\,\ yyyy</c:formatCode>
                <c:ptCount val="5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numCache>
            </c:numRef>
          </c:cat>
          <c:val>
            <c:numRef>
              <c:f>Data!$B$525:$B$1046</c:f>
              <c:numCache>
                <c:formatCode>#,##0_);[Red]\(#,##0\)</c:formatCode>
                <c:ptCount val="522"/>
                <c:pt idx="0">
                  <c:v>282559</c:v>
                </c:pt>
                <c:pt idx="1">
                  <c:v>282508.58</c:v>
                </c:pt>
                <c:pt idx="2">
                  <c:v>282509</c:v>
                </c:pt>
                <c:pt idx="3">
                  <c:v>283213.14</c:v>
                </c:pt>
                <c:pt idx="4">
                  <c:v>297779.06</c:v>
                </c:pt>
                <c:pt idx="5">
                  <c:v>263886.2</c:v>
                </c:pt>
                <c:pt idx="6">
                  <c:v>277030.96999999997</c:v>
                </c:pt>
                <c:pt idx="7">
                  <c:v>277031</c:v>
                </c:pt>
                <c:pt idx="8">
                  <c:v>281394.14</c:v>
                </c:pt>
                <c:pt idx="9">
                  <c:v>281470.18</c:v>
                </c:pt>
                <c:pt idx="10">
                  <c:v>281470</c:v>
                </c:pt>
                <c:pt idx="11">
                  <c:v>284325.94</c:v>
                </c:pt>
                <c:pt idx="12">
                  <c:v>305911.78000000003</c:v>
                </c:pt>
                <c:pt idx="13">
                  <c:v>305752.93</c:v>
                </c:pt>
                <c:pt idx="14">
                  <c:v>332730.14</c:v>
                </c:pt>
                <c:pt idx="15">
                  <c:v>291419.49</c:v>
                </c:pt>
                <c:pt idx="16">
                  <c:v>293419.65000000002</c:v>
                </c:pt>
                <c:pt idx="17">
                  <c:v>293420</c:v>
                </c:pt>
                <c:pt idx="18">
                  <c:v>301331.82</c:v>
                </c:pt>
                <c:pt idx="19">
                  <c:v>327084.28999999998</c:v>
                </c:pt>
                <c:pt idx="20">
                  <c:v>327084</c:v>
                </c:pt>
                <c:pt idx="21">
                  <c:v>327084</c:v>
                </c:pt>
                <c:pt idx="22">
                  <c:v>337130.63</c:v>
                </c:pt>
                <c:pt idx="23">
                  <c:v>334292.59999999998</c:v>
                </c:pt>
                <c:pt idx="24">
                  <c:v>335977.23</c:v>
                </c:pt>
                <c:pt idx="25">
                  <c:v>300614.99</c:v>
                </c:pt>
                <c:pt idx="26">
                  <c:v>295509.53999999998</c:v>
                </c:pt>
                <c:pt idx="27">
                  <c:v>295510</c:v>
                </c:pt>
                <c:pt idx="28">
                  <c:v>295623.09999999998</c:v>
                </c:pt>
                <c:pt idx="29">
                  <c:v>295623</c:v>
                </c:pt>
                <c:pt idx="30">
                  <c:v>299232.09999999998</c:v>
                </c:pt>
                <c:pt idx="31">
                  <c:v>304422.01</c:v>
                </c:pt>
                <c:pt idx="32">
                  <c:v>330191.24</c:v>
                </c:pt>
                <c:pt idx="33">
                  <c:v>313471.64</c:v>
                </c:pt>
                <c:pt idx="34">
                  <c:v>313472</c:v>
                </c:pt>
                <c:pt idx="35">
                  <c:v>313472</c:v>
                </c:pt>
                <c:pt idx="36">
                  <c:v>277471.58</c:v>
                </c:pt>
                <c:pt idx="37">
                  <c:v>287526.92</c:v>
                </c:pt>
                <c:pt idx="38">
                  <c:v>296486.64</c:v>
                </c:pt>
                <c:pt idx="39">
                  <c:v>296487</c:v>
                </c:pt>
                <c:pt idx="40">
                  <c:v>296487</c:v>
                </c:pt>
                <c:pt idx="41">
                  <c:v>335911.5</c:v>
                </c:pt>
                <c:pt idx="42">
                  <c:v>335912</c:v>
                </c:pt>
                <c:pt idx="43">
                  <c:v>330042.21999999997</c:v>
                </c:pt>
                <c:pt idx="44">
                  <c:v>367034.5</c:v>
                </c:pt>
                <c:pt idx="45">
                  <c:v>330990.42</c:v>
                </c:pt>
                <c:pt idx="46">
                  <c:v>333065.89</c:v>
                </c:pt>
                <c:pt idx="47">
                  <c:v>331065.89</c:v>
                </c:pt>
                <c:pt idx="48">
                  <c:v>331092.17</c:v>
                </c:pt>
                <c:pt idx="49">
                  <c:v>311733.17</c:v>
                </c:pt>
                <c:pt idx="50">
                  <c:v>317116.19</c:v>
                </c:pt>
                <c:pt idx="51">
                  <c:v>317116</c:v>
                </c:pt>
                <c:pt idx="52">
                  <c:v>317496.19</c:v>
                </c:pt>
                <c:pt idx="53">
                  <c:v>317772.45</c:v>
                </c:pt>
                <c:pt idx="54">
                  <c:v>317772</c:v>
                </c:pt>
                <c:pt idx="55">
                  <c:v>279446.55</c:v>
                </c:pt>
                <c:pt idx="56">
                  <c:v>272785.62</c:v>
                </c:pt>
                <c:pt idx="57">
                  <c:v>288240.15999999997</c:v>
                </c:pt>
                <c:pt idx="58">
                  <c:v>278742.74</c:v>
                </c:pt>
                <c:pt idx="59">
                  <c:v>278840.24</c:v>
                </c:pt>
                <c:pt idx="60">
                  <c:v>278942.24</c:v>
                </c:pt>
                <c:pt idx="61">
                  <c:v>257048.49</c:v>
                </c:pt>
                <c:pt idx="62">
                  <c:v>252662.47</c:v>
                </c:pt>
                <c:pt idx="63">
                  <c:v>254708.73</c:v>
                </c:pt>
                <c:pt idx="64">
                  <c:v>281702.86</c:v>
                </c:pt>
                <c:pt idx="65">
                  <c:v>244220.77</c:v>
                </c:pt>
                <c:pt idx="66">
                  <c:v>244221</c:v>
                </c:pt>
                <c:pt idx="67">
                  <c:v>244221</c:v>
                </c:pt>
                <c:pt idx="68">
                  <c:v>225503.87</c:v>
                </c:pt>
                <c:pt idx="69">
                  <c:v>225504</c:v>
                </c:pt>
                <c:pt idx="70">
                  <c:v>225503.8</c:v>
                </c:pt>
                <c:pt idx="71">
                  <c:v>227389.96</c:v>
                </c:pt>
                <c:pt idx="72">
                  <c:v>235472.53</c:v>
                </c:pt>
                <c:pt idx="73">
                  <c:v>222207.84</c:v>
                </c:pt>
                <c:pt idx="74">
                  <c:v>222287.93</c:v>
                </c:pt>
                <c:pt idx="75">
                  <c:v>186664.28</c:v>
                </c:pt>
                <c:pt idx="76">
                  <c:v>188484.95</c:v>
                </c:pt>
                <c:pt idx="77">
                  <c:v>188485</c:v>
                </c:pt>
                <c:pt idx="78">
                  <c:v>180474.73</c:v>
                </c:pt>
                <c:pt idx="79">
                  <c:v>188207.38</c:v>
                </c:pt>
                <c:pt idx="80">
                  <c:v>198618.83</c:v>
                </c:pt>
                <c:pt idx="81">
                  <c:v>198619</c:v>
                </c:pt>
                <c:pt idx="82">
                  <c:v>198619</c:v>
                </c:pt>
                <c:pt idx="83">
                  <c:v>189089.55</c:v>
                </c:pt>
                <c:pt idx="84">
                  <c:v>216053.77</c:v>
                </c:pt>
                <c:pt idx="85">
                  <c:v>179849.52</c:v>
                </c:pt>
                <c:pt idx="86">
                  <c:v>179850</c:v>
                </c:pt>
                <c:pt idx="87">
                  <c:v>173749.01</c:v>
                </c:pt>
                <c:pt idx="88">
                  <c:v>200792.85</c:v>
                </c:pt>
                <c:pt idx="89">
                  <c:v>202331.91</c:v>
                </c:pt>
                <c:pt idx="90">
                  <c:v>203517.87</c:v>
                </c:pt>
                <c:pt idx="91">
                  <c:v>203518</c:v>
                </c:pt>
                <c:pt idx="92">
                  <c:v>203518</c:v>
                </c:pt>
                <c:pt idx="93">
                  <c:v>191114.58</c:v>
                </c:pt>
                <c:pt idx="94">
                  <c:v>153114.57999999999</c:v>
                </c:pt>
                <c:pt idx="95">
                  <c:v>153115</c:v>
                </c:pt>
                <c:pt idx="96">
                  <c:v>182792.08</c:v>
                </c:pt>
                <c:pt idx="97">
                  <c:v>182792</c:v>
                </c:pt>
                <c:pt idx="98">
                  <c:v>222152.66</c:v>
                </c:pt>
                <c:pt idx="99">
                  <c:v>222153</c:v>
                </c:pt>
                <c:pt idx="100">
                  <c:v>222153</c:v>
                </c:pt>
                <c:pt idx="101">
                  <c:v>222153</c:v>
                </c:pt>
                <c:pt idx="102">
                  <c:v>222152</c:v>
                </c:pt>
                <c:pt idx="103">
                  <c:v>211720.43</c:v>
                </c:pt>
                <c:pt idx="104">
                  <c:v>211720</c:v>
                </c:pt>
                <c:pt idx="105">
                  <c:v>211720</c:v>
                </c:pt>
                <c:pt idx="106">
                  <c:v>176327.95</c:v>
                </c:pt>
                <c:pt idx="107">
                  <c:v>176328</c:v>
                </c:pt>
                <c:pt idx="108">
                  <c:v>169004.5</c:v>
                </c:pt>
                <c:pt idx="109">
                  <c:v>261992.26</c:v>
                </c:pt>
                <c:pt idx="110">
                  <c:v>270521.09000000003</c:v>
                </c:pt>
                <c:pt idx="111">
                  <c:v>285365.09000000003</c:v>
                </c:pt>
                <c:pt idx="112">
                  <c:v>285365</c:v>
                </c:pt>
                <c:pt idx="113">
                  <c:v>287246.65999999997</c:v>
                </c:pt>
                <c:pt idx="114">
                  <c:v>287247</c:v>
                </c:pt>
                <c:pt idx="115">
                  <c:v>287247</c:v>
                </c:pt>
                <c:pt idx="116">
                  <c:v>253042.79</c:v>
                </c:pt>
                <c:pt idx="117">
                  <c:v>253043</c:v>
                </c:pt>
                <c:pt idx="118">
                  <c:v>246521.36</c:v>
                </c:pt>
                <c:pt idx="119">
                  <c:v>246593.56</c:v>
                </c:pt>
                <c:pt idx="120">
                  <c:v>246594</c:v>
                </c:pt>
                <c:pt idx="121">
                  <c:v>246594</c:v>
                </c:pt>
                <c:pt idx="122">
                  <c:v>246594</c:v>
                </c:pt>
                <c:pt idx="123">
                  <c:v>228395.48</c:v>
                </c:pt>
                <c:pt idx="124">
                  <c:v>228395</c:v>
                </c:pt>
                <c:pt idx="125">
                  <c:v>192627.9</c:v>
                </c:pt>
                <c:pt idx="126">
                  <c:v>192628</c:v>
                </c:pt>
                <c:pt idx="127">
                  <c:v>192628</c:v>
                </c:pt>
                <c:pt idx="128">
                  <c:v>193904.61</c:v>
                </c:pt>
                <c:pt idx="129">
                  <c:v>195328.48</c:v>
                </c:pt>
                <c:pt idx="130">
                  <c:v>199304.09</c:v>
                </c:pt>
                <c:pt idx="131">
                  <c:v>201071.11</c:v>
                </c:pt>
                <c:pt idx="132">
                  <c:v>201071</c:v>
                </c:pt>
                <c:pt idx="133">
                  <c:v>223298.16</c:v>
                </c:pt>
                <c:pt idx="134">
                  <c:v>238962.66</c:v>
                </c:pt>
                <c:pt idx="135">
                  <c:v>203086.22</c:v>
                </c:pt>
                <c:pt idx="136">
                  <c:v>226930.31</c:v>
                </c:pt>
                <c:pt idx="137">
                  <c:v>226930</c:v>
                </c:pt>
                <c:pt idx="138">
                  <c:v>220822.05</c:v>
                </c:pt>
                <c:pt idx="139">
                  <c:v>220986.35</c:v>
                </c:pt>
                <c:pt idx="140">
                  <c:v>220986</c:v>
                </c:pt>
                <c:pt idx="141">
                  <c:v>220986</c:v>
                </c:pt>
                <c:pt idx="142">
                  <c:v>197995.27</c:v>
                </c:pt>
                <c:pt idx="143">
                  <c:v>202931.61</c:v>
                </c:pt>
                <c:pt idx="144">
                  <c:v>202932</c:v>
                </c:pt>
                <c:pt idx="145">
                  <c:v>167839.6</c:v>
                </c:pt>
                <c:pt idx="146">
                  <c:v>167840</c:v>
                </c:pt>
                <c:pt idx="147">
                  <c:v>167840</c:v>
                </c:pt>
                <c:pt idx="148">
                  <c:v>180485.58</c:v>
                </c:pt>
                <c:pt idx="149">
                  <c:v>205676.09</c:v>
                </c:pt>
                <c:pt idx="150">
                  <c:v>199229.46</c:v>
                </c:pt>
                <c:pt idx="151">
                  <c:v>199612.46</c:v>
                </c:pt>
                <c:pt idx="152">
                  <c:v>327321.84000000003</c:v>
                </c:pt>
                <c:pt idx="153">
                  <c:v>328551.67</c:v>
                </c:pt>
                <c:pt idx="154">
                  <c:v>328552</c:v>
                </c:pt>
                <c:pt idx="155">
                  <c:v>293600.95</c:v>
                </c:pt>
                <c:pt idx="156">
                  <c:v>298153.56</c:v>
                </c:pt>
                <c:pt idx="157">
                  <c:v>298154</c:v>
                </c:pt>
                <c:pt idx="158">
                  <c:v>294180.65999999997</c:v>
                </c:pt>
                <c:pt idx="159">
                  <c:v>294181</c:v>
                </c:pt>
                <c:pt idx="160">
                  <c:v>294679.65999999997</c:v>
                </c:pt>
                <c:pt idx="161">
                  <c:v>294680</c:v>
                </c:pt>
                <c:pt idx="162">
                  <c:v>294761.65000000002</c:v>
                </c:pt>
                <c:pt idx="163">
                  <c:v>290632.52</c:v>
                </c:pt>
                <c:pt idx="164">
                  <c:v>290633</c:v>
                </c:pt>
                <c:pt idx="165">
                  <c:v>254427.11</c:v>
                </c:pt>
                <c:pt idx="166">
                  <c:v>255823.93</c:v>
                </c:pt>
                <c:pt idx="167">
                  <c:v>255419.13</c:v>
                </c:pt>
                <c:pt idx="168">
                  <c:v>272759.37</c:v>
                </c:pt>
                <c:pt idx="169">
                  <c:v>272846.37</c:v>
                </c:pt>
                <c:pt idx="170">
                  <c:v>272846</c:v>
                </c:pt>
                <c:pt idx="171">
                  <c:v>272846</c:v>
                </c:pt>
                <c:pt idx="172">
                  <c:v>276622.58</c:v>
                </c:pt>
                <c:pt idx="173">
                  <c:v>276623</c:v>
                </c:pt>
                <c:pt idx="174">
                  <c:v>276773.33</c:v>
                </c:pt>
                <c:pt idx="175">
                  <c:v>276773</c:v>
                </c:pt>
                <c:pt idx="176">
                  <c:v>240090.56</c:v>
                </c:pt>
                <c:pt idx="177">
                  <c:v>240091</c:v>
                </c:pt>
                <c:pt idx="178">
                  <c:v>237779.31</c:v>
                </c:pt>
                <c:pt idx="179">
                  <c:v>237779</c:v>
                </c:pt>
                <c:pt idx="180">
                  <c:v>243552.34</c:v>
                </c:pt>
                <c:pt idx="181">
                  <c:v>243552</c:v>
                </c:pt>
                <c:pt idx="182">
                  <c:v>243552</c:v>
                </c:pt>
                <c:pt idx="183">
                  <c:v>266009.96000000002</c:v>
                </c:pt>
                <c:pt idx="184">
                  <c:v>266087.59999999998</c:v>
                </c:pt>
                <c:pt idx="185">
                  <c:v>229939.6</c:v>
                </c:pt>
                <c:pt idx="186">
                  <c:v>229940</c:v>
                </c:pt>
                <c:pt idx="187">
                  <c:v>229940</c:v>
                </c:pt>
                <c:pt idx="188">
                  <c:v>226983.82</c:v>
                </c:pt>
                <c:pt idx="189">
                  <c:v>226983.82</c:v>
                </c:pt>
                <c:pt idx="190">
                  <c:v>231167.41</c:v>
                </c:pt>
                <c:pt idx="191">
                  <c:v>231298.26</c:v>
                </c:pt>
                <c:pt idx="192">
                  <c:v>231298</c:v>
                </c:pt>
                <c:pt idx="193">
                  <c:v>218195.44</c:v>
                </c:pt>
                <c:pt idx="194">
                  <c:v>218195</c:v>
                </c:pt>
                <c:pt idx="195">
                  <c:v>181738.47</c:v>
                </c:pt>
                <c:pt idx="196">
                  <c:v>175674.86</c:v>
                </c:pt>
                <c:pt idx="197">
                  <c:v>175890.11</c:v>
                </c:pt>
                <c:pt idx="198">
                  <c:v>176908.84</c:v>
                </c:pt>
                <c:pt idx="199">
                  <c:v>176909</c:v>
                </c:pt>
                <c:pt idx="200">
                  <c:v>176909</c:v>
                </c:pt>
                <c:pt idx="201">
                  <c:v>226038.22</c:v>
                </c:pt>
                <c:pt idx="202">
                  <c:v>226038</c:v>
                </c:pt>
                <c:pt idx="203">
                  <c:v>223293.31</c:v>
                </c:pt>
                <c:pt idx="204">
                  <c:v>272327.27</c:v>
                </c:pt>
                <c:pt idx="205">
                  <c:v>236397.34</c:v>
                </c:pt>
                <c:pt idx="206">
                  <c:v>236553.84</c:v>
                </c:pt>
                <c:pt idx="207">
                  <c:v>249133.92</c:v>
                </c:pt>
                <c:pt idx="208">
                  <c:v>254043.68</c:v>
                </c:pt>
                <c:pt idx="209">
                  <c:v>254064.5</c:v>
                </c:pt>
                <c:pt idx="210">
                  <c:v>290142.09999999998</c:v>
                </c:pt>
                <c:pt idx="211">
                  <c:v>290142</c:v>
                </c:pt>
                <c:pt idx="212">
                  <c:v>290034.38</c:v>
                </c:pt>
                <c:pt idx="213">
                  <c:v>291747.36</c:v>
                </c:pt>
                <c:pt idx="214">
                  <c:v>306637.48</c:v>
                </c:pt>
                <c:pt idx="215">
                  <c:v>270401.28999999998</c:v>
                </c:pt>
                <c:pt idx="216">
                  <c:v>278028.58</c:v>
                </c:pt>
                <c:pt idx="217">
                  <c:v>278029</c:v>
                </c:pt>
                <c:pt idx="218">
                  <c:v>279523.53000000003</c:v>
                </c:pt>
                <c:pt idx="219">
                  <c:v>303100.06</c:v>
                </c:pt>
                <c:pt idx="220">
                  <c:v>303100.06</c:v>
                </c:pt>
                <c:pt idx="221">
                  <c:v>303100.06</c:v>
                </c:pt>
                <c:pt idx="222">
                  <c:v>303954.14</c:v>
                </c:pt>
                <c:pt idx="223">
                  <c:v>294843.14</c:v>
                </c:pt>
                <c:pt idx="224">
                  <c:v>294843</c:v>
                </c:pt>
                <c:pt idx="225">
                  <c:v>294843</c:v>
                </c:pt>
                <c:pt idx="226">
                  <c:v>294843</c:v>
                </c:pt>
                <c:pt idx="227">
                  <c:v>259514.47</c:v>
                </c:pt>
                <c:pt idx="228">
                  <c:v>255987.45</c:v>
                </c:pt>
                <c:pt idx="229">
                  <c:v>255987.45</c:v>
                </c:pt>
                <c:pt idx="230">
                  <c:v>255987.45</c:v>
                </c:pt>
                <c:pt idx="231">
                  <c:v>254650.75</c:v>
                </c:pt>
                <c:pt idx="232">
                  <c:v>298403.21000000002</c:v>
                </c:pt>
                <c:pt idx="233">
                  <c:v>300529.64</c:v>
                </c:pt>
                <c:pt idx="234">
                  <c:v>300229.64</c:v>
                </c:pt>
                <c:pt idx="235">
                  <c:v>300230</c:v>
                </c:pt>
                <c:pt idx="236">
                  <c:v>267674.82</c:v>
                </c:pt>
                <c:pt idx="237">
                  <c:v>273448.82</c:v>
                </c:pt>
                <c:pt idx="238">
                  <c:v>252527.09</c:v>
                </c:pt>
                <c:pt idx="239">
                  <c:v>321968.59000000003</c:v>
                </c:pt>
                <c:pt idx="240">
                  <c:v>321969</c:v>
                </c:pt>
                <c:pt idx="241">
                  <c:v>321969</c:v>
                </c:pt>
                <c:pt idx="242">
                  <c:v>321969</c:v>
                </c:pt>
                <c:pt idx="243">
                  <c:v>314251.55</c:v>
                </c:pt>
                <c:pt idx="244">
                  <c:v>315739.42</c:v>
                </c:pt>
                <c:pt idx="245">
                  <c:v>315739</c:v>
                </c:pt>
                <c:pt idx="246">
                  <c:v>275506.94</c:v>
                </c:pt>
                <c:pt idx="247">
                  <c:v>275507</c:v>
                </c:pt>
                <c:pt idx="248">
                  <c:v>289896.89</c:v>
                </c:pt>
                <c:pt idx="249">
                  <c:v>313281.34999999998</c:v>
                </c:pt>
                <c:pt idx="250">
                  <c:v>313281</c:v>
                </c:pt>
                <c:pt idx="251">
                  <c:v>317556.84999999998</c:v>
                </c:pt>
                <c:pt idx="252">
                  <c:v>317557</c:v>
                </c:pt>
                <c:pt idx="253">
                  <c:v>297159.33</c:v>
                </c:pt>
                <c:pt idx="254">
                  <c:v>297159</c:v>
                </c:pt>
                <c:pt idx="255">
                  <c:v>260233.37</c:v>
                </c:pt>
                <c:pt idx="256">
                  <c:v>260233</c:v>
                </c:pt>
                <c:pt idx="257">
                  <c:v>261845.78</c:v>
                </c:pt>
                <c:pt idx="258">
                  <c:v>261846</c:v>
                </c:pt>
                <c:pt idx="259">
                  <c:v>273805.40000000002</c:v>
                </c:pt>
                <c:pt idx="260">
                  <c:v>274101.40000000002</c:v>
                </c:pt>
                <c:pt idx="261">
                  <c:v>274101</c:v>
                </c:pt>
                <c:pt idx="262">
                  <c:v>299108.40000000002</c:v>
                </c:pt>
                <c:pt idx="263">
                  <c:v>298070.78000000003</c:v>
                </c:pt>
                <c:pt idx="264">
                  <c:v>298071</c:v>
                </c:pt>
                <c:pt idx="265">
                  <c:v>298430.78000000003</c:v>
                </c:pt>
                <c:pt idx="266">
                  <c:v>264835.63</c:v>
                </c:pt>
                <c:pt idx="267">
                  <c:v>303664.65999999997</c:v>
                </c:pt>
                <c:pt idx="268">
                  <c:v>299790.71999999997</c:v>
                </c:pt>
                <c:pt idx="269">
                  <c:v>309881.71999999997</c:v>
                </c:pt>
                <c:pt idx="270">
                  <c:v>284374.78999999998</c:v>
                </c:pt>
                <c:pt idx="271">
                  <c:v>284494.75</c:v>
                </c:pt>
                <c:pt idx="272">
                  <c:v>277370.03000000003</c:v>
                </c:pt>
                <c:pt idx="273">
                  <c:v>266103.65999999997</c:v>
                </c:pt>
                <c:pt idx="274">
                  <c:v>266189.65999999997</c:v>
                </c:pt>
                <c:pt idx="275">
                  <c:v>266190</c:v>
                </c:pt>
                <c:pt idx="276">
                  <c:v>228832.05</c:v>
                </c:pt>
                <c:pt idx="277">
                  <c:v>229285.41</c:v>
                </c:pt>
                <c:pt idx="278">
                  <c:v>236709.42</c:v>
                </c:pt>
                <c:pt idx="279">
                  <c:v>236709</c:v>
                </c:pt>
                <c:pt idx="280">
                  <c:v>236400.88</c:v>
                </c:pt>
                <c:pt idx="281">
                  <c:v>236401</c:v>
                </c:pt>
                <c:pt idx="282">
                  <c:v>236401</c:v>
                </c:pt>
                <c:pt idx="283">
                  <c:v>237605.71</c:v>
                </c:pt>
                <c:pt idx="284">
                  <c:v>237728.71</c:v>
                </c:pt>
                <c:pt idx="285">
                  <c:v>201980</c:v>
                </c:pt>
                <c:pt idx="286">
                  <c:v>225615.34</c:v>
                </c:pt>
                <c:pt idx="287">
                  <c:v>225615</c:v>
                </c:pt>
                <c:pt idx="288">
                  <c:v>219151.3</c:v>
                </c:pt>
                <c:pt idx="289">
                  <c:v>219351.3</c:v>
                </c:pt>
                <c:pt idx="290">
                  <c:v>219351</c:v>
                </c:pt>
                <c:pt idx="291">
                  <c:v>219351</c:v>
                </c:pt>
                <c:pt idx="292">
                  <c:v>219351</c:v>
                </c:pt>
                <c:pt idx="293">
                  <c:v>206758.66</c:v>
                </c:pt>
                <c:pt idx="294">
                  <c:v>234837.55</c:v>
                </c:pt>
                <c:pt idx="295">
                  <c:v>234838</c:v>
                </c:pt>
                <c:pt idx="296">
                  <c:v>199113.26</c:v>
                </c:pt>
                <c:pt idx="297">
                  <c:v>199113</c:v>
                </c:pt>
                <c:pt idx="298">
                  <c:v>205400.17</c:v>
                </c:pt>
                <c:pt idx="299">
                  <c:v>220161.91</c:v>
                </c:pt>
                <c:pt idx="300">
                  <c:v>220161.91</c:v>
                </c:pt>
                <c:pt idx="301">
                  <c:v>220161.91</c:v>
                </c:pt>
                <c:pt idx="302">
                  <c:v>220161.91</c:v>
                </c:pt>
                <c:pt idx="303">
                  <c:v>224635.26</c:v>
                </c:pt>
                <c:pt idx="304">
                  <c:v>298900.61</c:v>
                </c:pt>
                <c:pt idx="305">
                  <c:v>262246.8</c:v>
                </c:pt>
                <c:pt idx="306">
                  <c:v>262247</c:v>
                </c:pt>
                <c:pt idx="307">
                  <c:v>262247</c:v>
                </c:pt>
                <c:pt idx="308">
                  <c:v>275395.15000000002</c:v>
                </c:pt>
                <c:pt idx="309">
                  <c:v>275395</c:v>
                </c:pt>
                <c:pt idx="310">
                  <c:v>275395</c:v>
                </c:pt>
                <c:pt idx="311">
                  <c:v>275395</c:v>
                </c:pt>
                <c:pt idx="312">
                  <c:v>316802.46999999997</c:v>
                </c:pt>
                <c:pt idx="313">
                  <c:v>297067.40000000002</c:v>
                </c:pt>
                <c:pt idx="314">
                  <c:v>300574.83</c:v>
                </c:pt>
                <c:pt idx="315">
                  <c:v>264695.24</c:v>
                </c:pt>
                <c:pt idx="316">
                  <c:v>264695</c:v>
                </c:pt>
                <c:pt idx="317">
                  <c:v>264695</c:v>
                </c:pt>
                <c:pt idx="318">
                  <c:v>282838.67</c:v>
                </c:pt>
                <c:pt idx="319">
                  <c:v>282839</c:v>
                </c:pt>
                <c:pt idx="320">
                  <c:v>333807.26</c:v>
                </c:pt>
                <c:pt idx="321">
                  <c:v>332295.96000000002</c:v>
                </c:pt>
                <c:pt idx="322">
                  <c:v>325401.01</c:v>
                </c:pt>
                <c:pt idx="323">
                  <c:v>328793.55</c:v>
                </c:pt>
                <c:pt idx="324">
                  <c:v>329088.55</c:v>
                </c:pt>
                <c:pt idx="325">
                  <c:v>328488.55</c:v>
                </c:pt>
                <c:pt idx="326">
                  <c:v>292528.71999999997</c:v>
                </c:pt>
                <c:pt idx="327">
                  <c:v>294672.43</c:v>
                </c:pt>
                <c:pt idx="328">
                  <c:v>292850.33</c:v>
                </c:pt>
                <c:pt idx="329">
                  <c:v>284702.78999999998</c:v>
                </c:pt>
                <c:pt idx="330">
                  <c:v>284703</c:v>
                </c:pt>
                <c:pt idx="331">
                  <c:v>284775.52</c:v>
                </c:pt>
                <c:pt idx="332">
                  <c:v>284776</c:v>
                </c:pt>
                <c:pt idx="333">
                  <c:v>277335.02</c:v>
                </c:pt>
                <c:pt idx="334">
                  <c:v>277335</c:v>
                </c:pt>
                <c:pt idx="335">
                  <c:v>277462.90999999997</c:v>
                </c:pt>
                <c:pt idx="336">
                  <c:v>241180.07</c:v>
                </c:pt>
                <c:pt idx="337">
                  <c:v>257634.61</c:v>
                </c:pt>
                <c:pt idx="338">
                  <c:v>241154.55</c:v>
                </c:pt>
                <c:pt idx="339">
                  <c:v>243162.78</c:v>
                </c:pt>
                <c:pt idx="340">
                  <c:v>243003.93</c:v>
                </c:pt>
                <c:pt idx="341">
                  <c:v>243004</c:v>
                </c:pt>
                <c:pt idx="342">
                  <c:v>243060.55</c:v>
                </c:pt>
                <c:pt idx="343">
                  <c:v>245074.5</c:v>
                </c:pt>
                <c:pt idx="344">
                  <c:v>274493.84000000003</c:v>
                </c:pt>
                <c:pt idx="345">
                  <c:v>274494</c:v>
                </c:pt>
                <c:pt idx="346">
                  <c:v>268536.75</c:v>
                </c:pt>
                <c:pt idx="347">
                  <c:v>249086.1</c:v>
                </c:pt>
                <c:pt idx="348">
                  <c:v>253347.36</c:v>
                </c:pt>
                <c:pt idx="349">
                  <c:v>253347</c:v>
                </c:pt>
                <c:pt idx="350">
                  <c:v>253347</c:v>
                </c:pt>
                <c:pt idx="351">
                  <c:v>253347</c:v>
                </c:pt>
                <c:pt idx="352">
                  <c:v>253347</c:v>
                </c:pt>
                <c:pt idx="353">
                  <c:v>256363.47</c:v>
                </c:pt>
                <c:pt idx="354">
                  <c:v>256363</c:v>
                </c:pt>
                <c:pt idx="355">
                  <c:v>256363</c:v>
                </c:pt>
                <c:pt idx="356">
                  <c:v>220671.47</c:v>
                </c:pt>
                <c:pt idx="357">
                  <c:v>248680.89</c:v>
                </c:pt>
                <c:pt idx="358">
                  <c:v>254567.98</c:v>
                </c:pt>
                <c:pt idx="359">
                  <c:v>310563.12</c:v>
                </c:pt>
                <c:pt idx="360">
                  <c:v>310000.12</c:v>
                </c:pt>
                <c:pt idx="361">
                  <c:v>310000.12</c:v>
                </c:pt>
                <c:pt idx="362">
                  <c:v>310000.12</c:v>
                </c:pt>
                <c:pt idx="363">
                  <c:v>300109.28999999998</c:v>
                </c:pt>
                <c:pt idx="364">
                  <c:v>297396.90999999997</c:v>
                </c:pt>
                <c:pt idx="365">
                  <c:v>297397</c:v>
                </c:pt>
                <c:pt idx="366">
                  <c:v>309520.18</c:v>
                </c:pt>
                <c:pt idx="367">
                  <c:v>309520</c:v>
                </c:pt>
                <c:pt idx="368">
                  <c:v>306153.90000000002</c:v>
                </c:pt>
                <c:pt idx="369">
                  <c:v>307621.78000000003</c:v>
                </c:pt>
                <c:pt idx="370">
                  <c:v>307288.12</c:v>
                </c:pt>
                <c:pt idx="371">
                  <c:v>307288</c:v>
                </c:pt>
                <c:pt idx="372">
                  <c:v>307288</c:v>
                </c:pt>
                <c:pt idx="373">
                  <c:v>296580.19</c:v>
                </c:pt>
                <c:pt idx="374">
                  <c:v>295981.95</c:v>
                </c:pt>
                <c:pt idx="375">
                  <c:v>260513.06</c:v>
                </c:pt>
                <c:pt idx="376">
                  <c:v>260513</c:v>
                </c:pt>
                <c:pt idx="377">
                  <c:v>260513</c:v>
                </c:pt>
                <c:pt idx="378">
                  <c:v>255966.98</c:v>
                </c:pt>
                <c:pt idx="379">
                  <c:v>257507.94</c:v>
                </c:pt>
                <c:pt idx="380">
                  <c:v>257508</c:v>
                </c:pt>
                <c:pt idx="381">
                  <c:v>257508</c:v>
                </c:pt>
                <c:pt idx="382">
                  <c:v>257508</c:v>
                </c:pt>
                <c:pt idx="383">
                  <c:v>245601.94</c:v>
                </c:pt>
                <c:pt idx="384">
                  <c:v>245768.94</c:v>
                </c:pt>
                <c:pt idx="385">
                  <c:v>245769</c:v>
                </c:pt>
                <c:pt idx="386">
                  <c:v>209143.06</c:v>
                </c:pt>
                <c:pt idx="387">
                  <c:v>216087.16</c:v>
                </c:pt>
                <c:pt idx="388">
                  <c:v>218399.34</c:v>
                </c:pt>
                <c:pt idx="389">
                  <c:v>246675.15</c:v>
                </c:pt>
                <c:pt idx="390">
                  <c:v>246675</c:v>
                </c:pt>
                <c:pt idx="391">
                  <c:v>248377.32</c:v>
                </c:pt>
                <c:pt idx="392">
                  <c:v>277944.71000000002</c:v>
                </c:pt>
                <c:pt idx="393">
                  <c:v>277945</c:v>
                </c:pt>
                <c:pt idx="394">
                  <c:v>278046.71000000002</c:v>
                </c:pt>
                <c:pt idx="395">
                  <c:v>282590.19</c:v>
                </c:pt>
                <c:pt idx="396">
                  <c:v>247195.73</c:v>
                </c:pt>
                <c:pt idx="397">
                  <c:v>247195.73</c:v>
                </c:pt>
                <c:pt idx="398">
                  <c:v>235813.1</c:v>
                </c:pt>
                <c:pt idx="399">
                  <c:v>237210.07</c:v>
                </c:pt>
                <c:pt idx="400">
                  <c:v>237490.39</c:v>
                </c:pt>
                <c:pt idx="401">
                  <c:v>237490</c:v>
                </c:pt>
                <c:pt idx="402">
                  <c:v>237490.39</c:v>
                </c:pt>
                <c:pt idx="403">
                  <c:v>232593.57</c:v>
                </c:pt>
                <c:pt idx="404">
                  <c:v>232923.06</c:v>
                </c:pt>
                <c:pt idx="405">
                  <c:v>196798.51</c:v>
                </c:pt>
                <c:pt idx="406">
                  <c:v>199629.38</c:v>
                </c:pt>
                <c:pt idx="407">
                  <c:v>199629</c:v>
                </c:pt>
                <c:pt idx="408">
                  <c:v>195151.45</c:v>
                </c:pt>
                <c:pt idx="409">
                  <c:v>228843.78</c:v>
                </c:pt>
                <c:pt idx="410">
                  <c:v>228844</c:v>
                </c:pt>
                <c:pt idx="411">
                  <c:v>228844</c:v>
                </c:pt>
                <c:pt idx="412">
                  <c:v>229051.78</c:v>
                </c:pt>
                <c:pt idx="413">
                  <c:v>234767.17</c:v>
                </c:pt>
                <c:pt idx="414">
                  <c:v>236117.76000000001</c:v>
                </c:pt>
                <c:pt idx="415">
                  <c:v>236118</c:v>
                </c:pt>
                <c:pt idx="416">
                  <c:v>208888.5</c:v>
                </c:pt>
                <c:pt idx="417">
                  <c:v>208792.5</c:v>
                </c:pt>
                <c:pt idx="418">
                  <c:v>203219.37</c:v>
                </c:pt>
                <c:pt idx="419">
                  <c:v>205639.37</c:v>
                </c:pt>
                <c:pt idx="420">
                  <c:v>205639.37</c:v>
                </c:pt>
                <c:pt idx="421">
                  <c:v>232145.73</c:v>
                </c:pt>
                <c:pt idx="422">
                  <c:v>233325.32</c:v>
                </c:pt>
                <c:pt idx="423">
                  <c:v>225375.98</c:v>
                </c:pt>
                <c:pt idx="424">
                  <c:v>225424.1</c:v>
                </c:pt>
                <c:pt idx="425">
                  <c:v>187365.06</c:v>
                </c:pt>
                <c:pt idx="426">
                  <c:v>187365</c:v>
                </c:pt>
                <c:pt idx="427">
                  <c:v>187365</c:v>
                </c:pt>
                <c:pt idx="428">
                  <c:v>172667.6</c:v>
                </c:pt>
                <c:pt idx="429">
                  <c:v>172668</c:v>
                </c:pt>
                <c:pt idx="430">
                  <c:v>236616.35</c:v>
                </c:pt>
                <c:pt idx="431">
                  <c:v>237913.62</c:v>
                </c:pt>
                <c:pt idx="432">
                  <c:v>237914</c:v>
                </c:pt>
                <c:pt idx="433">
                  <c:v>244708.19</c:v>
                </c:pt>
                <c:pt idx="434">
                  <c:v>249899.19</c:v>
                </c:pt>
                <c:pt idx="435">
                  <c:v>249899</c:v>
                </c:pt>
                <c:pt idx="436">
                  <c:v>215930.73</c:v>
                </c:pt>
                <c:pt idx="437">
                  <c:v>215931</c:v>
                </c:pt>
                <c:pt idx="438">
                  <c:v>205664.34</c:v>
                </c:pt>
                <c:pt idx="439">
                  <c:v>205830.34</c:v>
                </c:pt>
                <c:pt idx="440">
                  <c:v>205830</c:v>
                </c:pt>
                <c:pt idx="441">
                  <c:v>205830</c:v>
                </c:pt>
                <c:pt idx="442">
                  <c:v>205830</c:v>
                </c:pt>
                <c:pt idx="443">
                  <c:v>207654.61</c:v>
                </c:pt>
                <c:pt idx="444">
                  <c:v>207743.24</c:v>
                </c:pt>
                <c:pt idx="445">
                  <c:v>207845.42</c:v>
                </c:pt>
                <c:pt idx="446">
                  <c:v>173840.8</c:v>
                </c:pt>
                <c:pt idx="447">
                  <c:v>212383.95</c:v>
                </c:pt>
                <c:pt idx="448">
                  <c:v>205191.98</c:v>
                </c:pt>
                <c:pt idx="449">
                  <c:v>205884.98</c:v>
                </c:pt>
                <c:pt idx="450">
                  <c:v>205884.98</c:v>
                </c:pt>
                <c:pt idx="451">
                  <c:v>205884.98</c:v>
                </c:pt>
                <c:pt idx="452">
                  <c:v>231641.34</c:v>
                </c:pt>
                <c:pt idx="453">
                  <c:v>236338.62</c:v>
                </c:pt>
                <c:pt idx="454">
                  <c:v>269514.5</c:v>
                </c:pt>
                <c:pt idx="455">
                  <c:v>287654.26</c:v>
                </c:pt>
                <c:pt idx="456">
                  <c:v>254047.41</c:v>
                </c:pt>
                <c:pt idx="457">
                  <c:v>254047</c:v>
                </c:pt>
                <c:pt idx="458">
                  <c:v>244596.04</c:v>
                </c:pt>
                <c:pt idx="459">
                  <c:v>244881.04</c:v>
                </c:pt>
                <c:pt idx="460">
                  <c:v>244881</c:v>
                </c:pt>
                <c:pt idx="461">
                  <c:v>244881</c:v>
                </c:pt>
                <c:pt idx="462">
                  <c:v>244881</c:v>
                </c:pt>
                <c:pt idx="463">
                  <c:v>247845.59</c:v>
                </c:pt>
                <c:pt idx="464">
                  <c:v>247846</c:v>
                </c:pt>
                <c:pt idx="465">
                  <c:v>247846</c:v>
                </c:pt>
                <c:pt idx="466">
                  <c:v>183161.53</c:v>
                </c:pt>
                <c:pt idx="467">
                  <c:v>185786.19</c:v>
                </c:pt>
                <c:pt idx="468">
                  <c:v>160581.73000000001</c:v>
                </c:pt>
                <c:pt idx="469">
                  <c:v>160581.73000000001</c:v>
                </c:pt>
                <c:pt idx="470">
                  <c:v>160581.73000000001</c:v>
                </c:pt>
                <c:pt idx="471">
                  <c:v>160581.73000000001</c:v>
                </c:pt>
                <c:pt idx="472">
                  <c:v>171996.42</c:v>
                </c:pt>
                <c:pt idx="473">
                  <c:v>167352.24</c:v>
                </c:pt>
                <c:pt idx="474">
                  <c:v>166766.24</c:v>
                </c:pt>
                <c:pt idx="475">
                  <c:v>129051.26</c:v>
                </c:pt>
                <c:pt idx="476">
                  <c:v>132306.64000000001</c:v>
                </c:pt>
                <c:pt idx="477">
                  <c:v>181475.08</c:v>
                </c:pt>
                <c:pt idx="478">
                  <c:v>169335.94</c:v>
                </c:pt>
                <c:pt idx="479">
                  <c:v>171521.13</c:v>
                </c:pt>
                <c:pt idx="480">
                  <c:v>171521</c:v>
                </c:pt>
                <c:pt idx="481">
                  <c:v>171521</c:v>
                </c:pt>
                <c:pt idx="482">
                  <c:v>201934.13</c:v>
                </c:pt>
                <c:pt idx="483">
                  <c:v>198457.3</c:v>
                </c:pt>
                <c:pt idx="484">
                  <c:v>198457</c:v>
                </c:pt>
                <c:pt idx="485">
                  <c:v>164046.53</c:v>
                </c:pt>
                <c:pt idx="486">
                  <c:v>164047</c:v>
                </c:pt>
                <c:pt idx="487">
                  <c:v>198779.19</c:v>
                </c:pt>
                <c:pt idx="488">
                  <c:v>188221.13</c:v>
                </c:pt>
                <c:pt idx="489">
                  <c:v>190279.89</c:v>
                </c:pt>
                <c:pt idx="490">
                  <c:v>190179.89</c:v>
                </c:pt>
                <c:pt idx="491">
                  <c:v>190180</c:v>
                </c:pt>
                <c:pt idx="492">
                  <c:v>190180</c:v>
                </c:pt>
                <c:pt idx="493">
                  <c:v>188919.3</c:v>
                </c:pt>
                <c:pt idx="494">
                  <c:v>188919</c:v>
                </c:pt>
                <c:pt idx="495">
                  <c:v>153349.64000000001</c:v>
                </c:pt>
                <c:pt idx="496">
                  <c:v>153226.64000000001</c:v>
                </c:pt>
                <c:pt idx="497">
                  <c:v>154369.64000000001</c:v>
                </c:pt>
                <c:pt idx="498">
                  <c:v>154370</c:v>
                </c:pt>
                <c:pt idx="499">
                  <c:v>237011.17</c:v>
                </c:pt>
                <c:pt idx="500">
                  <c:v>237011</c:v>
                </c:pt>
                <c:pt idx="501">
                  <c:v>237011</c:v>
                </c:pt>
                <c:pt idx="502">
                  <c:v>237011</c:v>
                </c:pt>
                <c:pt idx="503">
                  <c:v>229967.75</c:v>
                </c:pt>
                <c:pt idx="504">
                  <c:v>229968</c:v>
                </c:pt>
                <c:pt idx="505">
                  <c:v>193352.99</c:v>
                </c:pt>
                <c:pt idx="506">
                  <c:v>193629.99</c:v>
                </c:pt>
                <c:pt idx="507">
                  <c:v>193630</c:v>
                </c:pt>
                <c:pt idx="508">
                  <c:v>193945</c:v>
                </c:pt>
                <c:pt idx="509">
                  <c:v>196370.92</c:v>
                </c:pt>
                <c:pt idx="510">
                  <c:v>196370.92</c:v>
                </c:pt>
                <c:pt idx="511">
                  <c:v>196370.92</c:v>
                </c:pt>
                <c:pt idx="512">
                  <c:v>196370.92</c:v>
                </c:pt>
                <c:pt idx="513">
                  <c:v>194997.56</c:v>
                </c:pt>
                <c:pt idx="514">
                  <c:v>194998</c:v>
                </c:pt>
                <c:pt idx="515">
                  <c:v>158280.26999999999</c:v>
                </c:pt>
                <c:pt idx="516">
                  <c:v>163840.26999999999</c:v>
                </c:pt>
                <c:pt idx="517">
                  <c:v>163840</c:v>
                </c:pt>
                <c:pt idx="518">
                  <c:v>213174.46</c:v>
                </c:pt>
                <c:pt idx="519">
                  <c:v>212851.46</c:v>
                </c:pt>
                <c:pt idx="520">
                  <c:v>212221.74</c:v>
                </c:pt>
                <c:pt idx="521">
                  <c:v>189055.83</c:v>
                </c:pt>
              </c:numCache>
            </c:numRef>
          </c:val>
          <c:smooth val="0"/>
        </c:ser>
        <c:dLbls>
          <c:showLegendKey val="0"/>
          <c:showVal val="0"/>
          <c:showCatName val="0"/>
          <c:showSerName val="0"/>
          <c:showPercent val="0"/>
          <c:showBubbleSize val="0"/>
        </c:dLbls>
        <c:smooth val="0"/>
        <c:axId val="504690720"/>
        <c:axId val="504689936"/>
      </c:lineChart>
      <c:dateAx>
        <c:axId val="50469072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689936"/>
        <c:crosses val="autoZero"/>
        <c:auto val="1"/>
        <c:lblOffset val="100"/>
        <c:baseTimeUnit val="days"/>
        <c:majorUnit val="30"/>
        <c:majorTimeUnit val="days"/>
        <c:minorUnit val="4"/>
        <c:minorTimeUnit val="months"/>
      </c:dateAx>
      <c:valAx>
        <c:axId val="504689936"/>
        <c:scaling>
          <c:orientation val="minMax"/>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69072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Data!$F$550:$F$573</c:f>
              <c:numCache>
                <c:formatCode>mmm\-yy</c:formatCode>
                <c:ptCount val="2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numCache>
            </c:numRef>
          </c:cat>
          <c:val>
            <c:numRef>
              <c:f>Data!$G$550:$G$573</c:f>
              <c:numCache>
                <c:formatCode>"$"#,##0_);[Red]\("$"#,##0\)</c:formatCode>
                <c:ptCount val="24"/>
                <c:pt idx="0">
                  <c:v>297556.56</c:v>
                </c:pt>
                <c:pt idx="1">
                  <c:v>287550</c:v>
                </c:pt>
                <c:pt idx="2">
                  <c:v>277699.34999999998</c:v>
                </c:pt>
                <c:pt idx="3">
                  <c:v>310068.02</c:v>
                </c:pt>
                <c:pt idx="4">
                  <c:v>338828.68</c:v>
                </c:pt>
                <c:pt idx="5">
                  <c:v>316601.96000000002</c:v>
                </c:pt>
                <c:pt idx="6">
                  <c:v>282196.90999999997</c:v>
                </c:pt>
                <c:pt idx="7">
                  <c:v>287391.71999999997</c:v>
                </c:pt>
                <c:pt idx="8">
                  <c:v>327095.84000000003</c:v>
                </c:pt>
                <c:pt idx="9">
                  <c:v>233504.28</c:v>
                </c:pt>
                <c:pt idx="10">
                  <c:v>166530.44</c:v>
                </c:pt>
                <c:pt idx="11">
                  <c:v>245292.72</c:v>
                </c:pt>
                <c:pt idx="12">
                  <c:v>322895</c:v>
                </c:pt>
                <c:pt idx="13">
                  <c:v>388590.24</c:v>
                </c:pt>
                <c:pt idx="14">
                  <c:v>244069.19</c:v>
                </c:pt>
                <c:pt idx="15">
                  <c:v>265093.77</c:v>
                </c:pt>
                <c:pt idx="16">
                  <c:v>218979.44</c:v>
                </c:pt>
                <c:pt idx="17">
                  <c:v>271553.78999999998</c:v>
                </c:pt>
                <c:pt idx="18">
                  <c:v>272625.19</c:v>
                </c:pt>
                <c:pt idx="19">
                  <c:v>249105.04</c:v>
                </c:pt>
                <c:pt idx="20">
                  <c:v>224675.57</c:v>
                </c:pt>
                <c:pt idx="21">
                  <c:v>239981.51</c:v>
                </c:pt>
                <c:pt idx="22">
                  <c:v>202465.72</c:v>
                </c:pt>
                <c:pt idx="23">
                  <c:v>298881.24</c:v>
                </c:pt>
              </c:numCache>
            </c:numRef>
          </c:val>
        </c:ser>
        <c:dLbls>
          <c:showLegendKey val="0"/>
          <c:showVal val="0"/>
          <c:showCatName val="0"/>
          <c:showSerName val="0"/>
          <c:showPercent val="0"/>
          <c:showBubbleSize val="0"/>
        </c:dLbls>
        <c:gapWidth val="243"/>
        <c:overlap val="-83"/>
        <c:axId val="504689544"/>
        <c:axId val="504691112"/>
      </c:barChart>
      <c:dateAx>
        <c:axId val="504689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691112"/>
        <c:crosses val="autoZero"/>
        <c:auto val="1"/>
        <c:lblOffset val="100"/>
        <c:baseTimeUnit val="months"/>
      </c:dateAx>
      <c:valAx>
        <c:axId val="5046911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689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Mutal Funds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Data!$J$526:$J$570</c:f>
              <c:numCache>
                <c:formatCode>mmm\-yy</c:formatCode>
                <c:ptCount val="45"/>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numCache>
            </c:numRef>
          </c:xVal>
          <c:yVal>
            <c:numRef>
              <c:f>Data!$K$526:$K$570</c:f>
              <c:numCache>
                <c:formatCode>_("$"* #,##0_);_("$"* \(#,##0\);_("$"* "-"_);_(@_)</c:formatCode>
                <c:ptCount val="45"/>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numCache>
            </c:numRef>
          </c:yVal>
          <c:smooth val="0"/>
        </c:ser>
        <c:dLbls>
          <c:showLegendKey val="0"/>
          <c:showVal val="0"/>
          <c:showCatName val="0"/>
          <c:showSerName val="0"/>
          <c:showPercent val="0"/>
          <c:showBubbleSize val="0"/>
        </c:dLbls>
        <c:axId val="504691896"/>
        <c:axId val="504688760"/>
      </c:scatterChart>
      <c:valAx>
        <c:axId val="504691896"/>
        <c:scaling>
          <c:orientation val="minMax"/>
          <c:max val="4383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688760"/>
        <c:crosses val="autoZero"/>
        <c:crossBetween val="midCat"/>
      </c:valAx>
      <c:valAx>
        <c:axId val="504688760"/>
        <c:scaling>
          <c:orientation val="minMax"/>
          <c:max val="185000"/>
          <c:min val="150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691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504689152"/>
        <c:axId val="412153704"/>
      </c:scatterChart>
      <c:valAx>
        <c:axId val="50468915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153704"/>
        <c:crosses val="autoZero"/>
        <c:crossBetween val="midCat"/>
      </c:valAx>
      <c:valAx>
        <c:axId val="4121537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6891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'December''19 AR Aging '!$B$192</c:f>
              <c:strCache>
                <c:ptCount val="1"/>
                <c:pt idx="0">
                  <c:v>Current Month</c:v>
                </c:pt>
              </c:strCache>
            </c:strRef>
          </c:tx>
          <c:spPr>
            <a:solidFill>
              <a:srgbClr val="0070C0"/>
            </a:solidFill>
          </c:spPr>
          <c:invertIfNegative val="0"/>
          <c:val>
            <c:numRef>
              <c:f>'December''19 AR Aging '!$C$192:$N$192</c:f>
            </c:numRef>
          </c:val>
          <c:extLst>
            <c:ext xmlns:c15="http://schemas.microsoft.com/office/drawing/2012/chart" uri="{02D57815-91ED-43cb-92C2-25804820EDAC}">
              <c15:filteredCategoryTitle>
                <c15:cat>
                  <c:multiLvlStrRef>
                    <c:extLst>
                      <c:ext uri="{02D57815-91ED-43cb-92C2-25804820EDAC}">
                        <c15:formulaRef>
                          <c15:sqref>'December''19 AR Aging '!$C$191:$N$191</c15:sqref>
                        </c15:formulaRef>
                      </c:ext>
                    </c:extLst>
                  </c:multiLvlStrRef>
                </c15:cat>
              </c15:filteredCategoryTitle>
            </c:ext>
          </c:extLst>
        </c:ser>
        <c:ser>
          <c:idx val="1"/>
          <c:order val="1"/>
          <c:tx>
            <c:strRef>
              <c:f>'December''19 AR Aging '!$B$193</c:f>
              <c:strCache>
                <c:ptCount val="1"/>
                <c:pt idx="0">
                  <c:v>Previous Month</c:v>
                </c:pt>
              </c:strCache>
            </c:strRef>
          </c:tx>
          <c:spPr>
            <a:solidFill>
              <a:schemeClr val="accent6">
                <a:lumMod val="40000"/>
                <a:lumOff val="60000"/>
              </a:schemeClr>
            </a:solidFill>
          </c:spPr>
          <c:invertIfNegative val="0"/>
          <c:val>
            <c:numRef>
              <c:f>'December''19 AR Aging '!$C$193:$N$193</c:f>
            </c:numRef>
          </c:val>
          <c:extLst>
            <c:ext xmlns:c15="http://schemas.microsoft.com/office/drawing/2012/chart" uri="{02D57815-91ED-43cb-92C2-25804820EDAC}">
              <c15:filteredCategoryTitle>
                <c15:cat>
                  <c:multiLvlStrRef>
                    <c:extLst>
                      <c:ext uri="{02D57815-91ED-43cb-92C2-25804820EDAC}">
                        <c15:formulaRef>
                          <c15:sqref>'December''19 AR Aging '!$C$191:$N$191</c15:sqref>
                        </c15:formulaRef>
                      </c:ext>
                    </c:extLst>
                  </c:multiLvlStrRef>
                </c15:cat>
              </c15:filteredCategoryTitle>
            </c:ext>
          </c:extLst>
        </c:ser>
        <c:ser>
          <c:idx val="2"/>
          <c:order val="2"/>
          <c:tx>
            <c:strRef>
              <c:f>'December''19 AR Aging '!$B$194</c:f>
              <c:strCache>
                <c:ptCount val="1"/>
                <c:pt idx="0">
                  <c:v>Three Months Ago</c:v>
                </c:pt>
              </c:strCache>
            </c:strRef>
          </c:tx>
          <c:spPr>
            <a:solidFill>
              <a:schemeClr val="accent3">
                <a:lumMod val="75000"/>
              </a:schemeClr>
            </a:solidFill>
          </c:spPr>
          <c:invertIfNegative val="0"/>
          <c:val>
            <c:numRef>
              <c:f>'December''19 AR Aging '!$C$194:$N$194</c:f>
            </c:numRef>
          </c:val>
          <c:extLst>
            <c:ext xmlns:c15="http://schemas.microsoft.com/office/drawing/2012/chart" uri="{02D57815-91ED-43cb-92C2-25804820EDAC}">
              <c15:filteredCategoryTitle>
                <c15:cat>
                  <c:multiLvlStrRef>
                    <c:extLst>
                      <c:ext uri="{02D57815-91ED-43cb-92C2-25804820EDAC}">
                        <c15:formulaRef>
                          <c15:sqref>'December''19 AR Aging '!$C$191:$N$191</c15:sqref>
                        </c15:formulaRef>
                      </c:ext>
                    </c:extLst>
                  </c:multiLvlStrRef>
                </c15:cat>
              </c15:filteredCategoryTitle>
            </c:ext>
          </c:extLst>
        </c:ser>
        <c:ser>
          <c:idx val="3"/>
          <c:order val="3"/>
          <c:tx>
            <c:strRef>
              <c:f>'December''19 AR Aging '!$B$195</c:f>
              <c:strCache>
                <c:ptCount val="1"/>
                <c:pt idx="0">
                  <c:v>Older than Three Months</c:v>
                </c:pt>
              </c:strCache>
            </c:strRef>
          </c:tx>
          <c:spPr>
            <a:solidFill>
              <a:schemeClr val="accent4">
                <a:lumMod val="40000"/>
                <a:lumOff val="60000"/>
              </a:schemeClr>
            </a:solidFill>
          </c:spPr>
          <c:invertIfNegative val="0"/>
          <c:val>
            <c:numRef>
              <c:f>'December''19 AR Aging '!$C$195:$N$195</c:f>
            </c:numRef>
          </c:val>
          <c:extLst>
            <c:ext xmlns:c15="http://schemas.microsoft.com/office/drawing/2012/chart" uri="{02D57815-91ED-43cb-92C2-25804820EDAC}">
              <c15:filteredCategoryTitle>
                <c15:cat>
                  <c:multiLvlStrRef>
                    <c:extLst>
                      <c:ext uri="{02D57815-91ED-43cb-92C2-25804820EDAC}">
                        <c15:formulaRef>
                          <c15:sqref>'December''19 AR Aging '!$C$191:$N$191</c15:sqref>
                        </c15:formulaRef>
                      </c:ext>
                    </c:extLst>
                  </c:multiLvlStrRef>
                </c15:cat>
              </c15:filteredCategoryTitle>
            </c:ext>
          </c:extLst>
        </c:ser>
        <c:dLbls>
          <c:showLegendKey val="0"/>
          <c:showVal val="0"/>
          <c:showCatName val="0"/>
          <c:showSerName val="0"/>
          <c:showPercent val="0"/>
          <c:showBubbleSize val="0"/>
        </c:dLbls>
        <c:gapWidth val="56"/>
        <c:overlap val="100"/>
        <c:axId val="412154880"/>
        <c:axId val="412152528"/>
      </c:barChart>
      <c:catAx>
        <c:axId val="412154880"/>
        <c:scaling>
          <c:orientation val="minMax"/>
        </c:scaling>
        <c:delete val="0"/>
        <c:axPos val="b"/>
        <c:numFmt formatCode="[$-409]mmmm\-yy;@" sourceLinked="1"/>
        <c:majorTickMark val="none"/>
        <c:minorTickMark val="none"/>
        <c:tickLblPos val="nextTo"/>
        <c:spPr>
          <a:noFill/>
          <a:ln w="22225"/>
        </c:spPr>
        <c:crossAx val="412152528"/>
        <c:crosses val="autoZero"/>
        <c:auto val="0"/>
        <c:lblAlgn val="ctr"/>
        <c:lblOffset val="100"/>
        <c:tickLblSkip val="1"/>
        <c:noMultiLvlLbl val="0"/>
      </c:catAx>
      <c:valAx>
        <c:axId val="412152528"/>
        <c:scaling>
          <c:orientation val="minMax"/>
        </c:scaling>
        <c:delete val="0"/>
        <c:axPos val="l"/>
        <c:majorGridlines/>
        <c:numFmt formatCode="&quot;$&quot;#,##0_);[Red]\(&quot;$&quot;#,##0\)" sourceLinked="1"/>
        <c:majorTickMark val="none"/>
        <c:minorTickMark val="none"/>
        <c:tickLblPos val="nextTo"/>
        <c:crossAx val="41215488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24</xdr:row>
      <xdr:rowOff>476250</xdr:rowOff>
    </xdr:from>
    <xdr:to>
      <xdr:col>7</xdr:col>
      <xdr:colOff>962025</xdr:colOff>
      <xdr:row>31</xdr:row>
      <xdr:rowOff>400050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185</xdr:row>
      <xdr:rowOff>47625</xdr:rowOff>
    </xdr:from>
    <xdr:to>
      <xdr:col>8</xdr:col>
      <xdr:colOff>523875</xdr:colOff>
      <xdr:row>222</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tabSelected="1"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798" t="s">
        <v>179</v>
      </c>
      <c r="B1" s="798"/>
      <c r="C1" s="798"/>
      <c r="D1" s="798"/>
      <c r="E1" s="798"/>
      <c r="F1" s="798"/>
      <c r="G1" s="798"/>
      <c r="H1" s="798"/>
    </row>
    <row r="2" spans="1:8" ht="23.25" x14ac:dyDescent="0.2">
      <c r="A2" s="798" t="s">
        <v>180</v>
      </c>
      <c r="B2" s="798"/>
      <c r="C2" s="798"/>
      <c r="D2" s="798"/>
      <c r="E2" s="798"/>
      <c r="F2" s="798"/>
      <c r="G2" s="798"/>
      <c r="H2" s="798"/>
    </row>
    <row r="3" spans="1:8" ht="23.25" x14ac:dyDescent="0.2">
      <c r="A3" s="799">
        <v>43858</v>
      </c>
      <c r="B3" s="799"/>
      <c r="C3" s="799"/>
      <c r="D3" s="799"/>
      <c r="E3" s="799"/>
      <c r="F3" s="799"/>
      <c r="G3" s="799"/>
      <c r="H3" s="799"/>
    </row>
    <row r="4" spans="1:8" ht="21.75" customHeight="1" x14ac:dyDescent="0.2">
      <c r="A4" s="800" t="s">
        <v>190</v>
      </c>
      <c r="B4" s="800"/>
      <c r="C4" s="800"/>
      <c r="D4" s="800"/>
      <c r="E4" s="800"/>
      <c r="F4" s="800"/>
      <c r="G4" s="800"/>
      <c r="H4" s="800"/>
    </row>
    <row r="5" spans="1:8" ht="51" customHeight="1" x14ac:dyDescent="0.2">
      <c r="A5" s="781" t="s">
        <v>503</v>
      </c>
      <c r="B5" s="781"/>
      <c r="C5" s="781"/>
      <c r="D5" s="781"/>
      <c r="E5" s="781"/>
      <c r="F5" s="781"/>
      <c r="G5" s="781"/>
      <c r="H5" s="781"/>
    </row>
    <row r="6" spans="1:8" ht="81" customHeight="1" x14ac:dyDescent="0.2">
      <c r="A6" s="494"/>
      <c r="B6" s="494"/>
      <c r="C6" s="494"/>
      <c r="D6" s="494"/>
      <c r="E6" s="494"/>
      <c r="F6" s="494"/>
      <c r="G6" s="494"/>
      <c r="H6" s="494"/>
    </row>
    <row r="7" spans="1:8" ht="81" customHeight="1" x14ac:dyDescent="0.2">
      <c r="A7" s="494"/>
      <c r="B7" s="494"/>
      <c r="C7" s="494"/>
      <c r="D7" s="494"/>
      <c r="E7" s="494"/>
      <c r="F7" s="494"/>
      <c r="G7" s="494"/>
      <c r="H7" s="494"/>
    </row>
    <row r="8" spans="1:8" ht="81" customHeight="1" x14ac:dyDescent="0.2">
      <c r="A8" s="494"/>
      <c r="B8" s="494"/>
      <c r="C8" s="494"/>
      <c r="D8" s="494"/>
      <c r="E8" s="494"/>
      <c r="F8" s="494"/>
      <c r="G8" s="494"/>
      <c r="H8" s="494"/>
    </row>
    <row r="9" spans="1:8" ht="53.25" customHeight="1" x14ac:dyDescent="0.2">
      <c r="A9" s="781" t="s">
        <v>504</v>
      </c>
      <c r="B9" s="781"/>
      <c r="C9" s="781"/>
      <c r="D9" s="781"/>
      <c r="E9" s="781"/>
      <c r="F9" s="781"/>
      <c r="G9" s="781"/>
      <c r="H9" s="781"/>
    </row>
    <row r="10" spans="1:8" ht="15.75" x14ac:dyDescent="0.25">
      <c r="A10" s="464"/>
      <c r="B10" s="773"/>
      <c r="C10" s="773"/>
      <c r="D10" s="455"/>
      <c r="E10" s="461" t="s">
        <v>54</v>
      </c>
      <c r="F10" s="461" t="s">
        <v>405</v>
      </c>
      <c r="G10" s="456"/>
      <c r="H10" s="464"/>
    </row>
    <row r="11" spans="1:8" ht="15.75" customHeight="1" x14ac:dyDescent="0.25">
      <c r="A11" s="464"/>
      <c r="C11" s="772" t="s">
        <v>435</v>
      </c>
      <c r="D11" s="772"/>
      <c r="E11" s="492">
        <f>'December''19 AR Aging '!G8</f>
        <v>73968.34</v>
      </c>
      <c r="F11" s="734">
        <f>E11/E$18</f>
        <v>0.24748403595116025</v>
      </c>
      <c r="G11" s="457"/>
      <c r="H11" s="464"/>
    </row>
    <row r="12" spans="1:8" ht="15.75" customHeight="1" x14ac:dyDescent="0.25">
      <c r="A12" s="464"/>
      <c r="C12" s="772" t="s">
        <v>433</v>
      </c>
      <c r="D12" s="772"/>
      <c r="E12" s="495">
        <f>'December''19 AR Aging '!G32</f>
        <v>83752.06</v>
      </c>
      <c r="F12" s="734">
        <f t="shared" ref="F12:F17" si="0">E12/E$18</f>
        <v>0.28021850737793669</v>
      </c>
      <c r="G12" s="457"/>
      <c r="H12" s="464"/>
    </row>
    <row r="13" spans="1:8" ht="15.75" customHeight="1" x14ac:dyDescent="0.25">
      <c r="A13" s="464"/>
      <c r="C13" s="772" t="s">
        <v>434</v>
      </c>
      <c r="D13" s="772"/>
      <c r="E13" s="495">
        <f>'December''19 AR Aging '!G14</f>
        <v>31529.23</v>
      </c>
      <c r="F13" s="734">
        <f t="shared" si="0"/>
        <v>0.10549082338244174</v>
      </c>
      <c r="G13" s="457"/>
      <c r="H13" s="464"/>
    </row>
    <row r="14" spans="1:8" ht="15.75" customHeight="1" x14ac:dyDescent="0.25">
      <c r="A14" s="464"/>
      <c r="C14" s="773" t="s">
        <v>49</v>
      </c>
      <c r="D14" s="773"/>
      <c r="E14" s="495">
        <f>'December''19 AR Aging '!G43</f>
        <v>47814.96</v>
      </c>
      <c r="F14" s="734">
        <f t="shared" si="0"/>
        <v>0.15997978702297888</v>
      </c>
      <c r="G14" s="457"/>
      <c r="H14" s="464"/>
    </row>
    <row r="15" spans="1:8" ht="15.75" customHeight="1" x14ac:dyDescent="0.25">
      <c r="A15" s="464"/>
      <c r="C15" s="773" t="s">
        <v>409</v>
      </c>
      <c r="D15" s="773"/>
      <c r="E15" s="495">
        <f>'December''19 AR Aging '!G51+'December''19 AR Aging '!G56+'December''19 AR Aging '!G58+'December''19 AR Aging '!G39+'December''19 AR Aging '!G40</f>
        <v>47872.13</v>
      </c>
      <c r="F15" s="734">
        <f t="shared" si="0"/>
        <v>0.16017106699945702</v>
      </c>
      <c r="G15" s="457"/>
      <c r="H15" s="464"/>
    </row>
    <row r="16" spans="1:8" ht="15.75" customHeight="1" x14ac:dyDescent="0.25">
      <c r="A16" s="712"/>
      <c r="C16" s="773" t="s">
        <v>372</v>
      </c>
      <c r="D16" s="773"/>
      <c r="E16" s="495">
        <f>'December''19 AR Aging '!G64+'December''19 AR Aging '!G41</f>
        <v>1547.55</v>
      </c>
      <c r="F16" s="734">
        <f t="shared" si="0"/>
        <v>5.1778087738107688E-3</v>
      </c>
      <c r="G16" s="457"/>
      <c r="H16" s="712"/>
    </row>
    <row r="17" spans="1:12" ht="15.75" customHeight="1" x14ac:dyDescent="0.25">
      <c r="A17" s="464"/>
      <c r="C17" s="773" t="s">
        <v>395</v>
      </c>
      <c r="D17" s="773"/>
      <c r="E17" s="495">
        <f>'December''19 AR Aging '!G60+'December''19 AR Aging '!G42+'December''19 AR Aging '!G62+'December''19 AR Aging '!G66</f>
        <v>12396.988000000001</v>
      </c>
      <c r="F17" s="734">
        <f t="shared" si="0"/>
        <v>4.1477970492214682E-2</v>
      </c>
      <c r="G17" s="457"/>
      <c r="H17" s="464"/>
    </row>
    <row r="18" spans="1:12" ht="16.5" customHeight="1" thickBot="1" x14ac:dyDescent="0.3">
      <c r="A18" s="464"/>
      <c r="B18" s="773" t="s">
        <v>407</v>
      </c>
      <c r="C18" s="773"/>
      <c r="D18" s="773"/>
      <c r="E18" s="462">
        <f>SUM(E11:E17)</f>
        <v>298881.25799999997</v>
      </c>
      <c r="F18" s="735">
        <f>SUM(F11:F17)</f>
        <v>1</v>
      </c>
      <c r="G18" s="722"/>
      <c r="H18" s="464"/>
    </row>
    <row r="19" spans="1:12" ht="38.25" customHeight="1" thickTop="1" x14ac:dyDescent="0.2">
      <c r="A19" s="569"/>
      <c r="B19" s="569"/>
      <c r="C19" s="569"/>
      <c r="D19" s="569"/>
      <c r="E19" s="569"/>
      <c r="F19" s="569"/>
      <c r="G19" s="569"/>
      <c r="H19" s="569"/>
    </row>
    <row r="20" spans="1:12" ht="88.5" customHeight="1" x14ac:dyDescent="0.2">
      <c r="A20" s="569"/>
      <c r="B20" s="569"/>
      <c r="C20" s="569"/>
      <c r="D20" s="569"/>
      <c r="E20" s="569"/>
      <c r="F20" s="569"/>
      <c r="G20" s="569"/>
      <c r="H20" s="569"/>
    </row>
    <row r="21" spans="1:12" ht="88.5" customHeight="1" x14ac:dyDescent="0.2">
      <c r="A21" s="569"/>
      <c r="B21" s="569"/>
      <c r="C21" s="569"/>
      <c r="D21" s="569"/>
      <c r="E21" s="569"/>
      <c r="F21" s="569"/>
      <c r="G21" s="569"/>
      <c r="H21" s="569"/>
    </row>
    <row r="22" spans="1:12" ht="88.5" customHeight="1" x14ac:dyDescent="0.2">
      <c r="A22" s="569"/>
      <c r="B22" s="569"/>
      <c r="C22" s="569"/>
      <c r="D22" s="569"/>
      <c r="E22" s="569"/>
      <c r="F22" s="569"/>
      <c r="G22" s="569"/>
      <c r="H22" s="569"/>
    </row>
    <row r="23" spans="1:12" ht="35.25" hidden="1" customHeight="1" x14ac:dyDescent="0.2">
      <c r="A23" s="781" t="s">
        <v>295</v>
      </c>
      <c r="B23" s="781"/>
      <c r="C23" s="781"/>
      <c r="D23" s="781"/>
      <c r="E23" s="781"/>
      <c r="F23" s="781"/>
      <c r="G23" s="781"/>
      <c r="H23" s="781"/>
    </row>
    <row r="24" spans="1:12" ht="15" customHeight="1" x14ac:dyDescent="0.2">
      <c r="A24" s="569"/>
      <c r="B24" s="569"/>
      <c r="C24" s="569"/>
      <c r="D24" s="569"/>
      <c r="E24" s="569"/>
      <c r="F24" s="569"/>
      <c r="G24" s="569"/>
      <c r="H24" s="569"/>
    </row>
    <row r="25" spans="1:12" ht="38.25" customHeight="1" x14ac:dyDescent="0.2">
      <c r="A25" s="781" t="s">
        <v>506</v>
      </c>
      <c r="B25" s="781"/>
      <c r="C25" s="781"/>
      <c r="D25" s="781"/>
      <c r="E25" s="781"/>
      <c r="F25" s="781"/>
      <c r="G25" s="781"/>
      <c r="H25" s="781"/>
      <c r="L25" s="760"/>
    </row>
    <row r="26" spans="1:12" ht="38.25" customHeight="1" x14ac:dyDescent="0.2">
      <c r="A26" s="723"/>
      <c r="B26" s="723"/>
      <c r="C26" s="723"/>
      <c r="D26" s="723"/>
      <c r="E26" s="723"/>
      <c r="F26" s="723"/>
      <c r="G26" s="723"/>
      <c r="H26" s="723"/>
      <c r="L26" s="760"/>
    </row>
    <row r="27" spans="1:12" ht="38.25" customHeight="1" x14ac:dyDescent="0.2">
      <c r="A27" s="723"/>
      <c r="B27" s="723"/>
      <c r="C27" s="723"/>
      <c r="D27" s="723"/>
      <c r="E27" s="723"/>
      <c r="F27" s="723"/>
      <c r="G27" s="723"/>
      <c r="H27" s="723"/>
    </row>
    <row r="28" spans="1:12" ht="38.25" customHeight="1" x14ac:dyDescent="0.2">
      <c r="A28" s="723"/>
      <c r="B28" s="723"/>
      <c r="C28" s="723"/>
      <c r="D28" s="723"/>
      <c r="E28" s="723"/>
      <c r="F28" s="723"/>
      <c r="G28" s="723"/>
      <c r="H28" s="723"/>
      <c r="L28" s="767"/>
    </row>
    <row r="29" spans="1:12" ht="38.25" customHeight="1" x14ac:dyDescent="0.2">
      <c r="A29" s="723"/>
      <c r="B29" s="723"/>
      <c r="C29" s="723"/>
      <c r="D29" s="723"/>
      <c r="E29" s="723"/>
      <c r="F29" s="723"/>
      <c r="G29" s="723"/>
      <c r="H29" s="723"/>
    </row>
    <row r="30" spans="1:12" ht="38.25" customHeight="1" x14ac:dyDescent="0.2">
      <c r="A30" s="723"/>
      <c r="B30" s="723"/>
      <c r="C30" s="723"/>
      <c r="D30" s="723"/>
      <c r="E30" s="723"/>
      <c r="F30" s="723"/>
      <c r="G30" s="723"/>
      <c r="H30" s="723"/>
      <c r="J30" s="760"/>
    </row>
    <row r="31" spans="1:12" ht="38.25" customHeight="1" x14ac:dyDescent="0.2">
      <c r="A31" s="723"/>
      <c r="B31" s="723"/>
      <c r="C31" s="723"/>
      <c r="D31" s="723"/>
      <c r="E31" s="723"/>
      <c r="F31" s="723"/>
      <c r="G31" s="723"/>
      <c r="H31" s="723"/>
      <c r="J31" s="767"/>
    </row>
    <row r="32" spans="1:12" ht="38.25" customHeight="1" x14ac:dyDescent="0.2">
      <c r="A32" s="723"/>
      <c r="B32" s="723"/>
      <c r="C32" s="723"/>
      <c r="D32" s="723"/>
      <c r="E32" s="723"/>
      <c r="F32" s="723"/>
      <c r="G32" s="723"/>
      <c r="H32" s="723"/>
    </row>
    <row r="33" spans="1:12" ht="38.25" customHeight="1" x14ac:dyDescent="0.2">
      <c r="A33" s="723"/>
      <c r="B33" s="723"/>
      <c r="C33" s="723"/>
      <c r="D33" s="723"/>
      <c r="E33" s="723"/>
      <c r="F33" s="723"/>
      <c r="G33" s="723"/>
      <c r="H33" s="723"/>
    </row>
    <row r="34" spans="1:12" ht="30" customHeight="1" x14ac:dyDescent="0.25">
      <c r="A34" s="494"/>
      <c r="B34" s="652" t="s">
        <v>320</v>
      </c>
      <c r="C34" s="653" t="s">
        <v>374</v>
      </c>
      <c r="D34" s="652" t="s">
        <v>252</v>
      </c>
      <c r="E34" s="654" t="s">
        <v>422</v>
      </c>
      <c r="F34" s="654" t="s">
        <v>428</v>
      </c>
      <c r="G34" s="654" t="s">
        <v>507</v>
      </c>
      <c r="H34" s="654" t="s">
        <v>321</v>
      </c>
      <c r="I34" s="625"/>
      <c r="J34" s="626"/>
      <c r="K34" s="625"/>
    </row>
    <row r="35" spans="1:12" ht="15" x14ac:dyDescent="0.2">
      <c r="A35" s="494"/>
      <c r="B35" s="43" t="s">
        <v>425</v>
      </c>
      <c r="C35" s="618">
        <v>-20</v>
      </c>
      <c r="D35" s="618">
        <v>71.92</v>
      </c>
      <c r="E35" s="618">
        <f>10762-10528</f>
        <v>234</v>
      </c>
      <c r="F35" s="618">
        <v>-190</v>
      </c>
      <c r="G35" s="630">
        <v>95.95</v>
      </c>
      <c r="H35" s="756">
        <f>G35/G$45</f>
        <v>5.2028752623263139E-4</v>
      </c>
      <c r="I35" s="94"/>
      <c r="J35" s="746"/>
      <c r="K35" s="18"/>
    </row>
    <row r="36" spans="1:12" ht="15" x14ac:dyDescent="0.2">
      <c r="A36" s="494"/>
      <c r="B36" s="43" t="s">
        <v>253</v>
      </c>
      <c r="C36" s="637">
        <v>38489.56</v>
      </c>
      <c r="D36" s="637">
        <v>1957.5</v>
      </c>
      <c r="E36" s="637"/>
      <c r="F36" s="637">
        <v>3786.43</v>
      </c>
      <c r="G36" s="637">
        <f>C36+D36+F36+E36</f>
        <v>44233.49</v>
      </c>
      <c r="H36" s="756">
        <f>G36/G$45</f>
        <v>0.2398554777356523</v>
      </c>
      <c r="I36" s="627"/>
      <c r="J36" s="746"/>
      <c r="K36" s="747"/>
    </row>
    <row r="37" spans="1:12" ht="15" x14ac:dyDescent="0.25">
      <c r="A37" s="494"/>
      <c r="B37" s="43" t="s">
        <v>254</v>
      </c>
      <c r="C37" s="637">
        <v>14903.11</v>
      </c>
      <c r="D37" s="637">
        <v>192.85</v>
      </c>
      <c r="E37" s="637">
        <v>-15478.91</v>
      </c>
      <c r="F37" s="637">
        <v>382.95</v>
      </c>
      <c r="G37" s="637">
        <f t="shared" ref="G37:G44" si="1">C37+D37+F37+E37</f>
        <v>0</v>
      </c>
      <c r="H37" s="756"/>
      <c r="I37" s="628"/>
      <c r="J37" s="746"/>
      <c r="K37" s="747"/>
      <c r="L37" s="517"/>
    </row>
    <row r="38" spans="1:12" ht="15" x14ac:dyDescent="0.2">
      <c r="A38" s="494"/>
      <c r="B38" s="43" t="s">
        <v>255</v>
      </c>
      <c r="C38" s="637">
        <v>44091.09</v>
      </c>
      <c r="D38" s="637">
        <f>3207.47-14</f>
        <v>3193.47</v>
      </c>
      <c r="E38" s="637"/>
      <c r="F38" s="637">
        <f>10544.9+14</f>
        <v>10558.9</v>
      </c>
      <c r="G38" s="637">
        <f t="shared" si="1"/>
        <v>57843.46</v>
      </c>
      <c r="H38" s="756">
        <f>G38/G$45</f>
        <v>0.31365534874555673</v>
      </c>
      <c r="I38" s="627"/>
      <c r="J38" s="746"/>
      <c r="K38" s="747"/>
      <c r="L38" s="517"/>
    </row>
    <row r="39" spans="1:12" ht="15" x14ac:dyDescent="0.25">
      <c r="A39" s="494"/>
      <c r="B39" s="43" t="s">
        <v>256</v>
      </c>
      <c r="C39" s="637">
        <v>21132.04</v>
      </c>
      <c r="D39" s="637">
        <v>549.69000000000005</v>
      </c>
      <c r="E39" s="637"/>
      <c r="F39" s="637">
        <v>-212.79</v>
      </c>
      <c r="G39" s="637">
        <f t="shared" si="1"/>
        <v>21468.94</v>
      </c>
      <c r="H39" s="756">
        <f>G39/G$45</f>
        <v>0.11641502536150901</v>
      </c>
      <c r="I39" s="628"/>
      <c r="J39" s="746"/>
      <c r="K39" s="747"/>
      <c r="L39" s="517"/>
    </row>
    <row r="40" spans="1:12" ht="15" x14ac:dyDescent="0.25">
      <c r="A40" s="494"/>
      <c r="B40" s="43" t="s">
        <v>257</v>
      </c>
      <c r="C40" s="637">
        <v>21091.57</v>
      </c>
      <c r="D40" s="637">
        <v>438.93</v>
      </c>
      <c r="E40" s="637">
        <v>-22513.11</v>
      </c>
      <c r="F40" s="637">
        <v>982.61</v>
      </c>
      <c r="G40" s="637">
        <f t="shared" si="1"/>
        <v>0</v>
      </c>
      <c r="H40" s="756"/>
      <c r="I40" s="628"/>
      <c r="J40" s="746"/>
      <c r="K40" s="747"/>
      <c r="L40" s="517"/>
    </row>
    <row r="41" spans="1:12" ht="15" x14ac:dyDescent="0.25">
      <c r="A41" s="494"/>
      <c r="B41" s="43" t="s">
        <v>258</v>
      </c>
      <c r="C41" s="637">
        <v>19933.830000000002</v>
      </c>
      <c r="D41" s="637">
        <v>860.03</v>
      </c>
      <c r="E41" s="637">
        <v>-10770</v>
      </c>
      <c r="F41" s="637">
        <v>-375.6</v>
      </c>
      <c r="G41" s="637">
        <f t="shared" si="1"/>
        <v>9648.260000000002</v>
      </c>
      <c r="H41" s="756">
        <f>G41/G$45</f>
        <v>5.2317554224588322E-2</v>
      </c>
      <c r="I41" s="628"/>
      <c r="J41" s="746"/>
      <c r="K41" s="747"/>
      <c r="L41" s="517"/>
    </row>
    <row r="42" spans="1:12" ht="15" x14ac:dyDescent="0.25">
      <c r="A42" s="751"/>
      <c r="B42" s="43" t="s">
        <v>423</v>
      </c>
      <c r="C42" s="637"/>
      <c r="D42" s="637">
        <v>140.21</v>
      </c>
      <c r="E42" s="637">
        <v>15482.91</v>
      </c>
      <c r="F42" s="637">
        <v>64.31</v>
      </c>
      <c r="G42" s="637">
        <f t="shared" si="1"/>
        <v>15687.43</v>
      </c>
      <c r="H42" s="756">
        <f>G42/G$45</f>
        <v>8.5064868657087747E-2</v>
      </c>
      <c r="I42" s="628"/>
      <c r="J42" s="746"/>
      <c r="K42" s="747"/>
      <c r="L42" s="517"/>
    </row>
    <row r="43" spans="1:12" ht="15" x14ac:dyDescent="0.25">
      <c r="A43" s="751"/>
      <c r="B43" s="43" t="s">
        <v>424</v>
      </c>
      <c r="C43" s="637"/>
      <c r="D43" s="637">
        <v>512.02</v>
      </c>
      <c r="E43" s="637">
        <v>22517.11</v>
      </c>
      <c r="F43" s="637">
        <v>817.76</v>
      </c>
      <c r="G43" s="637">
        <f t="shared" si="1"/>
        <v>23846.89</v>
      </c>
      <c r="H43" s="756">
        <f>G43/G$45</f>
        <v>0.12930942580971</v>
      </c>
      <c r="I43" s="628"/>
      <c r="J43" s="746"/>
      <c r="K43" s="747"/>
      <c r="L43" s="517"/>
    </row>
    <row r="44" spans="1:12" ht="17.25" customHeight="1" x14ac:dyDescent="0.2">
      <c r="A44" s="494"/>
      <c r="B44" s="43" t="s">
        <v>455</v>
      </c>
      <c r="C44" s="618"/>
      <c r="D44" s="543">
        <v>81.599999999999994</v>
      </c>
      <c r="E44" s="761">
        <v>10528</v>
      </c>
      <c r="F44" s="618">
        <v>983.24</v>
      </c>
      <c r="G44" s="618">
        <f t="shared" si="1"/>
        <v>11592.84</v>
      </c>
      <c r="H44" s="756">
        <f>G44/G$45</f>
        <v>6.2862011939663356E-2</v>
      </c>
      <c r="I44" s="627"/>
      <c r="J44" s="746"/>
      <c r="K44" s="747"/>
      <c r="L44" s="517"/>
    </row>
    <row r="45" spans="1:12" ht="15" x14ac:dyDescent="0.25">
      <c r="A45" s="494"/>
      <c r="B45" s="619" t="s">
        <v>271</v>
      </c>
      <c r="C45" s="620">
        <f>SUM(C35:C44)</f>
        <v>159621.20000000001</v>
      </c>
      <c r="D45" s="621">
        <f>SUM(D36:D44)</f>
        <v>7926.3000000000011</v>
      </c>
      <c r="E45" s="620">
        <f>SUM(E35:E44)</f>
        <v>0</v>
      </c>
      <c r="F45" s="620">
        <f>SUM(F35:F44)+72</f>
        <v>16869.809999999998</v>
      </c>
      <c r="G45" s="620">
        <f>SUM(G35:G44)</f>
        <v>184417.25999999998</v>
      </c>
      <c r="H45" s="757">
        <f>SUM(H35:H44)</f>
        <v>1.0000000000000002</v>
      </c>
      <c r="I45" s="629"/>
      <c r="J45" s="746"/>
      <c r="K45" s="747"/>
    </row>
    <row r="46" spans="1:12" ht="15" x14ac:dyDescent="0.2">
      <c r="A46" s="504"/>
      <c r="B46" s="748"/>
      <c r="C46" s="749"/>
      <c r="D46" s="749"/>
      <c r="E46" s="749"/>
      <c r="F46" s="749"/>
      <c r="G46" s="750"/>
      <c r="I46" s="1"/>
      <c r="J46" s="746"/>
      <c r="K46" s="747"/>
    </row>
    <row r="47" spans="1:12" ht="15" x14ac:dyDescent="0.2">
      <c r="A47" s="723"/>
      <c r="B47" s="18"/>
      <c r="C47" s="544"/>
      <c r="D47" s="544"/>
      <c r="E47" s="544"/>
      <c r="F47" s="544"/>
      <c r="G47" s="745"/>
      <c r="I47" s="1"/>
      <c r="J47" s="746"/>
      <c r="K47" s="747"/>
    </row>
    <row r="48" spans="1:12" ht="15" x14ac:dyDescent="0.2">
      <c r="A48" s="723"/>
      <c r="B48" s="797" t="s">
        <v>413</v>
      </c>
      <c r="C48" s="797"/>
      <c r="D48" s="797"/>
      <c r="E48" s="797"/>
      <c r="F48" s="723"/>
      <c r="G48" s="723"/>
      <c r="H48" s="723"/>
      <c r="J48" s="746"/>
      <c r="K48" s="747"/>
    </row>
    <row r="49" spans="1:11" ht="47.25" customHeight="1" x14ac:dyDescent="0.2">
      <c r="A49" s="494"/>
      <c r="B49" s="774" t="s">
        <v>267</v>
      </c>
      <c r="C49" s="775"/>
      <c r="D49" s="775"/>
      <c r="E49" s="775"/>
      <c r="F49" s="775"/>
      <c r="G49" s="775"/>
      <c r="H49" s="518"/>
      <c r="J49" s="746"/>
      <c r="K49" s="747"/>
    </row>
    <row r="50" spans="1:11" ht="47.25" hidden="1" customHeight="1" x14ac:dyDescent="0.2">
      <c r="A50" s="494"/>
      <c r="B50" s="774" t="s">
        <v>269</v>
      </c>
      <c r="C50" s="775"/>
      <c r="D50" s="775"/>
      <c r="E50" s="775"/>
      <c r="F50" s="775"/>
      <c r="G50" s="775"/>
      <c r="H50" s="518"/>
      <c r="J50" s="746"/>
      <c r="K50" s="747"/>
    </row>
    <row r="51" spans="1:11" ht="42" customHeight="1" x14ac:dyDescent="0.2">
      <c r="A51" s="494"/>
      <c r="B51" s="784" t="s">
        <v>266</v>
      </c>
      <c r="C51" s="785"/>
      <c r="D51" s="785"/>
      <c r="E51" s="785"/>
      <c r="F51" s="785"/>
      <c r="G51" s="785"/>
      <c r="H51" s="518"/>
      <c r="J51" s="746"/>
      <c r="K51" s="747"/>
    </row>
    <row r="52" spans="1:11" ht="47.25" customHeight="1" x14ac:dyDescent="0.2">
      <c r="A52" s="494"/>
      <c r="B52" s="774" t="s">
        <v>265</v>
      </c>
      <c r="C52" s="775"/>
      <c r="D52" s="775"/>
      <c r="E52" s="775"/>
      <c r="F52" s="775"/>
      <c r="G52" s="775"/>
      <c r="H52" s="518"/>
      <c r="J52" s="746"/>
      <c r="K52" s="747"/>
    </row>
    <row r="53" spans="1:11" ht="47.25" hidden="1" customHeight="1" x14ac:dyDescent="0.2">
      <c r="A53" s="494"/>
      <c r="B53" s="774" t="s">
        <v>264</v>
      </c>
      <c r="C53" s="775"/>
      <c r="D53" s="775"/>
      <c r="E53" s="775"/>
      <c r="F53" s="775"/>
      <c r="G53" s="775"/>
      <c r="H53" s="518"/>
      <c r="J53" s="746"/>
      <c r="K53" s="747"/>
    </row>
    <row r="54" spans="1:11" ht="47.25" customHeight="1" x14ac:dyDescent="0.2">
      <c r="A54" s="494"/>
      <c r="B54" s="774" t="s">
        <v>263</v>
      </c>
      <c r="C54" s="775"/>
      <c r="D54" s="775"/>
      <c r="E54" s="775"/>
      <c r="F54" s="775"/>
      <c r="G54" s="775"/>
      <c r="H54" s="518"/>
      <c r="J54" s="746"/>
      <c r="K54" s="747"/>
    </row>
    <row r="55" spans="1:11" ht="46.5" customHeight="1" x14ac:dyDescent="0.2">
      <c r="A55" s="751"/>
      <c r="B55" s="786" t="s">
        <v>426</v>
      </c>
      <c r="C55" s="787"/>
      <c r="D55" s="787"/>
      <c r="E55" s="787"/>
      <c r="F55" s="787"/>
      <c r="G55" s="787"/>
      <c r="H55" s="518"/>
      <c r="J55" s="746"/>
      <c r="K55" s="755"/>
    </row>
    <row r="56" spans="1:11" ht="38.25" customHeight="1" x14ac:dyDescent="0.2">
      <c r="A56" s="751"/>
      <c r="B56" s="786" t="s">
        <v>427</v>
      </c>
      <c r="C56" s="787"/>
      <c r="D56" s="787"/>
      <c r="E56" s="787"/>
      <c r="F56" s="787"/>
      <c r="G56" s="787"/>
      <c r="H56" s="518"/>
      <c r="J56" s="746"/>
      <c r="K56" s="747"/>
    </row>
    <row r="57" spans="1:11" ht="93" customHeight="1" x14ac:dyDescent="0.2">
      <c r="A57" s="494"/>
      <c r="B57" s="788" t="s">
        <v>454</v>
      </c>
      <c r="C57" s="787"/>
      <c r="D57" s="787"/>
      <c r="E57" s="787"/>
      <c r="F57" s="787"/>
      <c r="G57" s="787"/>
      <c r="H57" s="494"/>
      <c r="J57" s="746"/>
      <c r="K57" s="747"/>
    </row>
    <row r="58" spans="1:11" ht="32.25" customHeight="1" x14ac:dyDescent="0.25">
      <c r="A58" s="776" t="s">
        <v>410</v>
      </c>
      <c r="B58" s="776"/>
      <c r="C58" s="776"/>
      <c r="D58" s="776"/>
      <c r="E58" s="776"/>
      <c r="F58" s="776"/>
      <c r="G58" s="776"/>
      <c r="H58" s="776"/>
      <c r="J58" s="746"/>
      <c r="K58" s="747"/>
    </row>
    <row r="59" spans="1:11" ht="16.5" customHeight="1" x14ac:dyDescent="0.25">
      <c r="A59" s="724"/>
      <c r="B59" s="742" t="s">
        <v>411</v>
      </c>
      <c r="C59" s="724"/>
      <c r="D59" s="724"/>
      <c r="E59" s="724"/>
      <c r="F59" s="724"/>
      <c r="G59" s="724"/>
      <c r="H59" s="724"/>
      <c r="J59" s="746"/>
      <c r="K59" s="747"/>
    </row>
    <row r="60" spans="1:11" ht="15" x14ac:dyDescent="0.25">
      <c r="A60" s="631"/>
      <c r="B60" s="632" t="s">
        <v>259</v>
      </c>
      <c r="C60" s="496" t="s">
        <v>260</v>
      </c>
      <c r="D60" s="632" t="s">
        <v>261</v>
      </c>
      <c r="E60" s="780" t="s">
        <v>24</v>
      </c>
      <c r="F60" s="780"/>
      <c r="G60" s="632" t="s">
        <v>262</v>
      </c>
      <c r="H60" s="631"/>
      <c r="J60" s="746"/>
      <c r="K60" s="747"/>
    </row>
    <row r="61" spans="1:11" ht="30" customHeight="1" x14ac:dyDescent="0.2">
      <c r="A61" s="631"/>
      <c r="B61" s="497">
        <v>43525</v>
      </c>
      <c r="C61" s="503" t="s">
        <v>390</v>
      </c>
      <c r="D61" s="636" t="s">
        <v>392</v>
      </c>
      <c r="E61" s="779" t="s">
        <v>391</v>
      </c>
      <c r="F61" s="779"/>
      <c r="G61" s="498">
        <v>1691.99</v>
      </c>
      <c r="H61" s="631"/>
    </row>
    <row r="62" spans="1:11" ht="30" customHeight="1" x14ac:dyDescent="0.2">
      <c r="A62" s="631"/>
      <c r="B62" s="497">
        <v>42644</v>
      </c>
      <c r="C62" s="503" t="s">
        <v>17</v>
      </c>
      <c r="D62" s="636" t="s">
        <v>452</v>
      </c>
      <c r="E62" s="779" t="s">
        <v>450</v>
      </c>
      <c r="F62" s="779"/>
      <c r="G62" s="498">
        <v>23415.22</v>
      </c>
      <c r="H62" s="631"/>
    </row>
    <row r="63" spans="1:11" ht="30" customHeight="1" x14ac:dyDescent="0.2">
      <c r="A63" s="631"/>
      <c r="B63" s="497">
        <v>42644</v>
      </c>
      <c r="C63" s="503" t="s">
        <v>451</v>
      </c>
      <c r="D63" s="636" t="s">
        <v>453</v>
      </c>
      <c r="E63" s="779" t="s">
        <v>450</v>
      </c>
      <c r="F63" s="779"/>
      <c r="G63" s="498">
        <v>22918.98</v>
      </c>
      <c r="H63" s="631"/>
    </row>
    <row r="64" spans="1:11" ht="30" customHeight="1" x14ac:dyDescent="0.2">
      <c r="A64" s="651"/>
      <c r="B64" s="497">
        <v>43800</v>
      </c>
      <c r="C64" s="503" t="s">
        <v>508</v>
      </c>
      <c r="D64" s="565" t="s">
        <v>509</v>
      </c>
      <c r="E64" s="779" t="s">
        <v>450</v>
      </c>
      <c r="F64" s="779"/>
      <c r="G64" s="498">
        <v>23165.91</v>
      </c>
      <c r="H64" s="663"/>
    </row>
    <row r="65" spans="1:8" ht="39" customHeight="1" x14ac:dyDescent="0.2">
      <c r="A65" s="651"/>
      <c r="B65" s="497">
        <v>43800</v>
      </c>
      <c r="C65" s="503" t="s">
        <v>519</v>
      </c>
      <c r="D65" s="565" t="s">
        <v>392</v>
      </c>
      <c r="E65" s="779" t="s">
        <v>510</v>
      </c>
      <c r="F65" s="779"/>
      <c r="G65" s="498">
        <f>5783+3059.3</f>
        <v>8842.2999999999993</v>
      </c>
      <c r="H65" s="651"/>
    </row>
    <row r="66" spans="1:8" ht="30" hidden="1" customHeight="1" x14ac:dyDescent="0.2">
      <c r="A66" s="651"/>
      <c r="B66" s="497"/>
      <c r="C66" s="503"/>
      <c r="D66" s="636"/>
      <c r="E66" s="779"/>
      <c r="F66" s="779"/>
      <c r="G66" s="498"/>
      <c r="H66" s="651"/>
    </row>
    <row r="67" spans="1:8" ht="30" hidden="1" customHeight="1" x14ac:dyDescent="0.2">
      <c r="A67" s="631"/>
      <c r="B67" s="497"/>
      <c r="C67" s="503"/>
      <c r="D67" s="565"/>
      <c r="E67" s="779"/>
      <c r="F67" s="779"/>
      <c r="G67" s="498"/>
      <c r="H67" s="631"/>
    </row>
    <row r="68" spans="1:8" ht="15" x14ac:dyDescent="0.2">
      <c r="A68" s="631"/>
      <c r="B68" s="557"/>
      <c r="C68" s="558"/>
      <c r="D68" s="559"/>
      <c r="E68" s="560"/>
      <c r="F68" s="501" t="s">
        <v>393</v>
      </c>
      <c r="G68" s="566">
        <f>SUM(G61:G67)</f>
        <v>80034.400000000009</v>
      </c>
      <c r="H68" s="631"/>
    </row>
    <row r="69" spans="1:8" ht="8.25" customHeight="1" x14ac:dyDescent="0.2">
      <c r="A69" s="723"/>
      <c r="B69" s="557"/>
      <c r="C69" s="558"/>
      <c r="D69" s="559"/>
      <c r="E69" s="560"/>
      <c r="F69" s="501"/>
      <c r="G69" s="743"/>
      <c r="H69" s="723"/>
    </row>
    <row r="70" spans="1:8" ht="39.75" customHeight="1" x14ac:dyDescent="0.2">
      <c r="A70" s="723"/>
      <c r="B70" s="871" t="s">
        <v>512</v>
      </c>
      <c r="C70" s="871"/>
      <c r="D70" s="871"/>
      <c r="E70" s="871"/>
      <c r="F70" s="871"/>
      <c r="G70" s="871"/>
      <c r="H70" s="631"/>
    </row>
    <row r="71" spans="1:8" ht="15" x14ac:dyDescent="0.2">
      <c r="A71" s="631"/>
      <c r="B71" s="561" t="s">
        <v>288</v>
      </c>
      <c r="C71" s="562" t="s">
        <v>291</v>
      </c>
      <c r="D71" s="563" t="s">
        <v>290</v>
      </c>
      <c r="E71" s="777" t="s">
        <v>24</v>
      </c>
      <c r="F71" s="778"/>
      <c r="G71" s="564" t="s">
        <v>289</v>
      </c>
      <c r="H71" s="631"/>
    </row>
    <row r="72" spans="1:8" ht="15" x14ac:dyDescent="0.2">
      <c r="A72" s="631"/>
      <c r="B72" s="497">
        <v>43466</v>
      </c>
      <c r="C72" s="567" t="s">
        <v>388</v>
      </c>
      <c r="D72" s="732">
        <v>151044</v>
      </c>
      <c r="E72" s="779" t="s">
        <v>389</v>
      </c>
      <c r="F72" s="779"/>
      <c r="G72" s="499">
        <v>2300</v>
      </c>
      <c r="H72" s="631"/>
    </row>
    <row r="73" spans="1:8" ht="15" x14ac:dyDescent="0.2">
      <c r="A73" s="631"/>
      <c r="B73" s="497">
        <v>43800</v>
      </c>
      <c r="C73" s="567" t="s">
        <v>388</v>
      </c>
      <c r="D73" s="732">
        <v>84109</v>
      </c>
      <c r="E73" s="779" t="s">
        <v>511</v>
      </c>
      <c r="F73" s="779"/>
      <c r="G73" s="499">
        <v>2550</v>
      </c>
      <c r="H73" s="631"/>
    </row>
    <row r="74" spans="1:8" ht="15" x14ac:dyDescent="0.2">
      <c r="A74" s="631"/>
      <c r="B74" s="500"/>
      <c r="C74" s="500"/>
      <c r="D74" s="500"/>
      <c r="E74" s="500"/>
      <c r="F74" s="501" t="s">
        <v>394</v>
      </c>
      <c r="G74" s="502">
        <f>G72+G73</f>
        <v>4850</v>
      </c>
      <c r="H74" s="631"/>
    </row>
    <row r="75" spans="1:8" ht="11.25" customHeight="1" x14ac:dyDescent="0.2">
      <c r="A75" s="494"/>
      <c r="B75" s="494"/>
      <c r="C75" s="494"/>
      <c r="D75" s="494"/>
      <c r="E75" s="494"/>
      <c r="F75" s="494"/>
      <c r="G75" s="494"/>
      <c r="H75" s="494"/>
    </row>
    <row r="76" spans="1:8" ht="61.5" customHeight="1" x14ac:dyDescent="0.2">
      <c r="A76" s="781" t="s">
        <v>513</v>
      </c>
      <c r="B76" s="781"/>
      <c r="C76" s="781"/>
      <c r="D76" s="781"/>
      <c r="E76" s="781"/>
      <c r="F76" s="781"/>
      <c r="G76" s="781"/>
      <c r="H76" s="781"/>
    </row>
    <row r="77" spans="1:8" ht="15.75" hidden="1" customHeight="1" x14ac:dyDescent="0.2">
      <c r="A77" s="458"/>
      <c r="C77" s="782" t="s">
        <v>286</v>
      </c>
      <c r="D77" s="782"/>
      <c r="E77" s="505">
        <v>1823.85</v>
      </c>
      <c r="F77" s="783" t="s">
        <v>292</v>
      </c>
      <c r="G77" s="783"/>
      <c r="H77" s="458"/>
    </row>
    <row r="78" spans="1:8" ht="15.75" hidden="1" customHeight="1" x14ac:dyDescent="0.2">
      <c r="A78" s="458"/>
      <c r="C78" s="782"/>
      <c r="D78" s="782"/>
      <c r="E78" s="505"/>
      <c r="F78" s="783"/>
      <c r="G78" s="783"/>
      <c r="H78" s="458"/>
    </row>
    <row r="79" spans="1:8" ht="15.75" hidden="1" customHeight="1" x14ac:dyDescent="0.2">
      <c r="A79" s="458"/>
      <c r="C79" s="782"/>
      <c r="D79" s="782"/>
      <c r="E79" s="505"/>
      <c r="F79" s="783"/>
      <c r="G79" s="783"/>
      <c r="H79" s="458"/>
    </row>
    <row r="80" spans="1:8" ht="15.75" hidden="1" customHeight="1" x14ac:dyDescent="0.2">
      <c r="A80" s="458"/>
      <c r="C80" s="782" t="s">
        <v>244</v>
      </c>
      <c r="D80" s="782"/>
      <c r="E80" s="505">
        <f>1689.92+2978.07</f>
        <v>4667.99</v>
      </c>
      <c r="F80" s="783" t="s">
        <v>293</v>
      </c>
      <c r="G80" s="783"/>
      <c r="H80" s="458"/>
    </row>
    <row r="81" spans="1:23" ht="16.5" hidden="1" thickBot="1" x14ac:dyDescent="0.25">
      <c r="A81" s="458"/>
      <c r="B81" s="466"/>
      <c r="C81" s="791" t="s">
        <v>220</v>
      </c>
      <c r="D81" s="791"/>
      <c r="E81" s="463">
        <f>SUM(E77:E80)</f>
        <v>6491.84</v>
      </c>
      <c r="F81" s="466"/>
      <c r="G81" s="466"/>
      <c r="H81" s="458"/>
    </row>
    <row r="82" spans="1:23" ht="9.75" customHeight="1" x14ac:dyDescent="0.2">
      <c r="A82" s="458"/>
      <c r="B82" s="555"/>
      <c r="C82" s="556"/>
      <c r="D82" s="556"/>
      <c r="E82" s="568"/>
      <c r="F82" s="555"/>
      <c r="G82" s="555"/>
      <c r="H82" s="458"/>
    </row>
    <row r="83" spans="1:23" ht="33" customHeight="1" x14ac:dyDescent="0.25">
      <c r="A83" s="776" t="s">
        <v>421</v>
      </c>
      <c r="B83" s="776"/>
      <c r="C83" s="776"/>
      <c r="D83" s="776"/>
      <c r="E83" s="776"/>
      <c r="F83" s="776"/>
      <c r="G83" s="776"/>
      <c r="H83" s="776"/>
    </row>
    <row r="84" spans="1:23" ht="11.25" customHeight="1" x14ac:dyDescent="0.2">
      <c r="A84" s="724"/>
      <c r="B84" s="724"/>
      <c r="C84" s="724"/>
      <c r="D84" s="724"/>
      <c r="E84" s="724"/>
      <c r="F84" s="724"/>
      <c r="G84" s="724"/>
      <c r="H84" s="724"/>
    </row>
    <row r="85" spans="1:23" ht="47.25" customHeight="1" x14ac:dyDescent="0.2">
      <c r="A85" s="872" t="s">
        <v>514</v>
      </c>
      <c r="B85" s="872"/>
      <c r="C85" s="872"/>
      <c r="D85" s="872"/>
      <c r="E85" s="872"/>
      <c r="F85" s="872"/>
      <c r="G85" s="872"/>
      <c r="H85" s="872"/>
    </row>
    <row r="86" spans="1:23" ht="8.25" customHeight="1" x14ac:dyDescent="0.2">
      <c r="A86" s="458"/>
      <c r="B86" s="555"/>
      <c r="C86" s="556"/>
      <c r="D86" s="556"/>
      <c r="E86" s="568"/>
      <c r="F86" s="555"/>
      <c r="G86" s="555"/>
      <c r="H86" s="458"/>
    </row>
    <row r="87" spans="1:23" ht="97.5" customHeight="1" x14ac:dyDescent="0.2">
      <c r="A87" s="781" t="s">
        <v>515</v>
      </c>
      <c r="B87" s="781"/>
      <c r="C87" s="781"/>
      <c r="D87" s="781"/>
      <c r="E87" s="781"/>
      <c r="F87" s="781"/>
      <c r="G87" s="781"/>
      <c r="H87" s="781"/>
      <c r="V87" s="493"/>
      <c r="W87" s="492"/>
    </row>
    <row r="88" spans="1:23" ht="47.25" x14ac:dyDescent="0.2">
      <c r="A88" s="465"/>
      <c r="B88" s="795" t="s">
        <v>211</v>
      </c>
      <c r="C88" s="795"/>
      <c r="D88" s="468" t="s">
        <v>212</v>
      </c>
      <c r="E88" s="459" t="s">
        <v>213</v>
      </c>
      <c r="F88" s="468" t="s">
        <v>214</v>
      </c>
      <c r="G88" s="468" t="s">
        <v>516</v>
      </c>
      <c r="H88" s="465"/>
      <c r="V88" s="493"/>
      <c r="W88" s="492"/>
    </row>
    <row r="89" spans="1:23" ht="15.75" customHeight="1" x14ac:dyDescent="0.2">
      <c r="A89" s="465"/>
      <c r="B89" s="794" t="s">
        <v>11</v>
      </c>
      <c r="C89" s="794"/>
      <c r="D89" s="794"/>
      <c r="E89" s="467"/>
      <c r="F89" s="467"/>
      <c r="G89" s="467"/>
      <c r="H89" s="465"/>
      <c r="V89" s="493"/>
      <c r="W89" s="492"/>
    </row>
    <row r="90" spans="1:23" ht="15.75" customHeight="1" x14ac:dyDescent="0.2">
      <c r="A90" s="465"/>
      <c r="B90" s="792" t="s">
        <v>245</v>
      </c>
      <c r="C90" s="792"/>
      <c r="D90" s="467">
        <v>4818.43</v>
      </c>
      <c r="E90" s="467">
        <v>5000</v>
      </c>
      <c r="F90" s="725">
        <f>-D90-E90+G90</f>
        <v>-5136.87</v>
      </c>
      <c r="G90" s="467">
        <f>'December''19 Revenues &amp; Expenses'!K38</f>
        <v>4681.5600000000004</v>
      </c>
      <c r="H90" s="465"/>
      <c r="V90" s="493"/>
      <c r="W90" s="492"/>
    </row>
    <row r="91" spans="1:23" ht="15.75" customHeight="1" x14ac:dyDescent="0.2">
      <c r="A91" s="465"/>
      <c r="B91" s="792" t="s">
        <v>246</v>
      </c>
      <c r="C91" s="792"/>
      <c r="D91" s="467">
        <v>0</v>
      </c>
      <c r="E91" s="467">
        <f>25000*2</f>
        <v>50000</v>
      </c>
      <c r="F91" s="467">
        <f>G91-E91-D91</f>
        <v>-25000</v>
      </c>
      <c r="G91" s="467">
        <f>'December''19 Revenues &amp; Expenses'!K36</f>
        <v>25000</v>
      </c>
      <c r="H91" s="465"/>
      <c r="V91" s="493"/>
      <c r="W91" s="492"/>
    </row>
    <row r="92" spans="1:23" ht="15.75" customHeight="1" x14ac:dyDescent="0.2">
      <c r="A92" s="465"/>
      <c r="B92" s="794" t="s">
        <v>17</v>
      </c>
      <c r="C92" s="794"/>
      <c r="D92" s="467"/>
      <c r="E92" s="467"/>
      <c r="F92" s="467"/>
      <c r="G92" s="467"/>
      <c r="H92" s="465"/>
      <c r="V92" s="493"/>
    </row>
    <row r="93" spans="1:23" ht="15.75" customHeight="1" x14ac:dyDescent="0.2">
      <c r="A93" s="465"/>
      <c r="B93" s="792" t="s">
        <v>245</v>
      </c>
      <c r="C93" s="792"/>
      <c r="D93" s="467">
        <v>5772.78</v>
      </c>
      <c r="E93" s="467"/>
      <c r="F93" s="467">
        <f>-D93-E93+G93</f>
        <v>-5772.78</v>
      </c>
      <c r="G93" s="467">
        <f>'December''19 Revenues &amp; Expenses'!K39</f>
        <v>0</v>
      </c>
      <c r="H93" s="465"/>
      <c r="V93" s="493"/>
    </row>
    <row r="94" spans="1:23" ht="15.75" customHeight="1" x14ac:dyDescent="0.2">
      <c r="A94" s="465"/>
      <c r="B94" s="792" t="s">
        <v>375</v>
      </c>
      <c r="C94" s="792"/>
      <c r="D94" s="713">
        <v>0</v>
      </c>
      <c r="E94" s="713">
        <v>50000</v>
      </c>
      <c r="F94" s="725">
        <f>-D94-E94+G94</f>
        <v>-50000</v>
      </c>
      <c r="G94" s="713">
        <f>'December''19 Revenues &amp; Expenses'!K40</f>
        <v>0</v>
      </c>
      <c r="H94" s="465"/>
      <c r="V94" s="493"/>
    </row>
    <row r="95" spans="1:23" ht="15.75" customHeight="1" x14ac:dyDescent="0.2">
      <c r="A95" s="465"/>
      <c r="B95" s="794" t="s">
        <v>508</v>
      </c>
      <c r="C95" s="794"/>
      <c r="D95" s="768"/>
      <c r="E95" s="768"/>
      <c r="F95" s="768"/>
      <c r="G95" s="768"/>
      <c r="H95" s="465"/>
      <c r="V95" s="493"/>
    </row>
    <row r="96" spans="1:23" ht="15.75" customHeight="1" x14ac:dyDescent="0.2">
      <c r="A96" s="465"/>
      <c r="B96" s="792" t="s">
        <v>517</v>
      </c>
      <c r="C96" s="792"/>
      <c r="D96" s="768"/>
      <c r="E96" s="768">
        <v>30000</v>
      </c>
      <c r="F96" s="768">
        <f>-D96-E96+G96</f>
        <v>-23967.15</v>
      </c>
      <c r="G96" s="768">
        <f>'December''19 Revenues &amp; Expenses'!K44</f>
        <v>6032.8499999999985</v>
      </c>
      <c r="H96" s="465"/>
      <c r="V96" s="493"/>
    </row>
    <row r="97" spans="1:22" ht="15.75" customHeight="1" x14ac:dyDescent="0.2">
      <c r="A97" s="465"/>
      <c r="B97" s="794" t="s">
        <v>247</v>
      </c>
      <c r="C97" s="794"/>
      <c r="D97" s="467"/>
      <c r="E97" s="467"/>
      <c r="F97" s="467"/>
      <c r="G97" s="467"/>
      <c r="H97" s="465"/>
      <c r="V97" s="493"/>
    </row>
    <row r="98" spans="1:22" ht="15.75" customHeight="1" x14ac:dyDescent="0.2">
      <c r="A98" s="465"/>
      <c r="B98" s="792" t="s">
        <v>248</v>
      </c>
      <c r="C98" s="792"/>
      <c r="D98" s="467">
        <v>35174.620000000003</v>
      </c>
      <c r="E98" s="644"/>
      <c r="F98" s="644">
        <f>-D98-E98+G98</f>
        <v>-35174.620000000003</v>
      </c>
      <c r="G98" s="467">
        <f>'December''19 Revenues &amp; Expenses'!K12</f>
        <v>0</v>
      </c>
      <c r="H98" s="465"/>
      <c r="V98" s="493"/>
    </row>
    <row r="99" spans="1:22" ht="7.5" customHeight="1" x14ac:dyDescent="0.2">
      <c r="A99" s="465"/>
      <c r="B99" s="796"/>
      <c r="C99" s="796"/>
      <c r="D99" s="467"/>
      <c r="E99" s="467"/>
      <c r="F99" s="467"/>
      <c r="G99" s="467"/>
      <c r="H99" s="465"/>
      <c r="V99" s="493"/>
    </row>
    <row r="100" spans="1:22" ht="15.75" customHeight="1" thickBot="1" x14ac:dyDescent="0.25">
      <c r="A100" s="465"/>
      <c r="B100" s="793" t="s">
        <v>249</v>
      </c>
      <c r="C100" s="793"/>
      <c r="D100" s="460">
        <f>SUM(D89:D99)</f>
        <v>45765.83</v>
      </c>
      <c r="E100" s="460">
        <f>SUM(E89:E99)</f>
        <v>135000</v>
      </c>
      <c r="F100" s="460">
        <f>SUM(F89:F99)</f>
        <v>-145051.41999999998</v>
      </c>
      <c r="G100" s="460">
        <f>SUM(G89:G99)</f>
        <v>35714.410000000003</v>
      </c>
      <c r="H100" s="465"/>
      <c r="V100" s="493"/>
    </row>
    <row r="101" spans="1:22" ht="11.25" customHeight="1" thickTop="1" x14ac:dyDescent="0.2">
      <c r="A101" s="465"/>
      <c r="B101" s="490"/>
      <c r="C101" s="490"/>
      <c r="D101" s="491"/>
      <c r="E101" s="491"/>
      <c r="F101" s="491"/>
      <c r="G101" s="491"/>
      <c r="H101" s="465"/>
      <c r="V101" s="493"/>
    </row>
    <row r="102" spans="1:22" ht="67.5" customHeight="1" x14ac:dyDescent="0.2">
      <c r="A102" s="781" t="s">
        <v>518</v>
      </c>
      <c r="B102" s="781"/>
      <c r="C102" s="781"/>
      <c r="D102" s="781"/>
      <c r="E102" s="781"/>
      <c r="F102" s="781"/>
      <c r="G102" s="781"/>
      <c r="H102" s="781"/>
    </row>
    <row r="103" spans="1:22" ht="47.25" x14ac:dyDescent="0.2">
      <c r="A103" s="465"/>
      <c r="B103" s="795" t="s">
        <v>211</v>
      </c>
      <c r="C103" s="795"/>
      <c r="D103" s="468" t="s">
        <v>212</v>
      </c>
      <c r="E103" s="459" t="s">
        <v>213</v>
      </c>
      <c r="F103" s="468" t="s">
        <v>214</v>
      </c>
      <c r="G103" s="714" t="s">
        <v>516</v>
      </c>
      <c r="H103" s="465"/>
    </row>
    <row r="104" spans="1:22" ht="15.75" customHeight="1" x14ac:dyDescent="0.2">
      <c r="A104" s="465"/>
      <c r="B104" s="790" t="s">
        <v>215</v>
      </c>
      <c r="C104" s="790"/>
      <c r="D104" s="467">
        <v>0</v>
      </c>
      <c r="E104" s="467">
        <v>51000</v>
      </c>
      <c r="F104" s="467">
        <f>-'December''19 Revenues &amp; Expenses'!J53</f>
        <v>-51000</v>
      </c>
      <c r="G104" s="467">
        <f t="shared" ref="G104:G110" si="2">D104+E104+F104</f>
        <v>0</v>
      </c>
      <c r="H104" s="465"/>
    </row>
    <row r="105" spans="1:22" ht="15.75" customHeight="1" x14ac:dyDescent="0.2">
      <c r="A105" s="465"/>
      <c r="B105" s="790" t="s">
        <v>268</v>
      </c>
      <c r="C105" s="790"/>
      <c r="D105" s="467">
        <v>0</v>
      </c>
      <c r="E105" s="467">
        <v>19000</v>
      </c>
      <c r="F105" s="467">
        <f>-'December''19 Revenues &amp; Expenses'!J54</f>
        <v>-19000</v>
      </c>
      <c r="G105" s="467">
        <f t="shared" si="2"/>
        <v>0</v>
      </c>
      <c r="H105" s="465"/>
    </row>
    <row r="106" spans="1:22" ht="15.75" customHeight="1" x14ac:dyDescent="0.2">
      <c r="A106" s="465"/>
      <c r="B106" s="790" t="s">
        <v>216</v>
      </c>
      <c r="C106" s="790"/>
      <c r="D106" s="467">
        <v>19828.46</v>
      </c>
      <c r="E106" s="467">
        <f>'December''19 Revenues &amp; Expenses'!H60</f>
        <v>12442</v>
      </c>
      <c r="F106" s="467">
        <f>-'December''19 Revenues &amp; Expenses'!J60</f>
        <v>-16131.46</v>
      </c>
      <c r="G106" s="467">
        <f t="shared" si="2"/>
        <v>16139</v>
      </c>
      <c r="H106" s="465"/>
    </row>
    <row r="107" spans="1:22" ht="15.75" customHeight="1" x14ac:dyDescent="0.2">
      <c r="A107" s="465"/>
      <c r="B107" s="790" t="s">
        <v>217</v>
      </c>
      <c r="C107" s="790"/>
      <c r="D107" s="467">
        <v>6830.65</v>
      </c>
      <c r="E107" s="467">
        <f>'December''19 Revenues &amp; Expenses'!H61</f>
        <v>2720</v>
      </c>
      <c r="F107" s="467">
        <f>-'December''19 Revenues &amp; Expenses'!J61</f>
        <v>-88.83</v>
      </c>
      <c r="G107" s="467">
        <f t="shared" si="2"/>
        <v>9461.82</v>
      </c>
      <c r="H107" s="465"/>
    </row>
    <row r="108" spans="1:22" ht="15.75" customHeight="1" x14ac:dyDescent="0.2">
      <c r="A108" s="465"/>
      <c r="B108" s="790" t="s">
        <v>323</v>
      </c>
      <c r="C108" s="790"/>
      <c r="D108" s="467">
        <v>4223.7</v>
      </c>
      <c r="E108" s="467"/>
      <c r="F108" s="467">
        <f>-'December''19 Revenues &amp; Expenses'!H43</f>
        <v>-1325</v>
      </c>
      <c r="G108" s="467">
        <f t="shared" si="2"/>
        <v>2898.7</v>
      </c>
      <c r="H108" s="465"/>
    </row>
    <row r="109" spans="1:22" ht="15.75" x14ac:dyDescent="0.2">
      <c r="A109" s="465"/>
      <c r="B109" s="790" t="s">
        <v>218</v>
      </c>
      <c r="C109" s="790"/>
      <c r="D109" s="467">
        <v>1100.82</v>
      </c>
      <c r="E109" s="467"/>
      <c r="F109" s="467">
        <f>-'December''19 Revenues &amp; Expenses'!J59</f>
        <v>-293.64</v>
      </c>
      <c r="G109" s="467">
        <f t="shared" si="2"/>
        <v>807.18</v>
      </c>
      <c r="H109" s="465"/>
      <c r="K109" s="760"/>
    </row>
    <row r="110" spans="1:22" ht="18.75" customHeight="1" x14ac:dyDescent="0.2">
      <c r="A110" s="465"/>
      <c r="B110" s="790" t="s">
        <v>418</v>
      </c>
      <c r="C110" s="790"/>
      <c r="D110" s="467">
        <v>0</v>
      </c>
      <c r="E110" s="467">
        <v>1000</v>
      </c>
      <c r="F110" s="467">
        <f>-'December''19 Revenues &amp; Expenses'!J62</f>
        <v>-1000</v>
      </c>
      <c r="G110" s="467">
        <f t="shared" si="2"/>
        <v>0</v>
      </c>
      <c r="H110" s="465"/>
      <c r="K110" s="760"/>
    </row>
    <row r="111" spans="1:22" ht="15.75" customHeight="1" thickBot="1" x14ac:dyDescent="0.25">
      <c r="A111" s="465"/>
      <c r="B111" s="789" t="s">
        <v>219</v>
      </c>
      <c r="C111" s="789"/>
      <c r="D111" s="460">
        <f>SUM(D104:D110)</f>
        <v>31983.63</v>
      </c>
      <c r="E111" s="460">
        <f>SUM(E104:E110)</f>
        <v>86162</v>
      </c>
      <c r="F111" s="460">
        <f>SUM(F104:F110)</f>
        <v>-88838.93</v>
      </c>
      <c r="G111" s="460">
        <f>SUM(G104:G110)</f>
        <v>29306.7</v>
      </c>
      <c r="H111" s="465"/>
    </row>
    <row r="112" spans="1:22" ht="16.5" thickTop="1" x14ac:dyDescent="0.2">
      <c r="A112" s="458"/>
      <c r="B112" s="466"/>
      <c r="C112" s="466"/>
      <c r="D112" s="466"/>
      <c r="E112" s="466"/>
      <c r="F112" s="466"/>
      <c r="G112" s="466"/>
      <c r="H112" s="458"/>
    </row>
    <row r="113" ht="15.75" customHeight="1" x14ac:dyDescent="0.2"/>
    <row r="114" ht="6.75" customHeight="1" x14ac:dyDescent="0.2"/>
  </sheetData>
  <mergeCells count="76">
    <mergeCell ref="B48:E48"/>
    <mergeCell ref="B94:C94"/>
    <mergeCell ref="A1:H1"/>
    <mergeCell ref="A2:H2"/>
    <mergeCell ref="A3:H3"/>
    <mergeCell ref="C11:D11"/>
    <mergeCell ref="C12:D12"/>
    <mergeCell ref="B10:C10"/>
    <mergeCell ref="A4:H4"/>
    <mergeCell ref="A5:H5"/>
    <mergeCell ref="A9:H9"/>
    <mergeCell ref="A83:H83"/>
    <mergeCell ref="A23:H23"/>
    <mergeCell ref="A25:H25"/>
    <mergeCell ref="B54:G54"/>
    <mergeCell ref="B53:G53"/>
    <mergeCell ref="B107:C107"/>
    <mergeCell ref="B108:C108"/>
    <mergeCell ref="B110:C110"/>
    <mergeCell ref="B99:C99"/>
    <mergeCell ref="B92:C92"/>
    <mergeCell ref="B93:C93"/>
    <mergeCell ref="B95:C95"/>
    <mergeCell ref="B96:C96"/>
    <mergeCell ref="B111:C111"/>
    <mergeCell ref="B109:C109"/>
    <mergeCell ref="B104:C104"/>
    <mergeCell ref="B105:C105"/>
    <mergeCell ref="C81:D81"/>
    <mergeCell ref="B106:C106"/>
    <mergeCell ref="B98:C98"/>
    <mergeCell ref="B100:C100"/>
    <mergeCell ref="B97:C97"/>
    <mergeCell ref="A87:H87"/>
    <mergeCell ref="B88:C88"/>
    <mergeCell ref="B90:C90"/>
    <mergeCell ref="B91:C91"/>
    <mergeCell ref="B103:C103"/>
    <mergeCell ref="B89:D89"/>
    <mergeCell ref="A102:H102"/>
    <mergeCell ref="B52:G52"/>
    <mergeCell ref="B51:G51"/>
    <mergeCell ref="C80:D80"/>
    <mergeCell ref="F80:G80"/>
    <mergeCell ref="C78:D78"/>
    <mergeCell ref="F78:G78"/>
    <mergeCell ref="C79:D79"/>
    <mergeCell ref="F79:G79"/>
    <mergeCell ref="E73:F73"/>
    <mergeCell ref="A58:H58"/>
    <mergeCell ref="B70:G70"/>
    <mergeCell ref="B55:G55"/>
    <mergeCell ref="B56:G56"/>
    <mergeCell ref="B57:G57"/>
    <mergeCell ref="B50:G50"/>
    <mergeCell ref="B49:G49"/>
    <mergeCell ref="A85:H85"/>
    <mergeCell ref="E71:F71"/>
    <mergeCell ref="E67:F67"/>
    <mergeCell ref="E63:F63"/>
    <mergeCell ref="E61:F61"/>
    <mergeCell ref="E60:F60"/>
    <mergeCell ref="E62:F62"/>
    <mergeCell ref="E64:F64"/>
    <mergeCell ref="E65:F65"/>
    <mergeCell ref="E66:F66"/>
    <mergeCell ref="A76:H76"/>
    <mergeCell ref="C77:D77"/>
    <mergeCell ref="F77:G77"/>
    <mergeCell ref="E72:F72"/>
    <mergeCell ref="C13:D13"/>
    <mergeCell ref="C14:D14"/>
    <mergeCell ref="C15:D15"/>
    <mergeCell ref="C17:D17"/>
    <mergeCell ref="B18:D18"/>
    <mergeCell ref="C16:D16"/>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10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054"/>
  <sheetViews>
    <sheetView topLeftCell="A542" workbookViewId="0">
      <selection activeCell="J577" sqref="J577"/>
    </sheetView>
  </sheetViews>
  <sheetFormatPr defaultRowHeight="14.25" x14ac:dyDescent="0.2"/>
  <cols>
    <col min="1" max="1" width="22.875" style="542" customWidth="1"/>
    <col min="2" max="2" width="9" style="513"/>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39" t="s">
        <v>275</v>
      </c>
      <c r="B3" s="509" t="s">
        <v>276</v>
      </c>
    </row>
    <row r="4" spans="1:2" ht="15" thickTop="1" x14ac:dyDescent="0.2">
      <c r="A4" s="540">
        <v>42370</v>
      </c>
      <c r="B4" s="510">
        <v>316020.78000000003</v>
      </c>
    </row>
    <row r="5" spans="1:2" x14ac:dyDescent="0.2">
      <c r="A5" s="541">
        <v>42373</v>
      </c>
      <c r="B5" s="511">
        <v>315970.78000000003</v>
      </c>
    </row>
    <row r="6" spans="1:2" x14ac:dyDescent="0.2">
      <c r="A6" s="541">
        <v>42374</v>
      </c>
      <c r="B6" s="511">
        <v>320557.63</v>
      </c>
    </row>
    <row r="7" spans="1:2" x14ac:dyDescent="0.2">
      <c r="A7" s="541">
        <v>42375</v>
      </c>
      <c r="B7" s="511">
        <f>B6</f>
        <v>320557.63</v>
      </c>
    </row>
    <row r="8" spans="1:2" x14ac:dyDescent="0.2">
      <c r="A8" s="541">
        <v>42376</v>
      </c>
      <c r="B8" s="511">
        <v>323108.86</v>
      </c>
    </row>
    <row r="9" spans="1:2" x14ac:dyDescent="0.2">
      <c r="A9" s="541">
        <v>42377</v>
      </c>
      <c r="B9" s="511">
        <f>B8</f>
        <v>323108.86</v>
      </c>
    </row>
    <row r="10" spans="1:2" x14ac:dyDescent="0.2">
      <c r="A10" s="541">
        <v>42380</v>
      </c>
      <c r="B10" s="511">
        <v>323239.86</v>
      </c>
    </row>
    <row r="11" spans="1:2" x14ac:dyDescent="0.2">
      <c r="A11" s="541">
        <v>42381</v>
      </c>
      <c r="B11" s="511">
        <v>288792.71999999997</v>
      </c>
    </row>
    <row r="12" spans="1:2" x14ac:dyDescent="0.2">
      <c r="A12" s="541">
        <v>42382</v>
      </c>
      <c r="B12" s="511">
        <f>B11</f>
        <v>288792.71999999997</v>
      </c>
    </row>
    <row r="13" spans="1:2" x14ac:dyDescent="0.2">
      <c r="A13" s="541">
        <v>42383</v>
      </c>
      <c r="B13" s="511">
        <v>277881.3</v>
      </c>
    </row>
    <row r="14" spans="1:2" x14ac:dyDescent="0.2">
      <c r="A14" s="541">
        <v>42384</v>
      </c>
      <c r="B14" s="511">
        <v>293922.15000000002</v>
      </c>
    </row>
    <row r="15" spans="1:2" x14ac:dyDescent="0.2">
      <c r="A15" s="541">
        <v>42387</v>
      </c>
      <c r="B15" s="511">
        <f>B14</f>
        <v>293922.15000000002</v>
      </c>
    </row>
    <row r="16" spans="1:2" x14ac:dyDescent="0.2">
      <c r="A16" s="541">
        <v>42388</v>
      </c>
      <c r="B16" s="511">
        <f>B14</f>
        <v>293922.15000000002</v>
      </c>
    </row>
    <row r="17" spans="1:2" x14ac:dyDescent="0.2">
      <c r="A17" s="541">
        <v>42389</v>
      </c>
      <c r="B17" s="511">
        <v>294002.2</v>
      </c>
    </row>
    <row r="18" spans="1:2" x14ac:dyDescent="0.2">
      <c r="A18" s="541">
        <v>42390</v>
      </c>
      <c r="B18" s="511">
        <v>285645.33</v>
      </c>
    </row>
    <row r="19" spans="1:2" x14ac:dyDescent="0.2">
      <c r="A19" s="541">
        <v>42391</v>
      </c>
      <c r="B19" s="511">
        <f>B18</f>
        <v>285645.33</v>
      </c>
    </row>
    <row r="20" spans="1:2" x14ac:dyDescent="0.2">
      <c r="A20" s="541">
        <v>42394</v>
      </c>
      <c r="B20" s="511">
        <v>310939.57</v>
      </c>
    </row>
    <row r="21" spans="1:2" x14ac:dyDescent="0.2">
      <c r="A21" s="541">
        <v>42395</v>
      </c>
      <c r="B21" s="511">
        <v>285520.28000000003</v>
      </c>
    </row>
    <row r="22" spans="1:2" x14ac:dyDescent="0.2">
      <c r="A22" s="541">
        <v>42396</v>
      </c>
      <c r="B22" s="511">
        <f>B21</f>
        <v>285520.28000000003</v>
      </c>
    </row>
    <row r="23" spans="1:2" x14ac:dyDescent="0.2">
      <c r="A23" s="541">
        <v>42397</v>
      </c>
      <c r="B23" s="511">
        <v>282022.58</v>
      </c>
    </row>
    <row r="24" spans="1:2" x14ac:dyDescent="0.2">
      <c r="A24" s="541">
        <v>42398</v>
      </c>
      <c r="B24" s="511">
        <v>294848.15999999997</v>
      </c>
    </row>
    <row r="25" spans="1:2" x14ac:dyDescent="0.2">
      <c r="A25" s="541">
        <v>42401</v>
      </c>
      <c r="B25" s="511">
        <v>295971.7</v>
      </c>
    </row>
    <row r="26" spans="1:2" x14ac:dyDescent="0.2">
      <c r="A26" s="541">
        <v>42402</v>
      </c>
      <c r="B26" s="511">
        <v>342700.41</v>
      </c>
    </row>
    <row r="27" spans="1:2" x14ac:dyDescent="0.2">
      <c r="A27" s="541">
        <v>42403</v>
      </c>
      <c r="B27" s="511">
        <f>B26</f>
        <v>342700.41</v>
      </c>
    </row>
    <row r="28" spans="1:2" x14ac:dyDescent="0.2">
      <c r="A28" s="541">
        <v>42404</v>
      </c>
      <c r="B28" s="511">
        <v>337638.63</v>
      </c>
    </row>
    <row r="29" spans="1:2" x14ac:dyDescent="0.2">
      <c r="A29" s="541">
        <v>42405</v>
      </c>
      <c r="B29" s="511">
        <v>367843.39</v>
      </c>
    </row>
    <row r="30" spans="1:2" x14ac:dyDescent="0.2">
      <c r="A30" s="541">
        <v>42408</v>
      </c>
      <c r="B30" s="511">
        <v>367773.39</v>
      </c>
    </row>
    <row r="31" spans="1:2" x14ac:dyDescent="0.2">
      <c r="A31" s="541">
        <v>42409</v>
      </c>
      <c r="B31" s="511">
        <v>339527.33</v>
      </c>
    </row>
    <row r="32" spans="1:2" x14ac:dyDescent="0.2">
      <c r="A32" s="541">
        <v>42410</v>
      </c>
      <c r="B32" s="511">
        <f>B31</f>
        <v>339527.33</v>
      </c>
    </row>
    <row r="33" spans="1:2" x14ac:dyDescent="0.2">
      <c r="A33" s="541">
        <v>42411</v>
      </c>
      <c r="B33" s="511">
        <v>336968.79</v>
      </c>
    </row>
    <row r="34" spans="1:2" x14ac:dyDescent="0.2">
      <c r="A34" s="541">
        <v>42412</v>
      </c>
      <c r="B34" s="511">
        <v>337055.76</v>
      </c>
    </row>
    <row r="35" spans="1:2" x14ac:dyDescent="0.2">
      <c r="A35" s="541">
        <v>42415</v>
      </c>
      <c r="B35" s="511">
        <f>B34</f>
        <v>337055.76</v>
      </c>
    </row>
    <row r="36" spans="1:2" x14ac:dyDescent="0.2">
      <c r="A36" s="541">
        <v>42416</v>
      </c>
      <c r="B36" s="511">
        <f>B35</f>
        <v>337055.76</v>
      </c>
    </row>
    <row r="37" spans="1:2" x14ac:dyDescent="0.2">
      <c r="A37" s="541">
        <v>42417</v>
      </c>
      <c r="B37" s="511">
        <v>365266.06</v>
      </c>
    </row>
    <row r="38" spans="1:2" x14ac:dyDescent="0.2">
      <c r="A38" s="541">
        <v>42418</v>
      </c>
      <c r="B38" s="511">
        <v>360871.98</v>
      </c>
    </row>
    <row r="39" spans="1:2" x14ac:dyDescent="0.2">
      <c r="A39" s="541">
        <v>42419</v>
      </c>
      <c r="B39" s="511">
        <f>B38</f>
        <v>360871.98</v>
      </c>
    </row>
    <row r="40" spans="1:2" x14ac:dyDescent="0.2">
      <c r="A40" s="541">
        <v>42421</v>
      </c>
      <c r="B40" s="511">
        <f>B39</f>
        <v>360871.98</v>
      </c>
    </row>
    <row r="41" spans="1:2" x14ac:dyDescent="0.2">
      <c r="A41" s="541">
        <v>42423</v>
      </c>
      <c r="B41" s="511">
        <v>355845.62</v>
      </c>
    </row>
    <row r="42" spans="1:2" x14ac:dyDescent="0.2">
      <c r="A42" s="541">
        <v>42424</v>
      </c>
      <c r="B42" s="511">
        <f>B41</f>
        <v>355845.62</v>
      </c>
    </row>
    <row r="43" spans="1:2" x14ac:dyDescent="0.2">
      <c r="A43" s="541">
        <v>42425</v>
      </c>
      <c r="B43" s="511">
        <v>345399.7</v>
      </c>
    </row>
    <row r="44" spans="1:2" x14ac:dyDescent="0.2">
      <c r="A44" s="541">
        <v>42426</v>
      </c>
      <c r="B44" s="511">
        <v>370500.69</v>
      </c>
    </row>
    <row r="45" spans="1:2" x14ac:dyDescent="0.2">
      <c r="A45" s="541">
        <v>42429</v>
      </c>
      <c r="B45" s="511">
        <v>389846.49</v>
      </c>
    </row>
    <row r="46" spans="1:2" x14ac:dyDescent="0.2">
      <c r="A46" s="541">
        <v>42430</v>
      </c>
      <c r="B46" s="511">
        <f>B45</f>
        <v>389846.49</v>
      </c>
    </row>
    <row r="47" spans="1:2" x14ac:dyDescent="0.2">
      <c r="A47" s="541">
        <v>42431</v>
      </c>
      <c r="B47" s="511">
        <f>B46</f>
        <v>389846.49</v>
      </c>
    </row>
    <row r="48" spans="1:2" x14ac:dyDescent="0.2">
      <c r="A48" s="541">
        <v>42432</v>
      </c>
      <c r="B48" s="511">
        <v>378391.97</v>
      </c>
    </row>
    <row r="49" spans="1:2" x14ac:dyDescent="0.2">
      <c r="A49" s="541">
        <v>42433</v>
      </c>
      <c r="B49" s="511">
        <v>424034.23</v>
      </c>
    </row>
    <row r="50" spans="1:2" x14ac:dyDescent="0.2">
      <c r="A50" s="541">
        <v>42436</v>
      </c>
      <c r="B50" s="511">
        <f>B49</f>
        <v>424034.23</v>
      </c>
    </row>
    <row r="51" spans="1:2" x14ac:dyDescent="0.2">
      <c r="A51" s="541">
        <v>42437</v>
      </c>
      <c r="B51" s="511">
        <v>386665.73</v>
      </c>
    </row>
    <row r="52" spans="1:2" x14ac:dyDescent="0.2">
      <c r="A52" s="541">
        <v>42438</v>
      </c>
      <c r="B52" s="511">
        <f>B51</f>
        <v>386665.73</v>
      </c>
    </row>
    <row r="53" spans="1:2" x14ac:dyDescent="0.2">
      <c r="A53" s="541">
        <v>42439</v>
      </c>
      <c r="B53" s="511">
        <v>389219.85</v>
      </c>
    </row>
    <row r="54" spans="1:2" x14ac:dyDescent="0.2">
      <c r="A54" s="541">
        <v>42440</v>
      </c>
      <c r="B54" s="511">
        <v>406100.98</v>
      </c>
    </row>
    <row r="55" spans="1:2" x14ac:dyDescent="0.2">
      <c r="A55" s="541">
        <v>42443</v>
      </c>
      <c r="B55" s="511">
        <v>407873.33</v>
      </c>
    </row>
    <row r="56" spans="1:2" x14ac:dyDescent="0.2">
      <c r="A56" s="541">
        <v>42444</v>
      </c>
      <c r="B56" s="511">
        <v>407992.23</v>
      </c>
    </row>
    <row r="57" spans="1:2" x14ac:dyDescent="0.2">
      <c r="A57" s="541">
        <v>42445</v>
      </c>
      <c r="B57" s="511">
        <v>433808.81</v>
      </c>
    </row>
    <row r="58" spans="1:2" x14ac:dyDescent="0.2">
      <c r="A58" s="541">
        <v>42446</v>
      </c>
      <c r="B58" s="511">
        <v>422290.94</v>
      </c>
    </row>
    <row r="59" spans="1:2" x14ac:dyDescent="0.2">
      <c r="A59" s="541">
        <v>42447</v>
      </c>
      <c r="B59" s="511">
        <v>468026.54</v>
      </c>
    </row>
    <row r="60" spans="1:2" x14ac:dyDescent="0.2">
      <c r="A60" s="541">
        <v>42450</v>
      </c>
      <c r="B60" s="511">
        <v>348026.54</v>
      </c>
    </row>
    <row r="61" spans="1:2" x14ac:dyDescent="0.2">
      <c r="A61" s="541">
        <v>42451</v>
      </c>
      <c r="B61" s="511">
        <v>312876.71000000002</v>
      </c>
    </row>
    <row r="62" spans="1:2" x14ac:dyDescent="0.2">
      <c r="A62" s="541">
        <v>42452</v>
      </c>
      <c r="B62" s="511">
        <v>314939.26</v>
      </c>
    </row>
    <row r="63" spans="1:2" x14ac:dyDescent="0.2">
      <c r="A63" s="541">
        <v>42453</v>
      </c>
      <c r="B63" s="511">
        <v>309254.23</v>
      </c>
    </row>
    <row r="64" spans="1:2" x14ac:dyDescent="0.2">
      <c r="A64" s="541">
        <v>42454</v>
      </c>
      <c r="B64" s="511">
        <v>308314.94</v>
      </c>
    </row>
    <row r="65" spans="1:2" x14ac:dyDescent="0.2">
      <c r="A65" s="541">
        <v>42457</v>
      </c>
      <c r="B65" s="511">
        <f>B64</f>
        <v>308314.94</v>
      </c>
    </row>
    <row r="66" spans="1:2" x14ac:dyDescent="0.2">
      <c r="A66" s="541">
        <v>42458</v>
      </c>
      <c r="B66" s="511">
        <v>308501.75</v>
      </c>
    </row>
    <row r="67" spans="1:2" x14ac:dyDescent="0.2">
      <c r="A67" s="541">
        <v>42459</v>
      </c>
      <c r="B67" s="511">
        <f>B66</f>
        <v>308501.75</v>
      </c>
    </row>
    <row r="68" spans="1:2" x14ac:dyDescent="0.2">
      <c r="A68" s="541">
        <v>42460</v>
      </c>
      <c r="B68" s="511">
        <v>309191.53000000003</v>
      </c>
    </row>
    <row r="69" spans="1:2" x14ac:dyDescent="0.2">
      <c r="A69" s="541">
        <v>42461</v>
      </c>
      <c r="B69" s="511">
        <f>B68</f>
        <v>309191.53000000003</v>
      </c>
    </row>
    <row r="70" spans="1:2" x14ac:dyDescent="0.2">
      <c r="A70" s="541">
        <v>42464</v>
      </c>
      <c r="B70" s="511">
        <v>273521.59999999998</v>
      </c>
    </row>
    <row r="71" spans="1:2" x14ac:dyDescent="0.2">
      <c r="A71" s="541">
        <v>42465</v>
      </c>
      <c r="B71" s="511">
        <f>B70</f>
        <v>273521.59999999998</v>
      </c>
    </row>
    <row r="72" spans="1:2" x14ac:dyDescent="0.2">
      <c r="A72" s="541">
        <v>42466</v>
      </c>
      <c r="B72" s="511">
        <v>272690.59999999998</v>
      </c>
    </row>
    <row r="73" spans="1:2" x14ac:dyDescent="0.2">
      <c r="A73" s="541">
        <v>42467</v>
      </c>
      <c r="B73" s="511">
        <v>269582.73</v>
      </c>
    </row>
    <row r="74" spans="1:2" x14ac:dyDescent="0.2">
      <c r="A74" s="541">
        <v>42468</v>
      </c>
      <c r="B74" s="511">
        <f>B73</f>
        <v>269582.73</v>
      </c>
    </row>
    <row r="75" spans="1:2" x14ac:dyDescent="0.2">
      <c r="A75" s="541">
        <v>42471</v>
      </c>
      <c r="B75" s="511">
        <v>269763.98</v>
      </c>
    </row>
    <row r="76" spans="1:2" x14ac:dyDescent="0.2">
      <c r="A76" s="541">
        <v>42472</v>
      </c>
      <c r="B76" s="511">
        <f>B75</f>
        <v>269763.98</v>
      </c>
    </row>
    <row r="77" spans="1:2" x14ac:dyDescent="0.2">
      <c r="A77" s="541">
        <v>42473</v>
      </c>
      <c r="B77" s="511">
        <v>269925.98</v>
      </c>
    </row>
    <row r="78" spans="1:2" x14ac:dyDescent="0.2">
      <c r="A78" s="541">
        <v>42474</v>
      </c>
      <c r="B78" s="511">
        <v>262853.87</v>
      </c>
    </row>
    <row r="79" spans="1:2" x14ac:dyDescent="0.2">
      <c r="A79" s="541">
        <v>42475</v>
      </c>
      <c r="B79" s="511">
        <v>285492.90999999997</v>
      </c>
    </row>
    <row r="80" spans="1:2" x14ac:dyDescent="0.2">
      <c r="A80" s="541">
        <v>42478</v>
      </c>
      <c r="B80" s="511">
        <v>248936.49</v>
      </c>
    </row>
    <row r="81" spans="1:2" x14ac:dyDescent="0.2">
      <c r="A81" s="541">
        <v>42479</v>
      </c>
      <c r="B81" s="511">
        <v>299276.93</v>
      </c>
    </row>
    <row r="82" spans="1:2" x14ac:dyDescent="0.2">
      <c r="A82" s="541">
        <v>42480</v>
      </c>
      <c r="B82" s="511">
        <v>298671.93</v>
      </c>
    </row>
    <row r="83" spans="1:2" x14ac:dyDescent="0.2">
      <c r="A83" s="541">
        <v>42481</v>
      </c>
      <c r="B83" s="511">
        <v>300188.76</v>
      </c>
    </row>
    <row r="84" spans="1:2" x14ac:dyDescent="0.2">
      <c r="A84" s="541">
        <v>42482</v>
      </c>
      <c r="B84" s="511">
        <v>320014.86</v>
      </c>
    </row>
    <row r="85" spans="1:2" x14ac:dyDescent="0.2">
      <c r="A85" s="541">
        <v>42485</v>
      </c>
      <c r="B85" s="511">
        <v>316702.44</v>
      </c>
    </row>
    <row r="86" spans="1:2" x14ac:dyDescent="0.2">
      <c r="A86" s="541">
        <v>42486</v>
      </c>
      <c r="B86" s="511">
        <f>B85</f>
        <v>316702.44</v>
      </c>
    </row>
    <row r="87" spans="1:2" x14ac:dyDescent="0.2">
      <c r="A87" s="541">
        <v>42487</v>
      </c>
      <c r="B87" s="511">
        <v>316945.44</v>
      </c>
    </row>
    <row r="88" spans="1:2" x14ac:dyDescent="0.2">
      <c r="A88" s="541">
        <v>42488</v>
      </c>
      <c r="B88" s="511">
        <v>320979.96999999997</v>
      </c>
    </row>
    <row r="89" spans="1:2" x14ac:dyDescent="0.2">
      <c r="A89" s="541">
        <v>42489</v>
      </c>
      <c r="B89" s="511">
        <f>B88</f>
        <v>320979.96999999997</v>
      </c>
    </row>
    <row r="90" spans="1:2" x14ac:dyDescent="0.2">
      <c r="A90" s="541">
        <v>42492</v>
      </c>
      <c r="B90" s="511">
        <v>285992.84000000003</v>
      </c>
    </row>
    <row r="91" spans="1:2" x14ac:dyDescent="0.2">
      <c r="A91" s="541">
        <v>42493</v>
      </c>
      <c r="B91" s="511">
        <v>286063.08</v>
      </c>
    </row>
    <row r="92" spans="1:2" x14ac:dyDescent="0.2">
      <c r="A92" s="541">
        <v>42494</v>
      </c>
      <c r="B92" s="511">
        <v>314586.46000000002</v>
      </c>
    </row>
    <row r="93" spans="1:2" x14ac:dyDescent="0.2">
      <c r="A93" s="541">
        <v>42495</v>
      </c>
      <c r="B93" s="511">
        <v>317747.52</v>
      </c>
    </row>
    <row r="94" spans="1:2" x14ac:dyDescent="0.2">
      <c r="A94" s="541">
        <v>42496</v>
      </c>
      <c r="B94" s="511">
        <f>B93</f>
        <v>317747.52</v>
      </c>
    </row>
    <row r="95" spans="1:2" x14ac:dyDescent="0.2">
      <c r="A95" s="541">
        <v>42499</v>
      </c>
      <c r="B95" s="511">
        <v>317647.52</v>
      </c>
    </row>
    <row r="96" spans="1:2" x14ac:dyDescent="0.2">
      <c r="A96" s="541">
        <v>42500</v>
      </c>
      <c r="B96" s="511">
        <v>354645.16</v>
      </c>
    </row>
    <row r="97" spans="1:2" x14ac:dyDescent="0.2">
      <c r="A97" s="541">
        <v>42501</v>
      </c>
      <c r="B97" s="511">
        <f>B96</f>
        <v>354645.16</v>
      </c>
    </row>
    <row r="98" spans="1:2" x14ac:dyDescent="0.2">
      <c r="A98" s="541">
        <v>42502</v>
      </c>
      <c r="B98" s="511">
        <v>334676.08</v>
      </c>
    </row>
    <row r="99" spans="1:2" x14ac:dyDescent="0.2">
      <c r="A99" s="541">
        <v>42503</v>
      </c>
      <c r="B99" s="511">
        <v>335053.34999999998</v>
      </c>
    </row>
    <row r="100" spans="1:2" x14ac:dyDescent="0.2">
      <c r="A100" s="541">
        <v>42506</v>
      </c>
      <c r="B100" s="511">
        <v>299641.7</v>
      </c>
    </row>
    <row r="101" spans="1:2" x14ac:dyDescent="0.2">
      <c r="A101" s="541">
        <v>42507</v>
      </c>
      <c r="B101" s="511">
        <f>B100</f>
        <v>299641.7</v>
      </c>
    </row>
    <row r="102" spans="1:2" x14ac:dyDescent="0.2">
      <c r="A102" s="541">
        <v>42508</v>
      </c>
      <c r="B102" s="511">
        <v>316034.81</v>
      </c>
    </row>
    <row r="103" spans="1:2" x14ac:dyDescent="0.2">
      <c r="A103" s="541">
        <v>42509</v>
      </c>
      <c r="B103" s="511">
        <v>320069.11</v>
      </c>
    </row>
    <row r="104" spans="1:2" x14ac:dyDescent="0.2">
      <c r="A104" s="541">
        <v>42510</v>
      </c>
      <c r="B104" s="511">
        <v>328514.03000000003</v>
      </c>
    </row>
    <row r="105" spans="1:2" x14ac:dyDescent="0.2">
      <c r="A105" s="541">
        <v>42513</v>
      </c>
      <c r="B105" s="511">
        <f>B104</f>
        <v>328514.03000000003</v>
      </c>
    </row>
    <row r="106" spans="1:2" x14ac:dyDescent="0.2">
      <c r="A106" s="541">
        <v>42514</v>
      </c>
      <c r="B106" s="511">
        <v>334541.26</v>
      </c>
    </row>
    <row r="107" spans="1:2" x14ac:dyDescent="0.2">
      <c r="A107" s="541">
        <v>42515</v>
      </c>
      <c r="B107" s="512">
        <v>329880.45</v>
      </c>
    </row>
    <row r="108" spans="1:2" x14ac:dyDescent="0.2">
      <c r="A108" s="541">
        <v>42516</v>
      </c>
      <c r="B108" s="513">
        <v>337992.17</v>
      </c>
    </row>
    <row r="109" spans="1:2" x14ac:dyDescent="0.2">
      <c r="A109" s="541">
        <v>42517</v>
      </c>
      <c r="B109" s="513">
        <v>347755.4</v>
      </c>
    </row>
    <row r="110" spans="1:2" x14ac:dyDescent="0.2">
      <c r="A110" s="541">
        <v>42520</v>
      </c>
      <c r="B110" s="513">
        <v>347755.4</v>
      </c>
    </row>
    <row r="111" spans="1:2" x14ac:dyDescent="0.2">
      <c r="A111" s="541">
        <v>42521</v>
      </c>
      <c r="B111" s="513">
        <v>312817.88</v>
      </c>
    </row>
    <row r="112" spans="1:2" x14ac:dyDescent="0.2">
      <c r="A112" s="541">
        <v>42522</v>
      </c>
      <c r="B112" s="513">
        <v>314571.3</v>
      </c>
    </row>
    <row r="113" spans="1:2" x14ac:dyDescent="0.2">
      <c r="A113" s="541">
        <v>42523</v>
      </c>
      <c r="B113" s="513">
        <v>302515.78000000003</v>
      </c>
    </row>
    <row r="114" spans="1:2" x14ac:dyDescent="0.2">
      <c r="A114" s="541">
        <v>42524</v>
      </c>
      <c r="B114" s="513">
        <v>302516</v>
      </c>
    </row>
    <row r="115" spans="1:2" x14ac:dyDescent="0.2">
      <c r="A115" s="541">
        <v>42527</v>
      </c>
      <c r="B115" s="513">
        <v>302516</v>
      </c>
    </row>
    <row r="116" spans="1:2" x14ac:dyDescent="0.2">
      <c r="A116" s="541">
        <v>42528</v>
      </c>
      <c r="B116" s="513">
        <v>302516</v>
      </c>
    </row>
    <row r="117" spans="1:2" x14ac:dyDescent="0.2">
      <c r="A117" s="541">
        <v>42529</v>
      </c>
      <c r="B117" s="513">
        <v>279865.95</v>
      </c>
    </row>
    <row r="118" spans="1:2" x14ac:dyDescent="0.2">
      <c r="A118" s="541">
        <v>42530</v>
      </c>
      <c r="B118" s="513">
        <v>279866</v>
      </c>
    </row>
    <row r="119" spans="1:2" x14ac:dyDescent="0.2">
      <c r="A119" s="541">
        <v>42531</v>
      </c>
      <c r="B119" s="513">
        <v>279866</v>
      </c>
    </row>
    <row r="120" spans="1:2" x14ac:dyDescent="0.2">
      <c r="A120" s="541">
        <v>42534</v>
      </c>
      <c r="B120" s="513">
        <v>279866</v>
      </c>
    </row>
    <row r="121" spans="1:2" x14ac:dyDescent="0.2">
      <c r="A121" s="541">
        <v>42535</v>
      </c>
      <c r="B121" s="513">
        <v>279866</v>
      </c>
    </row>
    <row r="122" spans="1:2" x14ac:dyDescent="0.2">
      <c r="A122" s="541">
        <v>42536</v>
      </c>
      <c r="B122" s="513">
        <v>290096.01</v>
      </c>
    </row>
    <row r="123" spans="1:2" x14ac:dyDescent="0.2">
      <c r="A123" s="541">
        <v>42537</v>
      </c>
      <c r="B123" s="513">
        <v>247423.5</v>
      </c>
    </row>
    <row r="124" spans="1:2" x14ac:dyDescent="0.2">
      <c r="A124" s="541">
        <v>42538</v>
      </c>
      <c r="B124" s="513">
        <v>247424</v>
      </c>
    </row>
    <row r="125" spans="1:2" x14ac:dyDescent="0.2">
      <c r="A125" s="541">
        <v>42541</v>
      </c>
      <c r="B125" s="513">
        <v>247424</v>
      </c>
    </row>
    <row r="126" spans="1:2" x14ac:dyDescent="0.2">
      <c r="A126" s="541">
        <v>42542</v>
      </c>
      <c r="B126" s="513">
        <v>255459.85</v>
      </c>
    </row>
    <row r="127" spans="1:2" x14ac:dyDescent="0.2">
      <c r="A127" s="541">
        <v>42543</v>
      </c>
      <c r="B127" s="513">
        <v>255460</v>
      </c>
    </row>
    <row r="128" spans="1:2" x14ac:dyDescent="0.2">
      <c r="A128" s="514">
        <f>A127+1</f>
        <v>42544</v>
      </c>
      <c r="B128" s="513">
        <v>240780.4</v>
      </c>
    </row>
    <row r="129" spans="1:2" x14ac:dyDescent="0.2">
      <c r="A129" s="514">
        <f>A128+1</f>
        <v>42545</v>
      </c>
      <c r="B129" s="513">
        <v>240780</v>
      </c>
    </row>
    <row r="130" spans="1:2" x14ac:dyDescent="0.2">
      <c r="A130" s="514">
        <f>A125+7</f>
        <v>42548</v>
      </c>
      <c r="B130" s="513">
        <v>205735.12</v>
      </c>
    </row>
    <row r="131" spans="1:2" x14ac:dyDescent="0.2">
      <c r="A131" s="514">
        <f>A126+7</f>
        <v>42549</v>
      </c>
      <c r="B131" s="513">
        <v>207489.37</v>
      </c>
    </row>
    <row r="132" spans="1:2" x14ac:dyDescent="0.2">
      <c r="A132" s="514">
        <f t="shared" ref="A132:A195" si="0">A127+7</f>
        <v>42550</v>
      </c>
      <c r="B132" s="513">
        <v>213757.9</v>
      </c>
    </row>
    <row r="133" spans="1:2" x14ac:dyDescent="0.2">
      <c r="A133" s="514">
        <f t="shared" si="0"/>
        <v>42551</v>
      </c>
      <c r="B133" s="513">
        <v>220332.56</v>
      </c>
    </row>
    <row r="134" spans="1:2" x14ac:dyDescent="0.2">
      <c r="A134" s="514">
        <f t="shared" si="0"/>
        <v>42552</v>
      </c>
      <c r="B134" s="513">
        <v>212813.84</v>
      </c>
    </row>
    <row r="135" spans="1:2" x14ac:dyDescent="0.2">
      <c r="A135" s="514">
        <f t="shared" si="0"/>
        <v>42555</v>
      </c>
      <c r="B135" s="513">
        <v>212814</v>
      </c>
    </row>
    <row r="136" spans="1:2" x14ac:dyDescent="0.2">
      <c r="A136" s="514">
        <f t="shared" si="0"/>
        <v>42556</v>
      </c>
      <c r="B136" s="513">
        <v>236539.45</v>
      </c>
    </row>
    <row r="137" spans="1:2" x14ac:dyDescent="0.2">
      <c r="A137" s="514">
        <f t="shared" si="0"/>
        <v>42557</v>
      </c>
      <c r="B137" s="513">
        <v>234224.42</v>
      </c>
    </row>
    <row r="138" spans="1:2" x14ac:dyDescent="0.2">
      <c r="A138" s="514">
        <f t="shared" si="0"/>
        <v>42558</v>
      </c>
      <c r="B138" s="513">
        <v>234132.08</v>
      </c>
    </row>
    <row r="139" spans="1:2" x14ac:dyDescent="0.2">
      <c r="A139" s="514">
        <f t="shared" si="0"/>
        <v>42559</v>
      </c>
      <c r="B139" s="513">
        <v>234132.08</v>
      </c>
    </row>
    <row r="140" spans="1:2" x14ac:dyDescent="0.2">
      <c r="A140" s="514">
        <f t="shared" si="0"/>
        <v>42562</v>
      </c>
      <c r="B140" s="513">
        <v>199890.85</v>
      </c>
    </row>
    <row r="141" spans="1:2" x14ac:dyDescent="0.2">
      <c r="A141" s="514">
        <f t="shared" si="0"/>
        <v>42563</v>
      </c>
      <c r="B141" s="513">
        <v>221114.27</v>
      </c>
    </row>
    <row r="142" spans="1:2" x14ac:dyDescent="0.2">
      <c r="A142" s="514">
        <f t="shared" si="0"/>
        <v>42564</v>
      </c>
      <c r="B142" s="513">
        <v>221114</v>
      </c>
    </row>
    <row r="143" spans="1:2" x14ac:dyDescent="0.2">
      <c r="A143" s="514">
        <f t="shared" si="0"/>
        <v>42565</v>
      </c>
      <c r="B143" s="513">
        <v>214752.25</v>
      </c>
    </row>
    <row r="144" spans="1:2" x14ac:dyDescent="0.2">
      <c r="A144" s="514">
        <f t="shared" si="0"/>
        <v>42566</v>
      </c>
      <c r="B144" s="513">
        <v>294578.96999999997</v>
      </c>
    </row>
    <row r="145" spans="1:2" x14ac:dyDescent="0.2">
      <c r="A145" s="514">
        <f t="shared" si="0"/>
        <v>42569</v>
      </c>
      <c r="B145" s="513">
        <v>294579</v>
      </c>
    </row>
    <row r="146" spans="1:2" x14ac:dyDescent="0.2">
      <c r="A146" s="514">
        <f t="shared" si="0"/>
        <v>42570</v>
      </c>
      <c r="B146" s="513">
        <v>294579</v>
      </c>
    </row>
    <row r="147" spans="1:2" x14ac:dyDescent="0.2">
      <c r="A147" s="514">
        <f t="shared" si="0"/>
        <v>42571</v>
      </c>
      <c r="B147" s="513">
        <v>328195.42</v>
      </c>
    </row>
    <row r="148" spans="1:2" x14ac:dyDescent="0.2">
      <c r="A148" s="514">
        <f t="shared" si="0"/>
        <v>42572</v>
      </c>
      <c r="B148" s="513">
        <v>407865.86</v>
      </c>
    </row>
    <row r="149" spans="1:2" x14ac:dyDescent="0.2">
      <c r="A149" s="514">
        <f t="shared" si="0"/>
        <v>42573</v>
      </c>
      <c r="B149" s="513">
        <v>409053.93</v>
      </c>
    </row>
    <row r="150" spans="1:2" x14ac:dyDescent="0.2">
      <c r="A150" s="514">
        <f t="shared" si="0"/>
        <v>42576</v>
      </c>
      <c r="B150" s="513">
        <v>372421.56</v>
      </c>
    </row>
    <row r="151" spans="1:2" x14ac:dyDescent="0.2">
      <c r="A151" s="514">
        <f t="shared" si="0"/>
        <v>42577</v>
      </c>
      <c r="B151" s="513">
        <v>375562.78</v>
      </c>
    </row>
    <row r="152" spans="1:2" x14ac:dyDescent="0.2">
      <c r="A152" s="514">
        <f t="shared" si="0"/>
        <v>42578</v>
      </c>
      <c r="B152" s="513">
        <v>375563</v>
      </c>
    </row>
    <row r="153" spans="1:2" x14ac:dyDescent="0.2">
      <c r="A153" s="514">
        <f t="shared" si="0"/>
        <v>42579</v>
      </c>
      <c r="B153" s="513">
        <v>366510.98</v>
      </c>
    </row>
    <row r="154" spans="1:2" x14ac:dyDescent="0.2">
      <c r="A154" s="514">
        <f t="shared" si="0"/>
        <v>42580</v>
      </c>
      <c r="B154" s="513">
        <v>366609.48</v>
      </c>
    </row>
    <row r="155" spans="1:2" x14ac:dyDescent="0.2">
      <c r="A155" s="514">
        <f t="shared" si="0"/>
        <v>42583</v>
      </c>
      <c r="B155" s="513">
        <v>382689.69</v>
      </c>
    </row>
    <row r="156" spans="1:2" x14ac:dyDescent="0.2">
      <c r="A156" s="514">
        <f t="shared" si="0"/>
        <v>42584</v>
      </c>
      <c r="B156" s="513">
        <v>382690</v>
      </c>
    </row>
    <row r="157" spans="1:2" x14ac:dyDescent="0.2">
      <c r="A157" s="514">
        <f t="shared" si="0"/>
        <v>42585</v>
      </c>
      <c r="B157" s="513">
        <v>387013.59</v>
      </c>
    </row>
    <row r="158" spans="1:2" x14ac:dyDescent="0.2">
      <c r="A158" s="514">
        <f t="shared" si="0"/>
        <v>42586</v>
      </c>
      <c r="B158" s="513">
        <v>382543.7</v>
      </c>
    </row>
    <row r="159" spans="1:2" x14ac:dyDescent="0.2">
      <c r="A159" s="514">
        <f t="shared" si="0"/>
        <v>42587</v>
      </c>
      <c r="B159" s="513">
        <v>382544</v>
      </c>
    </row>
    <row r="160" spans="1:2" x14ac:dyDescent="0.2">
      <c r="A160" s="514">
        <f t="shared" si="0"/>
        <v>42590</v>
      </c>
      <c r="B160" s="513">
        <v>344510.17</v>
      </c>
    </row>
    <row r="161" spans="1:2" x14ac:dyDescent="0.2">
      <c r="A161" s="514">
        <f t="shared" si="0"/>
        <v>42591</v>
      </c>
      <c r="B161" s="513">
        <v>350095.94</v>
      </c>
    </row>
    <row r="162" spans="1:2" x14ac:dyDescent="0.2">
      <c r="A162" s="514">
        <f t="shared" si="0"/>
        <v>42592</v>
      </c>
      <c r="B162" s="513">
        <v>350096</v>
      </c>
    </row>
    <row r="163" spans="1:2" x14ac:dyDescent="0.2">
      <c r="A163" s="514">
        <f t="shared" si="0"/>
        <v>42593</v>
      </c>
      <c r="B163" s="513">
        <v>355079.15</v>
      </c>
    </row>
    <row r="164" spans="1:2" x14ac:dyDescent="0.2">
      <c r="A164" s="514">
        <f t="shared" si="0"/>
        <v>42594</v>
      </c>
      <c r="B164" s="513">
        <v>356502.11</v>
      </c>
    </row>
    <row r="165" spans="1:2" x14ac:dyDescent="0.2">
      <c r="A165" s="514">
        <f t="shared" si="0"/>
        <v>42597</v>
      </c>
      <c r="B165" s="513">
        <v>408622.46</v>
      </c>
    </row>
    <row r="166" spans="1:2" x14ac:dyDescent="0.2">
      <c r="A166" s="514">
        <f t="shared" si="0"/>
        <v>42598</v>
      </c>
      <c r="B166" s="513">
        <v>408622</v>
      </c>
    </row>
    <row r="167" spans="1:2" x14ac:dyDescent="0.2">
      <c r="A167" s="514">
        <f t="shared" si="0"/>
        <v>42599</v>
      </c>
      <c r="B167" s="513">
        <v>408622</v>
      </c>
    </row>
    <row r="168" spans="1:2" x14ac:dyDescent="0.2">
      <c r="A168" s="514">
        <f t="shared" si="0"/>
        <v>42600</v>
      </c>
      <c r="B168" s="513">
        <v>409931.67</v>
      </c>
    </row>
    <row r="169" spans="1:2" x14ac:dyDescent="0.2">
      <c r="A169" s="514">
        <f t="shared" si="0"/>
        <v>42601</v>
      </c>
      <c r="B169" s="513">
        <v>410189.3</v>
      </c>
    </row>
    <row r="170" spans="1:2" x14ac:dyDescent="0.2">
      <c r="A170" s="514">
        <f t="shared" si="0"/>
        <v>42604</v>
      </c>
      <c r="B170" s="513">
        <v>370399.56</v>
      </c>
    </row>
    <row r="171" spans="1:2" x14ac:dyDescent="0.2">
      <c r="A171" s="514">
        <f t="shared" si="0"/>
        <v>42605</v>
      </c>
      <c r="B171" s="513">
        <v>370399.56</v>
      </c>
    </row>
    <row r="172" spans="1:2" x14ac:dyDescent="0.2">
      <c r="A172" s="514">
        <f t="shared" si="0"/>
        <v>42606</v>
      </c>
      <c r="B172" s="513">
        <v>370400</v>
      </c>
    </row>
    <row r="173" spans="1:2" x14ac:dyDescent="0.2">
      <c r="A173" s="514">
        <f t="shared" si="0"/>
        <v>42607</v>
      </c>
      <c r="B173" s="513">
        <v>359591.19</v>
      </c>
    </row>
    <row r="174" spans="1:2" x14ac:dyDescent="0.2">
      <c r="A174" s="514">
        <f t="shared" si="0"/>
        <v>42608</v>
      </c>
      <c r="B174" s="513">
        <v>399163.14</v>
      </c>
    </row>
    <row r="175" spans="1:2" x14ac:dyDescent="0.2">
      <c r="A175" s="514">
        <f t="shared" si="0"/>
        <v>42611</v>
      </c>
      <c r="B175" s="513">
        <v>407196.62</v>
      </c>
    </row>
    <row r="176" spans="1:2" x14ac:dyDescent="0.2">
      <c r="A176" s="514">
        <f t="shared" si="0"/>
        <v>42612</v>
      </c>
      <c r="B176" s="513">
        <v>422526.97</v>
      </c>
    </row>
    <row r="177" spans="1:5" x14ac:dyDescent="0.2">
      <c r="A177" s="514">
        <f t="shared" si="0"/>
        <v>42613</v>
      </c>
      <c r="B177" s="513">
        <v>479216.05</v>
      </c>
    </row>
    <row r="178" spans="1:5" x14ac:dyDescent="0.2">
      <c r="A178" s="514">
        <f t="shared" si="0"/>
        <v>42614</v>
      </c>
      <c r="B178" s="513">
        <v>479216</v>
      </c>
    </row>
    <row r="179" spans="1:5" x14ac:dyDescent="0.2">
      <c r="A179" s="514">
        <f t="shared" si="0"/>
        <v>42615</v>
      </c>
      <c r="B179" s="513">
        <v>479216</v>
      </c>
    </row>
    <row r="180" spans="1:5" x14ac:dyDescent="0.2">
      <c r="A180" s="514">
        <f t="shared" si="0"/>
        <v>42618</v>
      </c>
      <c r="B180" s="513">
        <v>479216</v>
      </c>
    </row>
    <row r="181" spans="1:5" x14ac:dyDescent="0.2">
      <c r="A181" s="514">
        <f t="shared" si="0"/>
        <v>42619</v>
      </c>
      <c r="B181" s="513">
        <v>440784.82</v>
      </c>
    </row>
    <row r="182" spans="1:5" x14ac:dyDescent="0.2">
      <c r="A182" s="514">
        <f t="shared" si="0"/>
        <v>42620</v>
      </c>
      <c r="B182" s="513">
        <v>440785</v>
      </c>
      <c r="D182" s="515"/>
      <c r="E182" s="516"/>
    </row>
    <row r="183" spans="1:5" x14ac:dyDescent="0.2">
      <c r="A183" s="514">
        <f t="shared" si="0"/>
        <v>42621</v>
      </c>
      <c r="B183" s="513">
        <v>445373.31</v>
      </c>
    </row>
    <row r="184" spans="1:5" x14ac:dyDescent="0.2">
      <c r="A184" s="514">
        <f t="shared" si="0"/>
        <v>42622</v>
      </c>
      <c r="B184" s="513">
        <v>463896.46</v>
      </c>
      <c r="D184" s="515"/>
      <c r="E184" s="516"/>
    </row>
    <row r="185" spans="1:5" x14ac:dyDescent="0.2">
      <c r="A185" s="514">
        <f t="shared" si="0"/>
        <v>42625</v>
      </c>
      <c r="B185" s="513">
        <v>463296.46</v>
      </c>
      <c r="D185" s="515"/>
      <c r="E185" s="516"/>
    </row>
    <row r="186" spans="1:5" x14ac:dyDescent="0.2">
      <c r="A186" s="514">
        <f t="shared" si="0"/>
        <v>42626</v>
      </c>
      <c r="B186" s="513">
        <v>465024.54</v>
      </c>
      <c r="D186" s="515"/>
      <c r="E186" s="516"/>
    </row>
    <row r="187" spans="1:5" x14ac:dyDescent="0.2">
      <c r="A187" s="514">
        <f t="shared" si="0"/>
        <v>42627</v>
      </c>
      <c r="B187" s="513">
        <v>465025</v>
      </c>
      <c r="D187" s="515"/>
      <c r="E187" s="516"/>
    </row>
    <row r="188" spans="1:5" x14ac:dyDescent="0.2">
      <c r="A188" s="514">
        <f t="shared" si="0"/>
        <v>42628</v>
      </c>
      <c r="B188" s="513">
        <v>447444.34</v>
      </c>
      <c r="D188" s="515"/>
      <c r="E188" s="516"/>
    </row>
    <row r="189" spans="1:5" x14ac:dyDescent="0.2">
      <c r="A189" s="514">
        <f t="shared" si="0"/>
        <v>42629</v>
      </c>
      <c r="B189" s="513">
        <v>451135.42</v>
      </c>
      <c r="D189" s="515"/>
      <c r="E189" s="516"/>
    </row>
    <row r="190" spans="1:5" x14ac:dyDescent="0.2">
      <c r="A190" s="514">
        <f t="shared" si="0"/>
        <v>42632</v>
      </c>
      <c r="B190" s="513">
        <v>413924.51</v>
      </c>
      <c r="D190" s="515"/>
      <c r="E190" s="516"/>
    </row>
    <row r="191" spans="1:5" x14ac:dyDescent="0.2">
      <c r="A191" s="514">
        <f t="shared" si="0"/>
        <v>42633</v>
      </c>
      <c r="B191" s="513">
        <v>395080.96000000002</v>
      </c>
      <c r="D191" s="515"/>
      <c r="E191" s="516"/>
    </row>
    <row r="192" spans="1:5" x14ac:dyDescent="0.2">
      <c r="A192" s="514">
        <f t="shared" si="0"/>
        <v>42634</v>
      </c>
      <c r="B192" s="513">
        <v>393852.1</v>
      </c>
      <c r="D192" s="515"/>
      <c r="E192" s="516"/>
    </row>
    <row r="193" spans="1:5" x14ac:dyDescent="0.2">
      <c r="A193" s="514">
        <f t="shared" si="0"/>
        <v>42635</v>
      </c>
      <c r="B193" s="513">
        <v>397757.18</v>
      </c>
      <c r="D193" s="515"/>
      <c r="E193" s="516"/>
    </row>
    <row r="194" spans="1:5" x14ac:dyDescent="0.2">
      <c r="A194" s="514">
        <f t="shared" si="0"/>
        <v>42636</v>
      </c>
      <c r="B194" s="513">
        <v>397757</v>
      </c>
      <c r="D194" s="515"/>
      <c r="E194" s="516"/>
    </row>
    <row r="195" spans="1:5" x14ac:dyDescent="0.2">
      <c r="A195" s="514">
        <f t="shared" si="0"/>
        <v>42639</v>
      </c>
      <c r="B195" s="513">
        <v>397757</v>
      </c>
      <c r="D195" s="515"/>
      <c r="E195" s="516"/>
    </row>
    <row r="196" spans="1:5" x14ac:dyDescent="0.2">
      <c r="A196" s="514">
        <f t="shared" ref="A196:A259" si="1">A191+7</f>
        <v>42640</v>
      </c>
      <c r="B196" s="513">
        <v>403105.59</v>
      </c>
      <c r="D196" s="515"/>
      <c r="E196" s="516"/>
    </row>
    <row r="197" spans="1:5" x14ac:dyDescent="0.2">
      <c r="A197" s="514">
        <f t="shared" si="1"/>
        <v>42641</v>
      </c>
      <c r="B197" s="513">
        <v>394170.51</v>
      </c>
      <c r="D197" s="515"/>
      <c r="E197" s="516"/>
    </row>
    <row r="198" spans="1:5" x14ac:dyDescent="0.2">
      <c r="A198" s="514">
        <f t="shared" si="1"/>
        <v>42642</v>
      </c>
      <c r="B198" s="513">
        <v>397917.56</v>
      </c>
      <c r="D198" s="515"/>
      <c r="E198" s="516"/>
    </row>
    <row r="199" spans="1:5" x14ac:dyDescent="0.2">
      <c r="A199" s="514">
        <f t="shared" si="1"/>
        <v>42643</v>
      </c>
      <c r="B199" s="513">
        <v>397918</v>
      </c>
      <c r="D199" s="515"/>
      <c r="E199" s="516"/>
    </row>
    <row r="200" spans="1:5" x14ac:dyDescent="0.2">
      <c r="A200" s="514">
        <f t="shared" si="1"/>
        <v>42646</v>
      </c>
      <c r="B200" s="513">
        <v>361701.8</v>
      </c>
      <c r="D200" s="515"/>
      <c r="E200" s="516"/>
    </row>
    <row r="201" spans="1:5" x14ac:dyDescent="0.2">
      <c r="A201" s="514">
        <f t="shared" si="1"/>
        <v>42647</v>
      </c>
      <c r="B201" s="513">
        <v>362031.95</v>
      </c>
      <c r="D201" s="515"/>
      <c r="E201" s="516"/>
    </row>
    <row r="202" spans="1:5" x14ac:dyDescent="0.2">
      <c r="A202" s="514">
        <f t="shared" si="1"/>
        <v>42648</v>
      </c>
      <c r="B202" s="513">
        <v>362032</v>
      </c>
    </row>
    <row r="203" spans="1:5" x14ac:dyDescent="0.2">
      <c r="A203" s="514">
        <f t="shared" si="1"/>
        <v>42649</v>
      </c>
      <c r="B203" s="513">
        <v>360433.13</v>
      </c>
    </row>
    <row r="204" spans="1:5" x14ac:dyDescent="0.2">
      <c r="A204" s="514">
        <f t="shared" si="1"/>
        <v>42650</v>
      </c>
      <c r="B204" s="513">
        <v>361754.66</v>
      </c>
    </row>
    <row r="205" spans="1:5" x14ac:dyDescent="0.2">
      <c r="A205" s="514">
        <f t="shared" si="1"/>
        <v>42653</v>
      </c>
      <c r="B205" s="513">
        <v>361755</v>
      </c>
    </row>
    <row r="206" spans="1:5" x14ac:dyDescent="0.2">
      <c r="A206" s="514">
        <f t="shared" si="1"/>
        <v>42654</v>
      </c>
      <c r="B206" s="513">
        <v>361755</v>
      </c>
    </row>
    <row r="207" spans="1:5" x14ac:dyDescent="0.2">
      <c r="A207" s="514">
        <f t="shared" si="1"/>
        <v>42655</v>
      </c>
      <c r="B207" s="513">
        <v>365429.62</v>
      </c>
    </row>
    <row r="208" spans="1:5" x14ac:dyDescent="0.2">
      <c r="A208" s="514">
        <f t="shared" si="1"/>
        <v>42656</v>
      </c>
      <c r="B208" s="513">
        <v>375400.83</v>
      </c>
    </row>
    <row r="209" spans="1:2" x14ac:dyDescent="0.2">
      <c r="A209" s="514">
        <f t="shared" si="1"/>
        <v>42657</v>
      </c>
      <c r="B209" s="513">
        <v>375484.03</v>
      </c>
    </row>
    <row r="210" spans="1:2" x14ac:dyDescent="0.2">
      <c r="A210" s="514">
        <f t="shared" si="1"/>
        <v>42660</v>
      </c>
      <c r="B210" s="513">
        <v>339702.96</v>
      </c>
    </row>
    <row r="211" spans="1:2" x14ac:dyDescent="0.2">
      <c r="A211" s="514">
        <f t="shared" si="1"/>
        <v>42661</v>
      </c>
      <c r="B211" s="513">
        <v>343741.39</v>
      </c>
    </row>
    <row r="212" spans="1:2" x14ac:dyDescent="0.2">
      <c r="A212" s="514">
        <f t="shared" si="1"/>
        <v>42662</v>
      </c>
      <c r="B212" s="513">
        <v>343741</v>
      </c>
    </row>
    <row r="213" spans="1:2" x14ac:dyDescent="0.2">
      <c r="A213" s="514">
        <f t="shared" si="1"/>
        <v>42663</v>
      </c>
      <c r="B213" s="513">
        <v>332267.31</v>
      </c>
    </row>
    <row r="214" spans="1:2" x14ac:dyDescent="0.2">
      <c r="A214" s="514">
        <f t="shared" si="1"/>
        <v>42664</v>
      </c>
      <c r="B214" s="513">
        <v>332482.06</v>
      </c>
    </row>
    <row r="215" spans="1:2" x14ac:dyDescent="0.2">
      <c r="A215" s="514">
        <f t="shared" si="1"/>
        <v>42667</v>
      </c>
      <c r="B215" s="513">
        <v>332482</v>
      </c>
    </row>
    <row r="216" spans="1:2" x14ac:dyDescent="0.2">
      <c r="A216" s="514">
        <f t="shared" si="1"/>
        <v>42668</v>
      </c>
      <c r="B216" s="513">
        <v>337085.39</v>
      </c>
    </row>
    <row r="217" spans="1:2" x14ac:dyDescent="0.2">
      <c r="A217" s="514">
        <f t="shared" si="1"/>
        <v>42669</v>
      </c>
      <c r="B217" s="513">
        <v>337085</v>
      </c>
    </row>
    <row r="218" spans="1:2" x14ac:dyDescent="0.2">
      <c r="A218" s="514">
        <f t="shared" si="1"/>
        <v>42670</v>
      </c>
      <c r="B218" s="513">
        <v>333113.26</v>
      </c>
    </row>
    <row r="219" spans="1:2" x14ac:dyDescent="0.2">
      <c r="A219" s="514">
        <f t="shared" si="1"/>
        <v>42671</v>
      </c>
      <c r="B219" s="513">
        <v>360993.03</v>
      </c>
    </row>
    <row r="220" spans="1:2" x14ac:dyDescent="0.2">
      <c r="A220" s="514">
        <f t="shared" si="1"/>
        <v>42674</v>
      </c>
      <c r="B220" s="513">
        <v>350567.25</v>
      </c>
    </row>
    <row r="221" spans="1:2" x14ac:dyDescent="0.2">
      <c r="A221" s="514">
        <f t="shared" si="1"/>
        <v>42675</v>
      </c>
      <c r="B221" s="513">
        <v>350939.21</v>
      </c>
    </row>
    <row r="222" spans="1:2" x14ac:dyDescent="0.2">
      <c r="A222" s="514">
        <f t="shared" si="1"/>
        <v>42676</v>
      </c>
      <c r="B222" s="513">
        <v>350939</v>
      </c>
    </row>
    <row r="223" spans="1:2" x14ac:dyDescent="0.2">
      <c r="A223" s="514">
        <f t="shared" si="1"/>
        <v>42677</v>
      </c>
      <c r="B223" s="513">
        <v>344148.64</v>
      </c>
    </row>
    <row r="224" spans="1:2" x14ac:dyDescent="0.2">
      <c r="A224" s="514">
        <f t="shared" si="1"/>
        <v>42678</v>
      </c>
      <c r="B224" s="513">
        <v>399084.27</v>
      </c>
    </row>
    <row r="225" spans="1:2" x14ac:dyDescent="0.2">
      <c r="A225" s="514">
        <f t="shared" si="1"/>
        <v>42681</v>
      </c>
      <c r="B225" s="513">
        <v>399084</v>
      </c>
    </row>
    <row r="226" spans="1:2" x14ac:dyDescent="0.2">
      <c r="A226" s="514">
        <f t="shared" si="1"/>
        <v>42682</v>
      </c>
      <c r="B226" s="513">
        <v>403667.29</v>
      </c>
    </row>
    <row r="227" spans="1:2" x14ac:dyDescent="0.2">
      <c r="A227" s="514">
        <f t="shared" si="1"/>
        <v>42683</v>
      </c>
      <c r="B227" s="513">
        <v>403667</v>
      </c>
    </row>
    <row r="228" spans="1:2" x14ac:dyDescent="0.2">
      <c r="A228" s="514">
        <f t="shared" si="1"/>
        <v>42684</v>
      </c>
      <c r="B228" s="513">
        <v>383477.25</v>
      </c>
    </row>
    <row r="229" spans="1:2" x14ac:dyDescent="0.2">
      <c r="A229" s="514">
        <f t="shared" si="1"/>
        <v>42685</v>
      </c>
      <c r="B229" s="513">
        <v>383477</v>
      </c>
    </row>
    <row r="230" spans="1:2" x14ac:dyDescent="0.2">
      <c r="A230" s="514">
        <f t="shared" si="1"/>
        <v>42688</v>
      </c>
      <c r="B230" s="513">
        <v>347717.6</v>
      </c>
    </row>
    <row r="231" spans="1:2" x14ac:dyDescent="0.2">
      <c r="A231" s="514">
        <f t="shared" si="1"/>
        <v>42689</v>
      </c>
      <c r="B231" s="513">
        <v>347836.75</v>
      </c>
    </row>
    <row r="232" spans="1:2" x14ac:dyDescent="0.2">
      <c r="A232" s="514">
        <f t="shared" si="1"/>
        <v>42690</v>
      </c>
      <c r="B232" s="513">
        <v>347836.75</v>
      </c>
    </row>
    <row r="233" spans="1:2" x14ac:dyDescent="0.2">
      <c r="A233" s="514">
        <f t="shared" si="1"/>
        <v>42691</v>
      </c>
      <c r="B233" s="513">
        <v>350935.56</v>
      </c>
    </row>
    <row r="234" spans="1:2" x14ac:dyDescent="0.2">
      <c r="A234" s="514">
        <f t="shared" si="1"/>
        <v>42692</v>
      </c>
      <c r="B234" s="513">
        <v>350936</v>
      </c>
    </row>
    <row r="235" spans="1:2" x14ac:dyDescent="0.2">
      <c r="A235" s="514">
        <f t="shared" si="1"/>
        <v>42695</v>
      </c>
      <c r="B235" s="513">
        <v>350936</v>
      </c>
    </row>
    <row r="236" spans="1:2" x14ac:dyDescent="0.2">
      <c r="A236" s="514">
        <f t="shared" si="1"/>
        <v>42696</v>
      </c>
      <c r="B236" s="513">
        <v>351588.06</v>
      </c>
    </row>
    <row r="237" spans="1:2" x14ac:dyDescent="0.2">
      <c r="A237" s="514">
        <f t="shared" si="1"/>
        <v>42697</v>
      </c>
      <c r="B237" s="513">
        <v>349477.96</v>
      </c>
    </row>
    <row r="238" spans="1:2" x14ac:dyDescent="0.2">
      <c r="A238" s="514">
        <f t="shared" si="1"/>
        <v>42698</v>
      </c>
      <c r="B238" s="513">
        <v>349478</v>
      </c>
    </row>
    <row r="239" spans="1:2" x14ac:dyDescent="0.2">
      <c r="A239" s="514">
        <f t="shared" si="1"/>
        <v>42699</v>
      </c>
      <c r="B239" s="513">
        <v>368170.66</v>
      </c>
    </row>
    <row r="240" spans="1:2" x14ac:dyDescent="0.2">
      <c r="A240" s="514">
        <f t="shared" si="1"/>
        <v>42702</v>
      </c>
      <c r="B240" s="513">
        <v>368170.66</v>
      </c>
    </row>
    <row r="241" spans="1:2" x14ac:dyDescent="0.2">
      <c r="A241" s="514">
        <f t="shared" si="1"/>
        <v>42703</v>
      </c>
      <c r="B241" s="513">
        <v>328902.64</v>
      </c>
    </row>
    <row r="242" spans="1:2" x14ac:dyDescent="0.2">
      <c r="A242" s="514">
        <f t="shared" si="1"/>
        <v>42704</v>
      </c>
      <c r="B242" s="513">
        <v>338455.85</v>
      </c>
    </row>
    <row r="243" spans="1:2" x14ac:dyDescent="0.2">
      <c r="A243" s="514">
        <f t="shared" si="1"/>
        <v>42705</v>
      </c>
      <c r="B243" s="513">
        <v>336997.18</v>
      </c>
    </row>
    <row r="244" spans="1:2" x14ac:dyDescent="0.2">
      <c r="A244" s="514">
        <f t="shared" si="1"/>
        <v>42706</v>
      </c>
      <c r="B244" s="513">
        <v>342825.59</v>
      </c>
    </row>
    <row r="245" spans="1:2" x14ac:dyDescent="0.2">
      <c r="A245" s="514">
        <f t="shared" si="1"/>
        <v>42709</v>
      </c>
      <c r="B245" s="513">
        <v>342826</v>
      </c>
    </row>
    <row r="246" spans="1:2" x14ac:dyDescent="0.2">
      <c r="A246" s="514">
        <f t="shared" si="1"/>
        <v>42710</v>
      </c>
      <c r="B246" s="513">
        <v>344457.81</v>
      </c>
    </row>
    <row r="247" spans="1:2" x14ac:dyDescent="0.2">
      <c r="A247" s="514">
        <f t="shared" si="1"/>
        <v>42711</v>
      </c>
      <c r="B247" s="513">
        <v>366772.64</v>
      </c>
    </row>
    <row r="248" spans="1:2" x14ac:dyDescent="0.2">
      <c r="A248" s="514">
        <f t="shared" si="1"/>
        <v>42712</v>
      </c>
      <c r="B248" s="513">
        <v>366772.6</v>
      </c>
    </row>
    <row r="249" spans="1:2" x14ac:dyDescent="0.2">
      <c r="A249" s="514">
        <f t="shared" si="1"/>
        <v>42713</v>
      </c>
      <c r="B249" s="513">
        <v>366773</v>
      </c>
    </row>
    <row r="250" spans="1:2" x14ac:dyDescent="0.2">
      <c r="A250" s="514">
        <f t="shared" si="1"/>
        <v>42716</v>
      </c>
      <c r="B250" s="513">
        <v>366773</v>
      </c>
    </row>
    <row r="251" spans="1:2" x14ac:dyDescent="0.2">
      <c r="A251" s="514">
        <f t="shared" si="1"/>
        <v>42717</v>
      </c>
      <c r="B251" s="513">
        <v>346535.44</v>
      </c>
    </row>
    <row r="252" spans="1:2" x14ac:dyDescent="0.2">
      <c r="A252" s="514">
        <f t="shared" si="1"/>
        <v>42718</v>
      </c>
      <c r="B252" s="513">
        <v>346535</v>
      </c>
    </row>
    <row r="253" spans="1:2" x14ac:dyDescent="0.2">
      <c r="A253" s="514">
        <f t="shared" si="1"/>
        <v>42719</v>
      </c>
      <c r="B253" s="513">
        <v>335522.11</v>
      </c>
    </row>
    <row r="254" spans="1:2" x14ac:dyDescent="0.2">
      <c r="A254" s="514">
        <f t="shared" si="1"/>
        <v>42720</v>
      </c>
      <c r="B254" s="513">
        <v>335675.99</v>
      </c>
    </row>
    <row r="255" spans="1:2" x14ac:dyDescent="0.2">
      <c r="A255" s="514">
        <f t="shared" si="1"/>
        <v>42723</v>
      </c>
      <c r="B255" s="513">
        <v>357268.43</v>
      </c>
    </row>
    <row r="256" spans="1:2" x14ac:dyDescent="0.2">
      <c r="A256" s="514">
        <f t="shared" si="1"/>
        <v>42724</v>
      </c>
      <c r="B256" s="513">
        <v>357268</v>
      </c>
    </row>
    <row r="257" spans="1:2" x14ac:dyDescent="0.2">
      <c r="A257" s="514">
        <f t="shared" si="1"/>
        <v>42725</v>
      </c>
      <c r="B257" s="513">
        <v>366192.91</v>
      </c>
    </row>
    <row r="258" spans="1:2" x14ac:dyDescent="0.2">
      <c r="A258" s="514">
        <f t="shared" si="1"/>
        <v>42726</v>
      </c>
      <c r="B258" s="513">
        <v>377001.67</v>
      </c>
    </row>
    <row r="259" spans="1:2" x14ac:dyDescent="0.2">
      <c r="A259" s="514">
        <f t="shared" si="1"/>
        <v>42727</v>
      </c>
      <c r="B259" s="513">
        <v>377329.67</v>
      </c>
    </row>
    <row r="260" spans="1:2" x14ac:dyDescent="0.2">
      <c r="A260" s="514">
        <f t="shared" ref="A260:A264" si="2">A255+7</f>
        <v>42730</v>
      </c>
      <c r="B260" s="513">
        <v>377330</v>
      </c>
    </row>
    <row r="261" spans="1:2" x14ac:dyDescent="0.2">
      <c r="A261" s="514">
        <f t="shared" si="2"/>
        <v>42731</v>
      </c>
      <c r="B261" s="513">
        <v>339782.53</v>
      </c>
    </row>
    <row r="262" spans="1:2" x14ac:dyDescent="0.2">
      <c r="A262" s="514">
        <f t="shared" si="2"/>
        <v>42732</v>
      </c>
      <c r="B262" s="513">
        <v>339783</v>
      </c>
    </row>
    <row r="263" spans="1:2" x14ac:dyDescent="0.2">
      <c r="A263" s="514">
        <f t="shared" si="2"/>
        <v>42733</v>
      </c>
      <c r="B263" s="513">
        <v>337987.77</v>
      </c>
    </row>
    <row r="264" spans="1:2" x14ac:dyDescent="0.2">
      <c r="A264" s="514">
        <f t="shared" si="2"/>
        <v>42734</v>
      </c>
      <c r="B264" s="513">
        <v>354814.33</v>
      </c>
    </row>
    <row r="265" spans="1:2" x14ac:dyDescent="0.2">
      <c r="A265" s="537">
        <v>42737</v>
      </c>
      <c r="B265" s="538">
        <v>354814</v>
      </c>
    </row>
    <row r="266" spans="1:2" x14ac:dyDescent="0.2">
      <c r="A266" s="537">
        <v>42738</v>
      </c>
      <c r="B266" s="538">
        <v>361866.86</v>
      </c>
    </row>
    <row r="267" spans="1:2" x14ac:dyDescent="0.2">
      <c r="A267" s="537">
        <v>42739</v>
      </c>
      <c r="B267" s="538">
        <v>363519.32</v>
      </c>
    </row>
    <row r="268" spans="1:2" x14ac:dyDescent="0.2">
      <c r="A268" s="537">
        <v>42740</v>
      </c>
      <c r="B268" s="538">
        <v>361866.66</v>
      </c>
    </row>
    <row r="269" spans="1:2" x14ac:dyDescent="0.2">
      <c r="A269" s="537">
        <v>42741</v>
      </c>
      <c r="B269" s="538">
        <v>363519</v>
      </c>
    </row>
    <row r="270" spans="1:2" x14ac:dyDescent="0.2">
      <c r="A270" s="537">
        <v>42744</v>
      </c>
      <c r="B270" s="538">
        <v>363543.47</v>
      </c>
    </row>
    <row r="271" spans="1:2" x14ac:dyDescent="0.2">
      <c r="A271" s="537">
        <v>42745</v>
      </c>
      <c r="B271" s="538">
        <v>328707.83</v>
      </c>
    </row>
    <row r="272" spans="1:2" x14ac:dyDescent="0.2">
      <c r="A272" s="537">
        <v>42746</v>
      </c>
      <c r="B272" s="538">
        <v>328708</v>
      </c>
    </row>
    <row r="273" spans="1:2" x14ac:dyDescent="0.2">
      <c r="A273" s="537">
        <v>42747</v>
      </c>
      <c r="B273" s="538">
        <v>321086.01</v>
      </c>
    </row>
    <row r="274" spans="1:2" x14ac:dyDescent="0.2">
      <c r="A274" s="537">
        <v>42748</v>
      </c>
      <c r="B274" s="538">
        <v>334097.28000000003</v>
      </c>
    </row>
    <row r="275" spans="1:2" x14ac:dyDescent="0.2">
      <c r="A275" s="537">
        <v>42751</v>
      </c>
      <c r="B275" s="538">
        <v>334097</v>
      </c>
    </row>
    <row r="276" spans="1:2" x14ac:dyDescent="0.2">
      <c r="A276" s="537">
        <v>42752</v>
      </c>
      <c r="B276" s="538">
        <v>268850.96000000002</v>
      </c>
    </row>
    <row r="277" spans="1:2" x14ac:dyDescent="0.2">
      <c r="A277" s="537">
        <v>42753</v>
      </c>
      <c r="B277" s="538">
        <v>268851</v>
      </c>
    </row>
    <row r="278" spans="1:2" x14ac:dyDescent="0.2">
      <c r="A278" s="537">
        <v>42754</v>
      </c>
      <c r="B278" s="538">
        <v>269075.21000000002</v>
      </c>
    </row>
    <row r="279" spans="1:2" x14ac:dyDescent="0.2">
      <c r="A279" s="537">
        <v>42755</v>
      </c>
      <c r="B279" s="538">
        <v>270983.21000000002</v>
      </c>
    </row>
    <row r="280" spans="1:2" x14ac:dyDescent="0.2">
      <c r="A280" s="537">
        <v>42758</v>
      </c>
      <c r="B280" s="538">
        <v>270983</v>
      </c>
    </row>
    <row r="281" spans="1:2" x14ac:dyDescent="0.2">
      <c r="A281" s="537">
        <v>42759</v>
      </c>
      <c r="B281" s="538">
        <v>270723.98</v>
      </c>
    </row>
    <row r="282" spans="1:2" x14ac:dyDescent="0.2">
      <c r="A282" s="537">
        <v>42760</v>
      </c>
      <c r="B282" s="538">
        <v>281353.09999999998</v>
      </c>
    </row>
    <row r="283" spans="1:2" x14ac:dyDescent="0.2">
      <c r="A283" s="537">
        <v>42761</v>
      </c>
      <c r="B283" s="538">
        <v>274313.84999999998</v>
      </c>
    </row>
    <row r="284" spans="1:2" x14ac:dyDescent="0.2">
      <c r="A284" s="537">
        <v>42762</v>
      </c>
      <c r="B284" s="538">
        <v>296447.59999999998</v>
      </c>
    </row>
    <row r="285" spans="1:2" x14ac:dyDescent="0.2">
      <c r="A285" s="537">
        <v>42765</v>
      </c>
      <c r="B285" s="538">
        <v>295107.96000000002</v>
      </c>
    </row>
    <row r="286" spans="1:2" x14ac:dyDescent="0.2">
      <c r="A286" s="537">
        <v>42766</v>
      </c>
      <c r="B286" s="538">
        <v>314030.53000000003</v>
      </c>
    </row>
    <row r="287" spans="1:2" x14ac:dyDescent="0.2">
      <c r="A287" s="537">
        <v>42767</v>
      </c>
      <c r="B287" s="538">
        <v>314031</v>
      </c>
    </row>
    <row r="288" spans="1:2" x14ac:dyDescent="0.2">
      <c r="A288" s="537">
        <v>42768</v>
      </c>
      <c r="B288" s="538">
        <v>312808.53999999998</v>
      </c>
    </row>
    <row r="289" spans="1:2" x14ac:dyDescent="0.2">
      <c r="A289" s="537">
        <v>42769</v>
      </c>
      <c r="B289" s="538">
        <v>316461.53999999998</v>
      </c>
    </row>
    <row r="290" spans="1:2" x14ac:dyDescent="0.2">
      <c r="A290" s="537">
        <v>42772</v>
      </c>
      <c r="B290" s="538">
        <v>316462</v>
      </c>
    </row>
    <row r="291" spans="1:2" x14ac:dyDescent="0.2">
      <c r="A291" s="537">
        <v>42773</v>
      </c>
      <c r="B291" s="538">
        <v>289560.21999999997</v>
      </c>
    </row>
    <row r="292" spans="1:2" x14ac:dyDescent="0.2">
      <c r="A292" s="537">
        <v>42774</v>
      </c>
      <c r="B292" s="538">
        <v>297310.21999999997</v>
      </c>
    </row>
    <row r="293" spans="1:2" x14ac:dyDescent="0.2">
      <c r="A293" s="537">
        <v>42775</v>
      </c>
      <c r="B293" s="538">
        <v>352433.91</v>
      </c>
    </row>
    <row r="294" spans="1:2" x14ac:dyDescent="0.2">
      <c r="A294" s="537">
        <v>42776</v>
      </c>
      <c r="B294" s="538">
        <v>352434</v>
      </c>
    </row>
    <row r="295" spans="1:2" x14ac:dyDescent="0.2">
      <c r="A295" s="537">
        <v>42779</v>
      </c>
      <c r="B295" s="538">
        <v>352434</v>
      </c>
    </row>
    <row r="296" spans="1:2" x14ac:dyDescent="0.2">
      <c r="A296" s="537">
        <v>42780</v>
      </c>
      <c r="B296" s="538">
        <v>352434</v>
      </c>
    </row>
    <row r="297" spans="1:2" x14ac:dyDescent="0.2">
      <c r="A297" s="537">
        <v>42781</v>
      </c>
      <c r="B297" s="538">
        <v>352542.46</v>
      </c>
    </row>
    <row r="298" spans="1:2" x14ac:dyDescent="0.2">
      <c r="A298" s="537">
        <v>42782</v>
      </c>
      <c r="B298" s="538">
        <v>383231.99</v>
      </c>
    </row>
    <row r="299" spans="1:2" x14ac:dyDescent="0.2">
      <c r="A299" s="537">
        <v>42783</v>
      </c>
      <c r="B299" s="574">
        <v>404679.36</v>
      </c>
    </row>
    <row r="300" spans="1:2" x14ac:dyDescent="0.2">
      <c r="A300" s="537">
        <v>42785</v>
      </c>
      <c r="B300" s="538">
        <v>404679</v>
      </c>
    </row>
    <row r="301" spans="1:2" x14ac:dyDescent="0.2">
      <c r="A301" s="537">
        <v>42787</v>
      </c>
      <c r="B301" s="538">
        <v>368703.72</v>
      </c>
    </row>
    <row r="302" spans="1:2" x14ac:dyDescent="0.2">
      <c r="A302" s="537">
        <v>42788</v>
      </c>
      <c r="B302" s="538">
        <v>368203.72</v>
      </c>
    </row>
    <row r="303" spans="1:2" x14ac:dyDescent="0.2">
      <c r="A303" s="537">
        <v>42789</v>
      </c>
      <c r="B303" s="538">
        <v>349211.92</v>
      </c>
    </row>
    <row r="304" spans="1:2" x14ac:dyDescent="0.2">
      <c r="A304" s="537">
        <v>42790</v>
      </c>
      <c r="B304" s="538">
        <v>384176.45</v>
      </c>
    </row>
    <row r="305" spans="1:2" x14ac:dyDescent="0.2">
      <c r="A305" s="537">
        <v>42793</v>
      </c>
      <c r="B305" s="538">
        <v>384176</v>
      </c>
    </row>
    <row r="306" spans="1:2" x14ac:dyDescent="0.2">
      <c r="A306" s="537">
        <v>42794</v>
      </c>
      <c r="B306" s="538">
        <v>384176</v>
      </c>
    </row>
    <row r="307" spans="1:2" x14ac:dyDescent="0.2">
      <c r="A307" s="537">
        <v>42795</v>
      </c>
      <c r="B307" s="538">
        <v>384176</v>
      </c>
    </row>
    <row r="308" spans="1:2" x14ac:dyDescent="0.2">
      <c r="A308" s="537">
        <v>42796</v>
      </c>
      <c r="B308" s="538">
        <v>395396.43</v>
      </c>
    </row>
    <row r="309" spans="1:2" x14ac:dyDescent="0.2">
      <c r="A309" s="537">
        <v>42797</v>
      </c>
      <c r="B309" s="538">
        <v>395396</v>
      </c>
    </row>
    <row r="310" spans="1:2" x14ac:dyDescent="0.2">
      <c r="A310" s="537">
        <v>42800</v>
      </c>
      <c r="B310" s="538">
        <v>395396</v>
      </c>
    </row>
    <row r="311" spans="1:2" x14ac:dyDescent="0.2">
      <c r="A311" s="537">
        <v>42801</v>
      </c>
      <c r="B311" s="538">
        <v>361856.47</v>
      </c>
    </row>
    <row r="312" spans="1:2" x14ac:dyDescent="0.2">
      <c r="A312" s="537">
        <v>42802</v>
      </c>
      <c r="B312" s="538">
        <v>361856</v>
      </c>
    </row>
    <row r="313" spans="1:2" x14ac:dyDescent="0.2">
      <c r="A313" s="537">
        <v>42803</v>
      </c>
      <c r="B313" s="538">
        <v>349877.16</v>
      </c>
    </row>
    <row r="314" spans="1:2" x14ac:dyDescent="0.2">
      <c r="A314" s="537">
        <v>42804</v>
      </c>
      <c r="B314" s="538">
        <v>359297.81</v>
      </c>
    </row>
    <row r="315" spans="1:2" x14ac:dyDescent="0.2">
      <c r="A315" s="537">
        <v>42807</v>
      </c>
      <c r="B315" s="538">
        <v>361678.91</v>
      </c>
    </row>
    <row r="316" spans="1:2" x14ac:dyDescent="0.2">
      <c r="A316" s="537">
        <v>42808</v>
      </c>
      <c r="B316" s="538">
        <v>361679</v>
      </c>
    </row>
    <row r="317" spans="1:2" x14ac:dyDescent="0.2">
      <c r="A317" s="537">
        <v>42809</v>
      </c>
      <c r="B317" s="538">
        <v>370843.37</v>
      </c>
    </row>
    <row r="318" spans="1:2" x14ac:dyDescent="0.2">
      <c r="A318" s="537">
        <v>42810</v>
      </c>
      <c r="B318" s="538">
        <v>377566.07</v>
      </c>
    </row>
    <row r="319" spans="1:2" x14ac:dyDescent="0.2">
      <c r="A319" s="537">
        <v>42811</v>
      </c>
      <c r="B319" s="538">
        <v>370373.97</v>
      </c>
    </row>
    <row r="320" spans="1:2" x14ac:dyDescent="0.2">
      <c r="A320" s="537">
        <v>42814</v>
      </c>
      <c r="B320" s="538">
        <v>338340.3</v>
      </c>
    </row>
    <row r="321" spans="1:2" x14ac:dyDescent="0.2">
      <c r="A321" s="537">
        <v>42815</v>
      </c>
      <c r="B321" s="538">
        <v>338340</v>
      </c>
    </row>
    <row r="322" spans="1:2" x14ac:dyDescent="0.2">
      <c r="A322" s="537">
        <v>42816</v>
      </c>
      <c r="B322" s="538">
        <v>338340</v>
      </c>
    </row>
    <row r="323" spans="1:2" x14ac:dyDescent="0.2">
      <c r="A323" s="537">
        <v>42817</v>
      </c>
      <c r="B323" s="538">
        <f>25944.71+322493.66</f>
        <v>348438.37</v>
      </c>
    </row>
    <row r="324" spans="1:2" x14ac:dyDescent="0.2">
      <c r="A324" s="537">
        <v>42818</v>
      </c>
      <c r="B324" s="538">
        <v>348438</v>
      </c>
    </row>
    <row r="325" spans="1:2" x14ac:dyDescent="0.2">
      <c r="A325" s="537">
        <v>42821</v>
      </c>
      <c r="B325" s="538">
        <v>348360.51</v>
      </c>
    </row>
    <row r="326" spans="1:2" x14ac:dyDescent="0.2">
      <c r="A326" s="537">
        <v>42822</v>
      </c>
      <c r="B326" s="513">
        <v>348440.48</v>
      </c>
    </row>
    <row r="327" spans="1:2" x14ac:dyDescent="0.2">
      <c r="A327" s="537">
        <v>42823</v>
      </c>
      <c r="B327" s="513">
        <v>348440</v>
      </c>
    </row>
    <row r="328" spans="1:2" x14ac:dyDescent="0.2">
      <c r="A328" s="537">
        <v>42824</v>
      </c>
      <c r="B328" s="513">
        <v>350305.92</v>
      </c>
    </row>
    <row r="329" spans="1:2" x14ac:dyDescent="0.2">
      <c r="A329" s="537">
        <v>42825</v>
      </c>
      <c r="B329" s="513">
        <v>350306</v>
      </c>
    </row>
    <row r="330" spans="1:2" x14ac:dyDescent="0.2">
      <c r="A330" s="537">
        <v>42828</v>
      </c>
      <c r="B330" s="513">
        <v>350306</v>
      </c>
    </row>
    <row r="331" spans="1:2" x14ac:dyDescent="0.2">
      <c r="A331" s="537">
        <v>42829</v>
      </c>
      <c r="B331" s="513">
        <v>320389.65000000002</v>
      </c>
    </row>
    <row r="332" spans="1:2" x14ac:dyDescent="0.2">
      <c r="A332" s="537">
        <v>42830</v>
      </c>
      <c r="B332" s="513">
        <v>320390</v>
      </c>
    </row>
    <row r="333" spans="1:2" x14ac:dyDescent="0.2">
      <c r="A333" s="537">
        <v>42831</v>
      </c>
      <c r="B333" s="513">
        <v>313344</v>
      </c>
    </row>
    <row r="334" spans="1:2" x14ac:dyDescent="0.2">
      <c r="A334" s="537">
        <v>42832</v>
      </c>
      <c r="B334" s="513">
        <v>313344</v>
      </c>
    </row>
    <row r="335" spans="1:2" x14ac:dyDescent="0.2">
      <c r="A335" s="537">
        <v>42835</v>
      </c>
      <c r="B335" s="513">
        <v>306132.78000000003</v>
      </c>
    </row>
    <row r="336" spans="1:2" x14ac:dyDescent="0.2">
      <c r="A336" s="537">
        <v>42836</v>
      </c>
      <c r="B336" s="513">
        <v>286047.34999999998</v>
      </c>
    </row>
    <row r="337" spans="1:2" x14ac:dyDescent="0.2">
      <c r="A337" s="537">
        <v>42837</v>
      </c>
      <c r="B337" s="513">
        <v>286047</v>
      </c>
    </row>
    <row r="338" spans="1:2" x14ac:dyDescent="0.2">
      <c r="A338" s="537">
        <v>42838</v>
      </c>
      <c r="B338" s="513">
        <v>272128.99</v>
      </c>
    </row>
    <row r="339" spans="1:2" x14ac:dyDescent="0.2">
      <c r="A339" s="537">
        <v>42839</v>
      </c>
      <c r="B339" s="513">
        <v>272229.71000000002</v>
      </c>
    </row>
    <row r="340" spans="1:2" x14ac:dyDescent="0.2">
      <c r="A340" s="537">
        <v>42842</v>
      </c>
      <c r="B340" s="513">
        <v>236683.56</v>
      </c>
    </row>
    <row r="341" spans="1:2" x14ac:dyDescent="0.2">
      <c r="A341" s="537">
        <v>42843</v>
      </c>
      <c r="B341" s="513">
        <v>244114.64</v>
      </c>
    </row>
    <row r="342" spans="1:2" x14ac:dyDescent="0.2">
      <c r="A342" s="537">
        <v>42844</v>
      </c>
      <c r="B342" s="513">
        <v>244115</v>
      </c>
    </row>
    <row r="343" spans="1:2" x14ac:dyDescent="0.2">
      <c r="A343" s="537">
        <v>42845</v>
      </c>
      <c r="B343" s="513">
        <v>241798.76</v>
      </c>
    </row>
    <row r="344" spans="1:2" x14ac:dyDescent="0.2">
      <c r="A344" s="537">
        <v>42846</v>
      </c>
      <c r="B344" s="513">
        <v>241799</v>
      </c>
    </row>
    <row r="345" spans="1:2" x14ac:dyDescent="0.2">
      <c r="A345" s="537">
        <v>42849</v>
      </c>
      <c r="B345" s="513">
        <v>241973.76000000001</v>
      </c>
    </row>
    <row r="346" spans="1:2" x14ac:dyDescent="0.2">
      <c r="A346" s="537">
        <v>42850</v>
      </c>
      <c r="B346" s="513">
        <v>243364.2</v>
      </c>
    </row>
    <row r="347" spans="1:2" x14ac:dyDescent="0.2">
      <c r="A347" s="537">
        <v>42851</v>
      </c>
      <c r="B347" s="513">
        <v>243364</v>
      </c>
    </row>
    <row r="348" spans="1:2" x14ac:dyDescent="0.2">
      <c r="A348" s="537">
        <v>42852</v>
      </c>
      <c r="B348" s="513">
        <v>259265.45</v>
      </c>
    </row>
    <row r="349" spans="1:2" x14ac:dyDescent="0.2">
      <c r="A349" s="537">
        <v>42853</v>
      </c>
      <c r="B349" s="513">
        <v>290731.18</v>
      </c>
    </row>
    <row r="350" spans="1:2" x14ac:dyDescent="0.2">
      <c r="A350" s="537">
        <v>42856</v>
      </c>
      <c r="B350" s="513">
        <v>251486.17</v>
      </c>
    </row>
    <row r="351" spans="1:2" x14ac:dyDescent="0.2">
      <c r="A351" s="537">
        <v>42857</v>
      </c>
      <c r="B351" s="513">
        <v>253188.17</v>
      </c>
    </row>
    <row r="352" spans="1:2" x14ac:dyDescent="0.2">
      <c r="A352" s="537">
        <v>42858</v>
      </c>
      <c r="B352" s="513">
        <v>253188</v>
      </c>
    </row>
    <row r="353" spans="1:2" x14ac:dyDescent="0.2">
      <c r="A353" s="537">
        <v>42859</v>
      </c>
      <c r="B353" s="513">
        <v>232739.33</v>
      </c>
    </row>
    <row r="354" spans="1:2" x14ac:dyDescent="0.2">
      <c r="A354" s="537">
        <v>42860</v>
      </c>
      <c r="B354" s="513">
        <v>234049.33</v>
      </c>
    </row>
    <row r="355" spans="1:2" x14ac:dyDescent="0.2">
      <c r="A355" s="537">
        <v>42863</v>
      </c>
      <c r="B355" s="513">
        <v>314317.77</v>
      </c>
    </row>
    <row r="356" spans="1:2" x14ac:dyDescent="0.2">
      <c r="A356" s="537">
        <v>42864</v>
      </c>
      <c r="B356" s="513">
        <v>314318</v>
      </c>
    </row>
    <row r="357" spans="1:2" x14ac:dyDescent="0.2">
      <c r="A357" s="537">
        <v>42865</v>
      </c>
      <c r="B357" s="513">
        <v>314318</v>
      </c>
    </row>
    <row r="358" spans="1:2" x14ac:dyDescent="0.2">
      <c r="A358" s="537">
        <v>42866</v>
      </c>
      <c r="B358" s="513">
        <v>313971.28000000003</v>
      </c>
    </row>
    <row r="359" spans="1:2" x14ac:dyDescent="0.2">
      <c r="A359" s="537">
        <v>42867</v>
      </c>
      <c r="B359" s="513">
        <v>313971</v>
      </c>
    </row>
    <row r="360" spans="1:2" x14ac:dyDescent="0.2">
      <c r="A360" s="537">
        <v>42870</v>
      </c>
      <c r="B360" s="513">
        <v>271063.69</v>
      </c>
    </row>
    <row r="361" spans="1:2" x14ac:dyDescent="0.2">
      <c r="A361" s="537">
        <v>42871</v>
      </c>
      <c r="B361" s="513">
        <v>271064</v>
      </c>
    </row>
    <row r="362" spans="1:2" x14ac:dyDescent="0.2">
      <c r="A362" s="537">
        <v>42872</v>
      </c>
      <c r="B362" s="513">
        <v>271064</v>
      </c>
    </row>
    <row r="363" spans="1:2" x14ac:dyDescent="0.2">
      <c r="A363" s="537">
        <v>42873</v>
      </c>
      <c r="B363" s="513">
        <v>261497.73</v>
      </c>
    </row>
    <row r="364" spans="1:2" x14ac:dyDescent="0.2">
      <c r="A364" s="537">
        <v>42874</v>
      </c>
      <c r="B364" s="513">
        <v>311507.92</v>
      </c>
    </row>
    <row r="365" spans="1:2" x14ac:dyDescent="0.2">
      <c r="A365" s="537">
        <v>42877</v>
      </c>
      <c r="B365" s="513">
        <v>290080.52</v>
      </c>
    </row>
    <row r="366" spans="1:2" x14ac:dyDescent="0.2">
      <c r="A366" s="537">
        <v>42878</v>
      </c>
      <c r="B366" s="513">
        <v>290081</v>
      </c>
    </row>
    <row r="367" spans="1:2" x14ac:dyDescent="0.2">
      <c r="A367" s="537">
        <v>42879</v>
      </c>
      <c r="B367" s="513">
        <v>327080.46000000002</v>
      </c>
    </row>
    <row r="368" spans="1:2" x14ac:dyDescent="0.2">
      <c r="A368" s="537">
        <v>42880</v>
      </c>
      <c r="B368" s="513">
        <v>327080</v>
      </c>
    </row>
    <row r="369" spans="1:2" x14ac:dyDescent="0.2">
      <c r="A369" s="537">
        <v>42881</v>
      </c>
      <c r="B369" s="513">
        <v>336844.12</v>
      </c>
    </row>
    <row r="370" spans="1:2" x14ac:dyDescent="0.2">
      <c r="A370" s="537">
        <v>42884</v>
      </c>
      <c r="B370" s="513">
        <v>336844</v>
      </c>
    </row>
    <row r="371" spans="1:2" x14ac:dyDescent="0.2">
      <c r="A371" s="537">
        <v>42885</v>
      </c>
      <c r="B371" s="513">
        <v>300553.48</v>
      </c>
    </row>
    <row r="372" spans="1:2" x14ac:dyDescent="0.2">
      <c r="A372" s="537">
        <v>42886</v>
      </c>
      <c r="B372" s="513">
        <v>296887.5</v>
      </c>
    </row>
    <row r="373" spans="1:2" x14ac:dyDescent="0.2">
      <c r="A373" s="537">
        <v>42887</v>
      </c>
      <c r="B373" s="513">
        <v>297355.68</v>
      </c>
    </row>
    <row r="374" spans="1:2" x14ac:dyDescent="0.2">
      <c r="A374" s="537">
        <v>42888</v>
      </c>
      <c r="B374" s="513">
        <v>298760.68</v>
      </c>
    </row>
    <row r="375" spans="1:2" x14ac:dyDescent="0.2">
      <c r="A375" s="537">
        <v>42891</v>
      </c>
      <c r="B375" s="513">
        <v>279006.82</v>
      </c>
    </row>
    <row r="376" spans="1:2" x14ac:dyDescent="0.2">
      <c r="A376" s="537">
        <v>42892</v>
      </c>
      <c r="B376" s="513">
        <v>279007</v>
      </c>
    </row>
    <row r="377" spans="1:2" x14ac:dyDescent="0.2">
      <c r="A377" s="537">
        <v>42893</v>
      </c>
      <c r="B377" s="513">
        <v>279007</v>
      </c>
    </row>
    <row r="378" spans="1:2" x14ac:dyDescent="0.2">
      <c r="A378" s="537">
        <v>42894</v>
      </c>
      <c r="B378" s="513">
        <v>279112.07</v>
      </c>
    </row>
    <row r="379" spans="1:2" x14ac:dyDescent="0.2">
      <c r="A379" s="537">
        <v>42895</v>
      </c>
      <c r="B379" s="513">
        <v>279112</v>
      </c>
    </row>
    <row r="380" spans="1:2" x14ac:dyDescent="0.2">
      <c r="A380" s="537">
        <v>42898</v>
      </c>
      <c r="B380" s="513">
        <v>244072.02</v>
      </c>
    </row>
    <row r="381" spans="1:2" x14ac:dyDescent="0.2">
      <c r="A381" s="537">
        <v>42899</v>
      </c>
      <c r="B381" s="513">
        <v>249325.41</v>
      </c>
    </row>
    <row r="382" spans="1:2" x14ac:dyDescent="0.2">
      <c r="A382" s="537">
        <v>42900</v>
      </c>
      <c r="B382" s="513">
        <v>249325</v>
      </c>
    </row>
    <row r="383" spans="1:2" x14ac:dyDescent="0.2">
      <c r="A383" s="537">
        <v>42901</v>
      </c>
      <c r="B383" s="513">
        <v>252874.48</v>
      </c>
    </row>
    <row r="384" spans="1:2" x14ac:dyDescent="0.2">
      <c r="A384" s="537">
        <v>42902</v>
      </c>
      <c r="B384" s="513">
        <v>253128.65</v>
      </c>
    </row>
    <row r="385" spans="1:2" x14ac:dyDescent="0.2">
      <c r="A385" s="537">
        <v>42905</v>
      </c>
      <c r="B385" s="513">
        <v>255098.96</v>
      </c>
    </row>
    <row r="386" spans="1:2" x14ac:dyDescent="0.2">
      <c r="A386" s="537">
        <v>42906</v>
      </c>
      <c r="B386" s="513">
        <v>253521.42</v>
      </c>
    </row>
    <row r="387" spans="1:2" x14ac:dyDescent="0.2">
      <c r="A387" s="537">
        <v>42907</v>
      </c>
      <c r="B387" s="513">
        <v>253521</v>
      </c>
    </row>
    <row r="388" spans="1:2" x14ac:dyDescent="0.2">
      <c r="A388" s="537">
        <v>42908</v>
      </c>
      <c r="B388" s="513">
        <v>235912.36</v>
      </c>
    </row>
    <row r="389" spans="1:2" x14ac:dyDescent="0.2">
      <c r="A389" s="537">
        <v>42909</v>
      </c>
      <c r="B389" s="513">
        <v>235912</v>
      </c>
    </row>
    <row r="390" spans="1:2" x14ac:dyDescent="0.2">
      <c r="A390" s="537">
        <v>42912</v>
      </c>
      <c r="B390" s="575">
        <v>198879.76</v>
      </c>
    </row>
    <row r="391" spans="1:2" x14ac:dyDescent="0.2">
      <c r="A391" s="537">
        <v>42913</v>
      </c>
      <c r="B391" s="513">
        <v>199009.76</v>
      </c>
    </row>
    <row r="392" spans="1:2" x14ac:dyDescent="0.2">
      <c r="A392" s="537">
        <v>42914</v>
      </c>
      <c r="B392" s="513">
        <v>199010</v>
      </c>
    </row>
    <row r="393" spans="1:2" x14ac:dyDescent="0.2">
      <c r="A393" s="537">
        <v>42915</v>
      </c>
      <c r="B393" s="513">
        <v>210354</v>
      </c>
    </row>
    <row r="394" spans="1:2" x14ac:dyDescent="0.2">
      <c r="A394" s="537">
        <v>42916</v>
      </c>
      <c r="B394" s="513">
        <v>260779.62</v>
      </c>
    </row>
    <row r="395" spans="1:2" x14ac:dyDescent="0.2">
      <c r="A395" s="537">
        <v>42919</v>
      </c>
      <c r="B395" s="513">
        <v>260780</v>
      </c>
    </row>
    <row r="396" spans="1:2" x14ac:dyDescent="0.2">
      <c r="A396" s="537">
        <v>42920</v>
      </c>
      <c r="B396" s="513">
        <v>260780</v>
      </c>
    </row>
    <row r="397" spans="1:2" x14ac:dyDescent="0.2">
      <c r="A397" s="537">
        <v>42921</v>
      </c>
      <c r="B397" s="513">
        <v>260780</v>
      </c>
    </row>
    <row r="398" spans="1:2" x14ac:dyDescent="0.2">
      <c r="A398" s="537">
        <v>42922</v>
      </c>
      <c r="B398" s="513">
        <v>261774.11</v>
      </c>
    </row>
    <row r="399" spans="1:2" x14ac:dyDescent="0.2">
      <c r="A399" s="537">
        <v>42923</v>
      </c>
      <c r="B399" s="513">
        <v>261774</v>
      </c>
    </row>
    <row r="400" spans="1:2" x14ac:dyDescent="0.2">
      <c r="A400" s="537">
        <v>42926</v>
      </c>
      <c r="B400" s="513">
        <v>226950.89</v>
      </c>
    </row>
    <row r="401" spans="1:2" x14ac:dyDescent="0.2">
      <c r="A401" s="537">
        <v>42927</v>
      </c>
      <c r="B401" s="513">
        <v>226951</v>
      </c>
    </row>
    <row r="402" spans="1:2" x14ac:dyDescent="0.2">
      <c r="A402" s="537">
        <v>42928</v>
      </c>
      <c r="B402" s="513">
        <v>248711.94</v>
      </c>
    </row>
    <row r="403" spans="1:2" x14ac:dyDescent="0.2">
      <c r="A403" s="537">
        <v>42929</v>
      </c>
      <c r="B403" s="513">
        <v>256201.58</v>
      </c>
    </row>
    <row r="404" spans="1:2" x14ac:dyDescent="0.2">
      <c r="A404" s="537">
        <v>42930</v>
      </c>
      <c r="B404" s="513">
        <v>256272.97</v>
      </c>
    </row>
    <row r="405" spans="1:2" x14ac:dyDescent="0.2">
      <c r="A405" s="537">
        <v>42933</v>
      </c>
      <c r="B405" s="513">
        <v>256056.42</v>
      </c>
    </row>
    <row r="406" spans="1:2" x14ac:dyDescent="0.2">
      <c r="A406" s="537">
        <v>42934</v>
      </c>
      <c r="B406" s="513">
        <v>257213.96</v>
      </c>
    </row>
    <row r="407" spans="1:2" x14ac:dyDescent="0.2">
      <c r="A407" s="537">
        <v>42935</v>
      </c>
      <c r="B407" s="513">
        <v>257214</v>
      </c>
    </row>
    <row r="408" spans="1:2" x14ac:dyDescent="0.2">
      <c r="A408" s="537">
        <v>42936</v>
      </c>
      <c r="B408" s="513">
        <v>260075.5</v>
      </c>
    </row>
    <row r="409" spans="1:2" x14ac:dyDescent="0.2">
      <c r="A409" s="537">
        <v>42937</v>
      </c>
      <c r="B409" s="513">
        <v>339825.5</v>
      </c>
    </row>
    <row r="410" spans="1:2" x14ac:dyDescent="0.2">
      <c r="A410" s="537">
        <v>42940</v>
      </c>
      <c r="B410" s="513">
        <v>303182.65000000002</v>
      </c>
    </row>
    <row r="411" spans="1:2" x14ac:dyDescent="0.2">
      <c r="A411" s="537">
        <v>42941</v>
      </c>
      <c r="B411" s="513">
        <v>322340.12</v>
      </c>
    </row>
    <row r="412" spans="1:2" x14ac:dyDescent="0.2">
      <c r="A412" s="537">
        <v>42942</v>
      </c>
      <c r="B412" s="513">
        <v>322340</v>
      </c>
    </row>
    <row r="413" spans="1:2" x14ac:dyDescent="0.2">
      <c r="A413" s="537">
        <v>42943</v>
      </c>
      <c r="B413" s="513">
        <v>308772.78999999998</v>
      </c>
    </row>
    <row r="414" spans="1:2" x14ac:dyDescent="0.2">
      <c r="A414" s="537">
        <v>42944</v>
      </c>
      <c r="B414" s="513">
        <v>317343.40999999997</v>
      </c>
    </row>
    <row r="415" spans="1:2" x14ac:dyDescent="0.2">
      <c r="A415" s="537">
        <v>42947</v>
      </c>
      <c r="B415" s="513">
        <v>317343</v>
      </c>
    </row>
    <row r="416" spans="1:2" x14ac:dyDescent="0.2">
      <c r="A416" s="537">
        <v>42948</v>
      </c>
      <c r="B416" s="513">
        <v>369152.35</v>
      </c>
    </row>
    <row r="417" spans="1:2" x14ac:dyDescent="0.2">
      <c r="A417" s="537">
        <v>42949</v>
      </c>
      <c r="B417" s="513">
        <v>371061.94</v>
      </c>
    </row>
    <row r="418" spans="1:2" x14ac:dyDescent="0.2">
      <c r="A418" s="537">
        <v>42950</v>
      </c>
      <c r="B418" s="513">
        <v>372080.87</v>
      </c>
    </row>
    <row r="419" spans="1:2" x14ac:dyDescent="0.2">
      <c r="A419" s="537">
        <v>42951</v>
      </c>
      <c r="B419" s="513">
        <v>372080.87</v>
      </c>
    </row>
    <row r="420" spans="1:2" x14ac:dyDescent="0.2">
      <c r="A420" s="537">
        <v>42954</v>
      </c>
      <c r="B420" s="513">
        <v>336189.47</v>
      </c>
    </row>
    <row r="421" spans="1:2" x14ac:dyDescent="0.2">
      <c r="A421" s="537">
        <v>42955</v>
      </c>
      <c r="B421" s="513">
        <v>340998.07</v>
      </c>
    </row>
    <row r="422" spans="1:2" x14ac:dyDescent="0.2">
      <c r="A422" s="537">
        <v>42956</v>
      </c>
      <c r="B422" s="513">
        <v>332763.65000000002</v>
      </c>
    </row>
    <row r="423" spans="1:2" x14ac:dyDescent="0.2">
      <c r="A423" s="537">
        <v>42957</v>
      </c>
      <c r="B423" s="513">
        <v>375651.45</v>
      </c>
    </row>
    <row r="424" spans="1:2" x14ac:dyDescent="0.2">
      <c r="A424" s="537">
        <v>42958</v>
      </c>
      <c r="B424" s="513">
        <v>378293.21</v>
      </c>
    </row>
    <row r="425" spans="1:2" x14ac:dyDescent="0.2">
      <c r="A425" s="537">
        <v>42961</v>
      </c>
      <c r="B425" s="513">
        <v>378293</v>
      </c>
    </row>
    <row r="426" spans="1:2" x14ac:dyDescent="0.2">
      <c r="A426" s="537">
        <v>42962</v>
      </c>
      <c r="B426" s="513">
        <v>401190.06</v>
      </c>
    </row>
    <row r="427" spans="1:2" x14ac:dyDescent="0.2">
      <c r="A427" s="537">
        <v>42963</v>
      </c>
      <c r="B427" s="513">
        <v>401190</v>
      </c>
    </row>
    <row r="428" spans="1:2" x14ac:dyDescent="0.2">
      <c r="A428" s="537">
        <v>42964</v>
      </c>
      <c r="B428" s="513">
        <v>401569.72</v>
      </c>
    </row>
    <row r="429" spans="1:2" x14ac:dyDescent="0.2">
      <c r="A429" s="537">
        <v>42965</v>
      </c>
      <c r="B429" s="513">
        <v>403837.72</v>
      </c>
    </row>
    <row r="430" spans="1:2" x14ac:dyDescent="0.2">
      <c r="A430" s="537">
        <v>42968</v>
      </c>
      <c r="B430" s="513">
        <v>369495.17</v>
      </c>
    </row>
    <row r="431" spans="1:2" x14ac:dyDescent="0.2">
      <c r="A431" s="537">
        <v>42969</v>
      </c>
      <c r="B431" s="513">
        <v>379169.06</v>
      </c>
    </row>
    <row r="432" spans="1:2" x14ac:dyDescent="0.2">
      <c r="A432" s="537">
        <v>42970</v>
      </c>
      <c r="B432" s="513">
        <v>379169</v>
      </c>
    </row>
    <row r="433" spans="1:2" x14ac:dyDescent="0.2">
      <c r="A433" s="537">
        <v>42971</v>
      </c>
      <c r="B433" s="513">
        <v>372540.41</v>
      </c>
    </row>
    <row r="434" spans="1:2" x14ac:dyDescent="0.2">
      <c r="A434" s="537">
        <v>42972</v>
      </c>
      <c r="B434" s="513">
        <v>372540</v>
      </c>
    </row>
    <row r="435" spans="1:2" x14ac:dyDescent="0.2">
      <c r="A435" s="537">
        <v>42975</v>
      </c>
      <c r="B435" s="513">
        <v>372540</v>
      </c>
    </row>
    <row r="436" spans="1:2" x14ac:dyDescent="0.2">
      <c r="A436" s="537">
        <v>42976</v>
      </c>
      <c r="B436" s="513">
        <v>374625.25</v>
      </c>
    </row>
    <row r="437" spans="1:2" x14ac:dyDescent="0.2">
      <c r="A437" s="537">
        <v>42977</v>
      </c>
      <c r="B437" s="513">
        <v>382658.46</v>
      </c>
    </row>
    <row r="438" spans="1:2" x14ac:dyDescent="0.2">
      <c r="A438" s="537">
        <v>42978</v>
      </c>
      <c r="B438" s="513">
        <v>389160.26</v>
      </c>
    </row>
    <row r="439" spans="1:2" x14ac:dyDescent="0.2">
      <c r="A439" s="537">
        <v>42979</v>
      </c>
      <c r="B439" s="513">
        <v>389160</v>
      </c>
    </row>
    <row r="440" spans="1:2" x14ac:dyDescent="0.2">
      <c r="A440" s="537">
        <v>42982</v>
      </c>
      <c r="B440" s="513">
        <v>389160</v>
      </c>
    </row>
    <row r="441" spans="1:2" x14ac:dyDescent="0.2">
      <c r="A441" s="537">
        <v>42983</v>
      </c>
      <c r="B441" s="513">
        <v>352908.42</v>
      </c>
    </row>
    <row r="442" spans="1:2" x14ac:dyDescent="0.2">
      <c r="A442" s="537">
        <v>42984</v>
      </c>
      <c r="B442" s="513">
        <v>383959.41</v>
      </c>
    </row>
    <row r="443" spans="1:2" x14ac:dyDescent="0.2">
      <c r="A443" s="537">
        <v>42985</v>
      </c>
      <c r="B443" s="513">
        <v>403148.81</v>
      </c>
    </row>
    <row r="444" spans="1:2" x14ac:dyDescent="0.2">
      <c r="A444" s="537">
        <v>42986</v>
      </c>
      <c r="B444" s="513">
        <v>403344.11</v>
      </c>
    </row>
    <row r="445" spans="1:2" x14ac:dyDescent="0.2">
      <c r="A445" s="537">
        <v>42989</v>
      </c>
      <c r="B445" s="513">
        <v>403344</v>
      </c>
    </row>
    <row r="446" spans="1:2" x14ac:dyDescent="0.2">
      <c r="A446" s="537">
        <v>42990</v>
      </c>
      <c r="B446" s="513">
        <v>403344</v>
      </c>
    </row>
    <row r="447" spans="1:2" x14ac:dyDescent="0.2">
      <c r="A447" s="537">
        <v>42991</v>
      </c>
      <c r="B447" s="513">
        <v>403344</v>
      </c>
    </row>
    <row r="448" spans="1:2" x14ac:dyDescent="0.2">
      <c r="A448" s="537">
        <v>42992</v>
      </c>
      <c r="B448" s="513">
        <v>400016.8</v>
      </c>
    </row>
    <row r="449" spans="1:2" x14ac:dyDescent="0.2">
      <c r="A449" s="537">
        <v>42993</v>
      </c>
      <c r="B449" s="513">
        <v>400134.96</v>
      </c>
    </row>
    <row r="450" spans="1:2" x14ac:dyDescent="0.2">
      <c r="A450" s="537">
        <v>42996</v>
      </c>
      <c r="B450" s="513">
        <v>364805.11</v>
      </c>
    </row>
    <row r="451" spans="1:2" x14ac:dyDescent="0.2">
      <c r="A451" s="537">
        <v>42997</v>
      </c>
      <c r="B451" s="513">
        <v>364805</v>
      </c>
    </row>
    <row r="452" spans="1:2" x14ac:dyDescent="0.2">
      <c r="A452" s="537">
        <v>42998</v>
      </c>
      <c r="B452" s="513">
        <v>371804.33</v>
      </c>
    </row>
    <row r="453" spans="1:2" x14ac:dyDescent="0.2">
      <c r="A453" s="537">
        <v>42999</v>
      </c>
      <c r="B453" s="513">
        <v>370759.85</v>
      </c>
    </row>
    <row r="454" spans="1:2" x14ac:dyDescent="0.2">
      <c r="A454" s="537">
        <v>43000</v>
      </c>
      <c r="B454" s="513">
        <v>389878.66</v>
      </c>
    </row>
    <row r="455" spans="1:2" x14ac:dyDescent="0.2">
      <c r="A455" s="537">
        <v>43003</v>
      </c>
      <c r="B455" s="513">
        <v>393013.02</v>
      </c>
    </row>
    <row r="456" spans="1:2" x14ac:dyDescent="0.2">
      <c r="A456" s="537">
        <v>43004</v>
      </c>
      <c r="B456" s="513">
        <v>393593.22</v>
      </c>
    </row>
    <row r="457" spans="1:2" x14ac:dyDescent="0.2">
      <c r="A457" s="537">
        <v>43005</v>
      </c>
      <c r="B457" s="513">
        <v>393593</v>
      </c>
    </row>
    <row r="458" spans="1:2" x14ac:dyDescent="0.2">
      <c r="A458" s="537">
        <v>43006</v>
      </c>
      <c r="B458" s="513">
        <v>385433.95</v>
      </c>
    </row>
    <row r="459" spans="1:2" x14ac:dyDescent="0.2">
      <c r="A459" s="537">
        <v>43007</v>
      </c>
      <c r="B459" s="513">
        <v>385678.15</v>
      </c>
    </row>
    <row r="460" spans="1:2" x14ac:dyDescent="0.2">
      <c r="A460" s="537">
        <v>43010</v>
      </c>
      <c r="B460" s="513">
        <v>350949.28</v>
      </c>
    </row>
    <row r="461" spans="1:2" x14ac:dyDescent="0.2">
      <c r="A461" s="537">
        <v>43011</v>
      </c>
      <c r="B461" s="513">
        <v>352010.98</v>
      </c>
    </row>
    <row r="462" spans="1:2" x14ac:dyDescent="0.2">
      <c r="A462" s="537">
        <v>43012</v>
      </c>
      <c r="B462" s="513">
        <v>352011</v>
      </c>
    </row>
    <row r="463" spans="1:2" x14ac:dyDescent="0.2">
      <c r="A463" s="537">
        <v>43013</v>
      </c>
      <c r="B463" s="513">
        <v>348679</v>
      </c>
    </row>
    <row r="464" spans="1:2" x14ac:dyDescent="0.2">
      <c r="A464" s="537">
        <v>43014</v>
      </c>
      <c r="B464" s="513">
        <v>348679</v>
      </c>
    </row>
    <row r="465" spans="1:2" x14ac:dyDescent="0.2">
      <c r="A465" s="537">
        <v>43017</v>
      </c>
      <c r="B465" s="513">
        <v>348679</v>
      </c>
    </row>
    <row r="466" spans="1:2" x14ac:dyDescent="0.2">
      <c r="A466" s="537">
        <v>43018</v>
      </c>
      <c r="B466" s="513">
        <v>348679</v>
      </c>
    </row>
    <row r="467" spans="1:2" x14ac:dyDescent="0.2">
      <c r="A467" s="537">
        <v>43019</v>
      </c>
      <c r="B467" s="513">
        <v>348761.24</v>
      </c>
    </row>
    <row r="468" spans="1:2" x14ac:dyDescent="0.2">
      <c r="A468" s="537">
        <v>43020</v>
      </c>
      <c r="B468" s="513">
        <v>349998.26</v>
      </c>
    </row>
    <row r="469" spans="1:2" x14ac:dyDescent="0.2">
      <c r="A469" s="537">
        <v>43021</v>
      </c>
      <c r="B469" s="513">
        <v>370561.14</v>
      </c>
    </row>
    <row r="470" spans="1:2" x14ac:dyDescent="0.2">
      <c r="A470" s="537">
        <v>43024</v>
      </c>
      <c r="B470" s="513">
        <v>336220.14</v>
      </c>
    </row>
    <row r="471" spans="1:2" x14ac:dyDescent="0.2">
      <c r="A471" s="537">
        <v>43025</v>
      </c>
      <c r="B471" s="513">
        <v>336332.14</v>
      </c>
    </row>
    <row r="472" spans="1:2" x14ac:dyDescent="0.2">
      <c r="A472" s="537">
        <v>43026</v>
      </c>
      <c r="B472" s="513">
        <v>336332</v>
      </c>
    </row>
    <row r="473" spans="1:2" x14ac:dyDescent="0.2">
      <c r="A473" s="537">
        <v>43027</v>
      </c>
      <c r="B473" s="513">
        <v>339185.02</v>
      </c>
    </row>
    <row r="474" spans="1:2" x14ac:dyDescent="0.2">
      <c r="A474" s="537">
        <v>43028</v>
      </c>
      <c r="B474" s="513">
        <v>344936.35</v>
      </c>
    </row>
    <row r="475" spans="1:2" x14ac:dyDescent="0.2">
      <c r="A475" s="537">
        <v>43031</v>
      </c>
      <c r="B475" s="513">
        <v>344564.68</v>
      </c>
    </row>
    <row r="476" spans="1:2" x14ac:dyDescent="0.2">
      <c r="A476" s="537">
        <v>43032</v>
      </c>
      <c r="B476" s="513">
        <v>344565</v>
      </c>
    </row>
    <row r="477" spans="1:2" x14ac:dyDescent="0.2">
      <c r="A477" s="537">
        <v>43033</v>
      </c>
      <c r="B477" s="513">
        <v>344829.18</v>
      </c>
    </row>
    <row r="478" spans="1:2" x14ac:dyDescent="0.2">
      <c r="A478" s="537">
        <v>43034</v>
      </c>
      <c r="B478" s="513">
        <v>339942.05</v>
      </c>
    </row>
    <row r="479" spans="1:2" x14ac:dyDescent="0.2">
      <c r="A479" s="537">
        <v>43035</v>
      </c>
      <c r="B479" s="513">
        <v>360185.72</v>
      </c>
    </row>
    <row r="480" spans="1:2" x14ac:dyDescent="0.2">
      <c r="A480" s="537">
        <v>43038</v>
      </c>
      <c r="B480" s="513">
        <v>323067.73</v>
      </c>
    </row>
    <row r="481" spans="1:2" x14ac:dyDescent="0.2">
      <c r="A481" s="537">
        <v>43039</v>
      </c>
      <c r="B481" s="513">
        <v>323197.73</v>
      </c>
    </row>
    <row r="482" spans="1:2" x14ac:dyDescent="0.2">
      <c r="A482" s="537">
        <v>43040</v>
      </c>
      <c r="B482" s="513">
        <v>323198</v>
      </c>
    </row>
    <row r="483" spans="1:2" x14ac:dyDescent="0.2">
      <c r="A483" s="537">
        <v>43041</v>
      </c>
      <c r="B483" s="513">
        <v>341044.7</v>
      </c>
    </row>
    <row r="484" spans="1:2" x14ac:dyDescent="0.2">
      <c r="A484" s="537">
        <v>43042</v>
      </c>
      <c r="B484" s="513">
        <v>341676.17</v>
      </c>
    </row>
    <row r="485" spans="1:2" x14ac:dyDescent="0.2">
      <c r="A485" s="537">
        <v>43045</v>
      </c>
      <c r="B485" s="513">
        <v>341676</v>
      </c>
    </row>
    <row r="486" spans="1:2" x14ac:dyDescent="0.2">
      <c r="A486" s="537">
        <v>43046</v>
      </c>
      <c r="B486" s="513">
        <v>341676</v>
      </c>
    </row>
    <row r="487" spans="1:2" x14ac:dyDescent="0.2">
      <c r="A487" s="537">
        <v>43047</v>
      </c>
      <c r="B487" s="513">
        <v>379863.97</v>
      </c>
    </row>
    <row r="488" spans="1:2" x14ac:dyDescent="0.2">
      <c r="A488" s="537">
        <v>43048</v>
      </c>
      <c r="B488" s="513">
        <v>378842.06</v>
      </c>
    </row>
    <row r="489" spans="1:2" x14ac:dyDescent="0.2">
      <c r="A489" s="537">
        <v>43049</v>
      </c>
      <c r="B489" s="513">
        <v>378842</v>
      </c>
    </row>
    <row r="490" spans="1:2" x14ac:dyDescent="0.2">
      <c r="A490" s="537">
        <v>43052</v>
      </c>
      <c r="B490" s="513">
        <v>340784.14</v>
      </c>
    </row>
    <row r="491" spans="1:2" x14ac:dyDescent="0.2">
      <c r="A491" s="537">
        <v>43053</v>
      </c>
      <c r="B491" s="513">
        <v>340784</v>
      </c>
    </row>
    <row r="492" spans="1:2" x14ac:dyDescent="0.2">
      <c r="A492" s="537">
        <v>43054</v>
      </c>
      <c r="B492" s="513">
        <v>340895.76</v>
      </c>
    </row>
    <row r="493" spans="1:2" x14ac:dyDescent="0.2">
      <c r="A493" s="537">
        <v>43055</v>
      </c>
      <c r="B493" s="513">
        <v>354246.44</v>
      </c>
    </row>
    <row r="494" spans="1:2" x14ac:dyDescent="0.2">
      <c r="A494" s="537">
        <v>43056</v>
      </c>
      <c r="B494" s="513">
        <v>354246.44</v>
      </c>
    </row>
    <row r="495" spans="1:2" x14ac:dyDescent="0.2">
      <c r="A495" s="537">
        <v>43059</v>
      </c>
      <c r="B495" s="513">
        <v>354264.44</v>
      </c>
    </row>
    <row r="496" spans="1:2" x14ac:dyDescent="0.2">
      <c r="A496" s="537">
        <v>43060</v>
      </c>
      <c r="B496" s="513">
        <v>354264</v>
      </c>
    </row>
    <row r="497" spans="1:2" x14ac:dyDescent="0.2">
      <c r="A497" s="537">
        <v>43061</v>
      </c>
      <c r="B497" s="513">
        <v>357804.55</v>
      </c>
    </row>
    <row r="498" spans="1:2" x14ac:dyDescent="0.2">
      <c r="A498" s="537">
        <v>43062</v>
      </c>
      <c r="B498" s="513">
        <v>357805</v>
      </c>
    </row>
    <row r="499" spans="1:2" x14ac:dyDescent="0.2">
      <c r="A499" s="537">
        <v>43063</v>
      </c>
      <c r="B499" s="513">
        <v>361119.05</v>
      </c>
    </row>
    <row r="500" spans="1:2" x14ac:dyDescent="0.2">
      <c r="A500" s="537">
        <v>43066</v>
      </c>
      <c r="B500" s="513">
        <v>318415.71000000002</v>
      </c>
    </row>
    <row r="501" spans="1:2" x14ac:dyDescent="0.2">
      <c r="A501" s="537">
        <v>43067</v>
      </c>
      <c r="B501" s="513">
        <v>320237.53999999998</v>
      </c>
    </row>
    <row r="502" spans="1:2" x14ac:dyDescent="0.2">
      <c r="A502" s="537">
        <v>43068</v>
      </c>
      <c r="B502" s="513">
        <v>320237.53999999998</v>
      </c>
    </row>
    <row r="503" spans="1:2" x14ac:dyDescent="0.2">
      <c r="A503" s="537">
        <v>43069</v>
      </c>
      <c r="B503" s="513">
        <v>325286.46999999997</v>
      </c>
    </row>
    <row r="504" spans="1:2" x14ac:dyDescent="0.2">
      <c r="A504" s="537">
        <v>43070</v>
      </c>
      <c r="B504" s="513">
        <v>334247.03000000003</v>
      </c>
    </row>
    <row r="505" spans="1:2" x14ac:dyDescent="0.2">
      <c r="A505" s="537">
        <v>43073</v>
      </c>
      <c r="B505" s="513">
        <v>334247</v>
      </c>
    </row>
    <row r="506" spans="1:2" x14ac:dyDescent="0.2">
      <c r="A506" s="537">
        <v>43074</v>
      </c>
      <c r="B506" s="513">
        <v>334247.03000000003</v>
      </c>
    </row>
    <row r="507" spans="1:2" x14ac:dyDescent="0.2">
      <c r="A507" s="537">
        <v>43075</v>
      </c>
      <c r="B507" s="513">
        <v>334247</v>
      </c>
    </row>
    <row r="508" spans="1:2" x14ac:dyDescent="0.2">
      <c r="A508" s="537">
        <v>43076</v>
      </c>
      <c r="B508" s="513">
        <v>323171.46000000002</v>
      </c>
    </row>
    <row r="509" spans="1:2" x14ac:dyDescent="0.2">
      <c r="A509" s="537">
        <v>43077</v>
      </c>
      <c r="B509" s="513">
        <v>324229.90999999997</v>
      </c>
    </row>
    <row r="510" spans="1:2" x14ac:dyDescent="0.2">
      <c r="A510" s="537">
        <v>43080</v>
      </c>
      <c r="B510" s="513">
        <v>324230</v>
      </c>
    </row>
    <row r="511" spans="1:2" x14ac:dyDescent="0.2">
      <c r="A511" s="537">
        <v>43081</v>
      </c>
      <c r="B511" s="513">
        <v>286030.39</v>
      </c>
    </row>
    <row r="512" spans="1:2" x14ac:dyDescent="0.2">
      <c r="A512" s="537">
        <v>43082</v>
      </c>
      <c r="B512" s="513">
        <v>286197.44</v>
      </c>
    </row>
    <row r="513" spans="1:14" x14ac:dyDescent="0.2">
      <c r="A513" s="537">
        <v>43083</v>
      </c>
      <c r="B513" s="513">
        <v>280065.2</v>
      </c>
    </row>
    <row r="514" spans="1:14" x14ac:dyDescent="0.2">
      <c r="A514" s="537">
        <v>43084</v>
      </c>
      <c r="B514" s="513">
        <v>284409.09999999998</v>
      </c>
    </row>
    <row r="515" spans="1:14" x14ac:dyDescent="0.2">
      <c r="A515" s="537">
        <v>43087</v>
      </c>
      <c r="B515" s="513">
        <v>285119.09999999998</v>
      </c>
    </row>
    <row r="516" spans="1:14" x14ac:dyDescent="0.2">
      <c r="A516" s="537">
        <v>43088</v>
      </c>
      <c r="B516" s="513">
        <v>285395.49</v>
      </c>
    </row>
    <row r="517" spans="1:14" x14ac:dyDescent="0.2">
      <c r="A517" s="537">
        <v>43089</v>
      </c>
      <c r="B517" s="513">
        <v>285395</v>
      </c>
    </row>
    <row r="518" spans="1:14" x14ac:dyDescent="0.2">
      <c r="A518" s="537">
        <v>43090</v>
      </c>
      <c r="B518" s="513">
        <v>285542.49</v>
      </c>
    </row>
    <row r="519" spans="1:14" x14ac:dyDescent="0.2">
      <c r="A519" s="537">
        <v>43091</v>
      </c>
      <c r="B519" s="513">
        <v>285542</v>
      </c>
    </row>
    <row r="520" spans="1:14" x14ac:dyDescent="0.2">
      <c r="A520" s="537">
        <v>43094</v>
      </c>
      <c r="B520" s="513">
        <v>285542</v>
      </c>
    </row>
    <row r="521" spans="1:14" x14ac:dyDescent="0.2">
      <c r="A521" s="537">
        <v>43095</v>
      </c>
      <c r="B521" s="513">
        <v>248584.72</v>
      </c>
    </row>
    <row r="522" spans="1:14" x14ac:dyDescent="0.2">
      <c r="A522" s="537">
        <v>43096</v>
      </c>
      <c r="B522" s="513">
        <v>248585</v>
      </c>
    </row>
    <row r="523" spans="1:14" x14ac:dyDescent="0.2">
      <c r="A523" s="537">
        <v>43097</v>
      </c>
      <c r="B523" s="513">
        <v>270685.83</v>
      </c>
    </row>
    <row r="524" spans="1:14" x14ac:dyDescent="0.2">
      <c r="A524" s="537">
        <v>43098</v>
      </c>
      <c r="B524" s="513">
        <v>282558.58</v>
      </c>
    </row>
    <row r="525" spans="1:14" x14ac:dyDescent="0.2">
      <c r="A525" s="537">
        <v>43101</v>
      </c>
      <c r="B525" s="513">
        <v>282559</v>
      </c>
      <c r="F525" s="515"/>
      <c r="G525" t="s">
        <v>193</v>
      </c>
      <c r="H525" t="s">
        <v>223</v>
      </c>
      <c r="J525" t="s">
        <v>412</v>
      </c>
      <c r="K525" t="s">
        <v>223</v>
      </c>
      <c r="N525">
        <f>0.053</f>
        <v>5.2999999999999999E-2</v>
      </c>
    </row>
    <row r="526" spans="1:14" x14ac:dyDescent="0.2">
      <c r="A526" s="537">
        <v>43102</v>
      </c>
      <c r="B526" s="513">
        <v>282508.58</v>
      </c>
      <c r="F526" s="515">
        <v>42370</v>
      </c>
      <c r="G526" s="516">
        <v>369484</v>
      </c>
      <c r="H526" s="635">
        <v>31036</v>
      </c>
      <c r="J526" s="515">
        <v>42461</v>
      </c>
      <c r="K526" s="635">
        <v>151036</v>
      </c>
      <c r="N526" s="754">
        <f>K526*N525/12 +K526</f>
        <v>151703.07566666667</v>
      </c>
    </row>
    <row r="527" spans="1:14" x14ac:dyDescent="0.2">
      <c r="A527" s="537">
        <v>43103</v>
      </c>
      <c r="B527" s="513">
        <v>282509</v>
      </c>
      <c r="F527" s="515">
        <v>42401</v>
      </c>
      <c r="G527" s="516">
        <v>295493.53000000003</v>
      </c>
      <c r="H527" s="635">
        <v>31035.72</v>
      </c>
      <c r="J527" s="515">
        <v>42491</v>
      </c>
      <c r="K527" s="635">
        <v>151087.09</v>
      </c>
      <c r="N527" s="754">
        <f>N$525*N526/12 +N526</f>
        <v>152373.09758419445</v>
      </c>
    </row>
    <row r="528" spans="1:14" x14ac:dyDescent="0.2">
      <c r="A528" s="537">
        <v>43104</v>
      </c>
      <c r="B528" s="513">
        <v>283213.14</v>
      </c>
      <c r="F528" s="515">
        <v>42430</v>
      </c>
      <c r="G528" s="516">
        <v>255865.07</v>
      </c>
      <c r="H528" s="635">
        <v>151035.72</v>
      </c>
      <c r="J528" s="515">
        <v>42551</v>
      </c>
      <c r="K528" s="635">
        <v>151336.84</v>
      </c>
      <c r="N528" s="754">
        <f t="shared" ref="N528:N570" si="3">N$525*N527/12 +N527</f>
        <v>153046.07876519131</v>
      </c>
    </row>
    <row r="529" spans="1:14" x14ac:dyDescent="0.2">
      <c r="A529" s="537">
        <v>43105</v>
      </c>
      <c r="B529" s="513">
        <v>297779.06</v>
      </c>
      <c r="F529" s="515">
        <v>42461</v>
      </c>
      <c r="G529" s="516">
        <v>294098.96000000002</v>
      </c>
      <c r="H529" s="635">
        <v>151036</v>
      </c>
      <c r="J529" s="515">
        <v>42582</v>
      </c>
      <c r="K529" s="635">
        <v>151611.29999999999</v>
      </c>
      <c r="N529" s="754">
        <f t="shared" si="3"/>
        <v>153722.03227973758</v>
      </c>
    </row>
    <row r="530" spans="1:14" x14ac:dyDescent="0.2">
      <c r="A530" s="537">
        <v>43108</v>
      </c>
      <c r="B530" s="513">
        <v>263886.2</v>
      </c>
      <c r="F530" s="515">
        <v>42491</v>
      </c>
      <c r="G530" s="516">
        <v>333922.02</v>
      </c>
      <c r="H530" s="635">
        <v>151087.09</v>
      </c>
      <c r="J530" s="515">
        <v>42583</v>
      </c>
      <c r="K530" s="635">
        <v>151776.70000000001</v>
      </c>
      <c r="N530" s="754">
        <f t="shared" si="3"/>
        <v>154400.97125563977</v>
      </c>
    </row>
    <row r="531" spans="1:14" x14ac:dyDescent="0.2">
      <c r="A531" s="537">
        <v>43109</v>
      </c>
      <c r="B531" s="513">
        <v>277030.96999999997</v>
      </c>
      <c r="F531" s="515">
        <v>42551</v>
      </c>
      <c r="G531" s="516">
        <v>384005.8</v>
      </c>
      <c r="H531" s="635">
        <v>151336.84</v>
      </c>
      <c r="J531" s="515">
        <v>42614</v>
      </c>
      <c r="K531" s="635">
        <v>151844.44</v>
      </c>
      <c r="N531" s="754">
        <f t="shared" si="3"/>
        <v>155082.90887868553</v>
      </c>
    </row>
    <row r="532" spans="1:14" x14ac:dyDescent="0.2">
      <c r="A532" s="537">
        <v>43110</v>
      </c>
      <c r="B532" s="513">
        <v>277031</v>
      </c>
      <c r="F532" s="515">
        <v>42582</v>
      </c>
      <c r="G532" s="516">
        <v>292004.15999999997</v>
      </c>
      <c r="H532" s="635">
        <v>151611.29999999999</v>
      </c>
      <c r="J532" s="515">
        <v>42644</v>
      </c>
      <c r="K532" s="635">
        <v>152036.04</v>
      </c>
      <c r="N532" s="754">
        <f t="shared" si="3"/>
        <v>155767.85839289971</v>
      </c>
    </row>
    <row r="533" spans="1:14" x14ac:dyDescent="0.2">
      <c r="A533" s="537">
        <v>43111</v>
      </c>
      <c r="B533" s="513">
        <v>281394.14</v>
      </c>
      <c r="F533" s="515">
        <v>42583</v>
      </c>
      <c r="G533" s="516">
        <v>182562.29</v>
      </c>
      <c r="H533" s="635">
        <v>151776.70000000001</v>
      </c>
      <c r="J533" s="515">
        <v>42675</v>
      </c>
      <c r="K533" s="635">
        <v>152464.91</v>
      </c>
      <c r="N533" s="754">
        <f t="shared" si="3"/>
        <v>156455.83310080168</v>
      </c>
    </row>
    <row r="534" spans="1:14" x14ac:dyDescent="0.2">
      <c r="A534" s="537">
        <v>43112</v>
      </c>
      <c r="B534" s="513">
        <v>281470.18</v>
      </c>
      <c r="F534" s="515">
        <v>42614</v>
      </c>
      <c r="G534" s="516">
        <v>242442.87</v>
      </c>
      <c r="H534" s="635">
        <v>151844.44</v>
      </c>
      <c r="J534" s="515">
        <v>42705</v>
      </c>
      <c r="K534" s="635">
        <v>154533.13</v>
      </c>
      <c r="N534" s="754">
        <f t="shared" si="3"/>
        <v>157146.84636366356</v>
      </c>
    </row>
    <row r="535" spans="1:14" x14ac:dyDescent="0.2">
      <c r="A535" s="537">
        <v>43115</v>
      </c>
      <c r="B535" s="513">
        <v>281470</v>
      </c>
      <c r="F535" s="515">
        <v>42644</v>
      </c>
      <c r="G535" s="516">
        <v>247104.37</v>
      </c>
      <c r="H535" s="635">
        <v>152036.04</v>
      </c>
      <c r="J535" s="515">
        <v>42736</v>
      </c>
      <c r="K535" s="635">
        <v>155633.59</v>
      </c>
      <c r="N535" s="754">
        <f t="shared" si="3"/>
        <v>157840.91160176974</v>
      </c>
    </row>
    <row r="536" spans="1:14" x14ac:dyDescent="0.2">
      <c r="A536" s="537">
        <v>43116</v>
      </c>
      <c r="B536" s="513">
        <v>284325.94</v>
      </c>
      <c r="F536" s="515">
        <v>42675</v>
      </c>
      <c r="G536" s="516">
        <v>246462.95</v>
      </c>
      <c r="H536" s="635">
        <v>152464.91</v>
      </c>
      <c r="J536" s="515">
        <v>42767</v>
      </c>
      <c r="K536" s="635">
        <v>158448.25</v>
      </c>
      <c r="N536" s="754">
        <f t="shared" si="3"/>
        <v>158538.04229467755</v>
      </c>
    </row>
    <row r="537" spans="1:14" x14ac:dyDescent="0.2">
      <c r="A537" s="537">
        <v>43117</v>
      </c>
      <c r="B537" s="513">
        <v>305911.78000000003</v>
      </c>
      <c r="F537" s="515">
        <v>42705</v>
      </c>
      <c r="G537" s="516">
        <v>249839.51</v>
      </c>
      <c r="H537" s="635">
        <v>154533.13</v>
      </c>
      <c r="J537" s="515">
        <v>42795</v>
      </c>
      <c r="K537" s="635">
        <v>159113.29</v>
      </c>
      <c r="N537" s="754">
        <f t="shared" si="3"/>
        <v>159238.25198147906</v>
      </c>
    </row>
    <row r="538" spans="1:14" x14ac:dyDescent="0.2">
      <c r="A538" s="537">
        <v>43118</v>
      </c>
      <c r="B538" s="513">
        <v>305752.93</v>
      </c>
      <c r="F538" s="515">
        <v>42736</v>
      </c>
      <c r="G538" s="516">
        <v>351420</v>
      </c>
      <c r="H538" s="635">
        <v>155633.59</v>
      </c>
      <c r="J538" s="515">
        <v>42826</v>
      </c>
      <c r="K538" s="635">
        <v>159614.53</v>
      </c>
      <c r="N538" s="754">
        <f t="shared" si="3"/>
        <v>159941.55426106392</v>
      </c>
    </row>
    <row r="539" spans="1:14" x14ac:dyDescent="0.2">
      <c r="A539" s="537">
        <v>43119</v>
      </c>
      <c r="B539" s="513">
        <v>332730.14</v>
      </c>
      <c r="F539" s="515">
        <v>42767</v>
      </c>
      <c r="G539" s="516">
        <v>253330</v>
      </c>
      <c r="H539" s="635">
        <v>158448.25</v>
      </c>
      <c r="J539" s="515">
        <v>42856</v>
      </c>
      <c r="K539" s="635">
        <v>160436.21</v>
      </c>
      <c r="N539" s="754">
        <f t="shared" si="3"/>
        <v>160647.96279238362</v>
      </c>
    </row>
    <row r="540" spans="1:14" x14ac:dyDescent="0.2">
      <c r="A540" s="537">
        <v>43122</v>
      </c>
      <c r="B540" s="513">
        <v>291419.49</v>
      </c>
      <c r="F540" s="515">
        <v>42795</v>
      </c>
      <c r="G540" s="516">
        <v>280744</v>
      </c>
      <c r="H540" s="635">
        <v>159113.29</v>
      </c>
      <c r="J540" s="515">
        <v>42887</v>
      </c>
      <c r="K540" s="635">
        <v>160443.22</v>
      </c>
      <c r="N540" s="754">
        <f t="shared" si="3"/>
        <v>161357.49129471666</v>
      </c>
    </row>
    <row r="541" spans="1:14" x14ac:dyDescent="0.2">
      <c r="A541" s="537">
        <v>43123</v>
      </c>
      <c r="B541" s="513">
        <v>293419.65000000002</v>
      </c>
      <c r="F541" s="515">
        <v>42826</v>
      </c>
      <c r="G541" s="516">
        <v>319478.15999999997</v>
      </c>
      <c r="H541" s="635">
        <v>159614.53</v>
      </c>
      <c r="J541" s="515">
        <v>42917</v>
      </c>
      <c r="K541" s="635">
        <v>161526.35999999999</v>
      </c>
      <c r="N541" s="754">
        <f t="shared" si="3"/>
        <v>162070.15354793498</v>
      </c>
    </row>
    <row r="542" spans="1:14" x14ac:dyDescent="0.2">
      <c r="A542" s="537">
        <v>43124</v>
      </c>
      <c r="B542" s="513">
        <v>293420</v>
      </c>
      <c r="F542" s="515">
        <v>42856</v>
      </c>
      <c r="G542" s="516">
        <v>241828.1</v>
      </c>
      <c r="H542" s="635">
        <v>160436.21</v>
      </c>
      <c r="J542" s="515">
        <v>42948</v>
      </c>
      <c r="K542" s="635">
        <v>162013.01</v>
      </c>
      <c r="N542" s="754">
        <f t="shared" si="3"/>
        <v>162785.96339277169</v>
      </c>
    </row>
    <row r="543" spans="1:14" x14ac:dyDescent="0.2">
      <c r="A543" s="537">
        <v>43125</v>
      </c>
      <c r="B543" s="513">
        <v>301331.82</v>
      </c>
      <c r="F543" s="515">
        <v>42887</v>
      </c>
      <c r="G543" s="516">
        <v>248981.18</v>
      </c>
      <c r="H543" s="635">
        <v>160443.22</v>
      </c>
      <c r="J543" s="515">
        <v>42979</v>
      </c>
      <c r="K543" s="635">
        <v>163493.49</v>
      </c>
      <c r="M543" s="635"/>
      <c r="N543" s="754">
        <f t="shared" si="3"/>
        <v>163504.93473108977</v>
      </c>
    </row>
    <row r="544" spans="1:14" x14ac:dyDescent="0.2">
      <c r="A544" s="537">
        <v>43126</v>
      </c>
      <c r="B544" s="513">
        <v>327084.28999999998</v>
      </c>
      <c r="F544" s="515">
        <v>42917</v>
      </c>
      <c r="G544" s="516">
        <v>268937.63</v>
      </c>
      <c r="H544" s="635">
        <v>161526.35999999999</v>
      </c>
      <c r="J544" s="515">
        <v>43009</v>
      </c>
      <c r="K544" s="635">
        <v>164090.28</v>
      </c>
      <c r="M544" s="247"/>
      <c r="N544" s="754">
        <f t="shared" si="3"/>
        <v>164227.08152615209</v>
      </c>
    </row>
    <row r="545" spans="1:14" x14ac:dyDescent="0.2">
      <c r="A545" s="537">
        <v>43129</v>
      </c>
      <c r="B545" s="513">
        <v>327084</v>
      </c>
      <c r="F545" s="515">
        <v>42948</v>
      </c>
      <c r="G545" s="516">
        <v>198251.6</v>
      </c>
      <c r="H545" s="635">
        <v>162013.01</v>
      </c>
      <c r="J545" s="515">
        <v>43040</v>
      </c>
      <c r="K545" s="635">
        <v>164908.01</v>
      </c>
      <c r="M545" s="247"/>
      <c r="N545" s="754">
        <f t="shared" si="3"/>
        <v>164952.4178028926</v>
      </c>
    </row>
    <row r="546" spans="1:14" x14ac:dyDescent="0.2">
      <c r="A546" s="537">
        <v>43130</v>
      </c>
      <c r="B546" s="513">
        <v>327084</v>
      </c>
      <c r="F546" s="515">
        <v>42979</v>
      </c>
      <c r="G546" s="516">
        <v>178964.63</v>
      </c>
      <c r="H546" s="635">
        <v>163493.49</v>
      </c>
      <c r="J546" s="515">
        <v>43070</v>
      </c>
      <c r="K546" s="635">
        <v>164937.87</v>
      </c>
      <c r="M546" s="247"/>
      <c r="N546" s="754">
        <f t="shared" si="3"/>
        <v>165680.95764818869</v>
      </c>
    </row>
    <row r="547" spans="1:14" x14ac:dyDescent="0.2">
      <c r="A547" s="537">
        <v>43131</v>
      </c>
      <c r="B547" s="513">
        <v>337130.63</v>
      </c>
      <c r="F547" s="515">
        <v>43009</v>
      </c>
      <c r="G547" s="516">
        <v>199171.39</v>
      </c>
      <c r="H547" s="635">
        <v>164090.28</v>
      </c>
      <c r="J547" s="515">
        <v>43101</v>
      </c>
      <c r="K547" s="635">
        <v>167966.33</v>
      </c>
      <c r="M547" s="247"/>
      <c r="N547" s="754">
        <f t="shared" si="3"/>
        <v>166412.71521113487</v>
      </c>
    </row>
    <row r="548" spans="1:14" x14ac:dyDescent="0.2">
      <c r="A548" s="537">
        <v>43132</v>
      </c>
      <c r="B548" s="513">
        <v>334292.59999999998</v>
      </c>
      <c r="F548" s="515">
        <v>43040</v>
      </c>
      <c r="G548" s="516">
        <v>180584.58</v>
      </c>
      <c r="H548" s="635">
        <v>164908.01</v>
      </c>
      <c r="J548" s="515">
        <v>43132</v>
      </c>
      <c r="K548" s="635">
        <v>164746.72</v>
      </c>
      <c r="M548" s="247"/>
      <c r="N548" s="754">
        <f t="shared" si="3"/>
        <v>167147.70470331737</v>
      </c>
    </row>
    <row r="549" spans="1:14" x14ac:dyDescent="0.2">
      <c r="A549" s="537">
        <v>43133</v>
      </c>
      <c r="B549" s="513">
        <v>335977.23</v>
      </c>
      <c r="F549" s="515">
        <v>43070</v>
      </c>
      <c r="G549" s="516">
        <v>258260.86</v>
      </c>
      <c r="H549" s="635">
        <v>164937.87</v>
      </c>
      <c r="J549" s="515">
        <v>43160</v>
      </c>
      <c r="K549" s="635">
        <v>163400.39000000001</v>
      </c>
      <c r="N549" s="754">
        <f t="shared" si="3"/>
        <v>167885.94039909035</v>
      </c>
    </row>
    <row r="550" spans="1:14" x14ac:dyDescent="0.2">
      <c r="A550" s="537">
        <v>43136</v>
      </c>
      <c r="B550" s="513">
        <v>300614.99</v>
      </c>
      <c r="F550" s="515">
        <v>43101</v>
      </c>
      <c r="G550" s="516">
        <v>297556.56</v>
      </c>
      <c r="H550" s="635">
        <v>167966.33</v>
      </c>
      <c r="J550" s="515">
        <v>43191</v>
      </c>
      <c r="K550" s="635">
        <v>163874.63</v>
      </c>
      <c r="N550" s="754">
        <f t="shared" si="3"/>
        <v>168627.436635853</v>
      </c>
    </row>
    <row r="551" spans="1:14" x14ac:dyDescent="0.2">
      <c r="A551" s="537">
        <v>43137</v>
      </c>
      <c r="B551" s="513">
        <v>295509.53999999998</v>
      </c>
      <c r="F551" s="515">
        <v>43132</v>
      </c>
      <c r="G551" s="516">
        <v>287550</v>
      </c>
      <c r="H551" s="635">
        <v>164746.72</v>
      </c>
      <c r="J551" s="515">
        <v>43221</v>
      </c>
      <c r="K551" s="635">
        <v>165109.67000000001</v>
      </c>
      <c r="N551" s="754">
        <f t="shared" si="3"/>
        <v>169372.20781432802</v>
      </c>
    </row>
    <row r="552" spans="1:14" x14ac:dyDescent="0.2">
      <c r="A552" s="537">
        <v>43138</v>
      </c>
      <c r="B552" s="513">
        <v>295510</v>
      </c>
      <c r="F552" s="515">
        <v>43160</v>
      </c>
      <c r="G552" s="516">
        <v>277699.34999999998</v>
      </c>
      <c r="H552" s="635">
        <v>163400.39000000001</v>
      </c>
      <c r="J552" s="515">
        <v>43252</v>
      </c>
      <c r="K552" s="635">
        <v>164894.5</v>
      </c>
      <c r="M552" s="635"/>
      <c r="N552" s="754">
        <f t="shared" si="3"/>
        <v>170120.26839884132</v>
      </c>
    </row>
    <row r="553" spans="1:14" x14ac:dyDescent="0.2">
      <c r="A553" s="537">
        <v>43139</v>
      </c>
      <c r="B553" s="513">
        <v>295623.09999999998</v>
      </c>
      <c r="F553" s="515">
        <v>43191</v>
      </c>
      <c r="G553" s="516">
        <v>310068.02</v>
      </c>
      <c r="H553" s="635">
        <v>163874.63</v>
      </c>
      <c r="J553" s="515">
        <v>43282</v>
      </c>
      <c r="K553" s="635">
        <v>168308.43</v>
      </c>
      <c r="N553" s="754">
        <f t="shared" si="3"/>
        <v>170871.63291760287</v>
      </c>
    </row>
    <row r="554" spans="1:14" x14ac:dyDescent="0.2">
      <c r="A554" s="537">
        <v>43140</v>
      </c>
      <c r="B554" s="513">
        <v>295623</v>
      </c>
      <c r="F554" s="515">
        <v>43221</v>
      </c>
      <c r="G554" s="516">
        <v>338828.68</v>
      </c>
      <c r="H554" s="635">
        <v>165109.67000000001</v>
      </c>
      <c r="J554" s="515">
        <v>43313</v>
      </c>
      <c r="K554" s="635">
        <v>169314.31</v>
      </c>
      <c r="M554" s="516"/>
      <c r="N554" s="754">
        <f t="shared" si="3"/>
        <v>171626.31596298894</v>
      </c>
    </row>
    <row r="555" spans="1:14" x14ac:dyDescent="0.2">
      <c r="A555" s="537">
        <v>43143</v>
      </c>
      <c r="B555" s="513">
        <v>299232.09999999998</v>
      </c>
      <c r="F555" s="515">
        <v>43252</v>
      </c>
      <c r="G555" s="516">
        <v>316601.96000000002</v>
      </c>
      <c r="H555" s="635">
        <v>164894.5</v>
      </c>
      <c r="J555" s="515">
        <v>43344</v>
      </c>
      <c r="K555" s="635">
        <v>170138.99</v>
      </c>
      <c r="N555" s="754">
        <f t="shared" si="3"/>
        <v>172384.33219182547</v>
      </c>
    </row>
    <row r="556" spans="1:14" x14ac:dyDescent="0.2">
      <c r="A556" s="537">
        <v>43144</v>
      </c>
      <c r="B556" s="513">
        <v>304422.01</v>
      </c>
      <c r="F556" s="515">
        <v>43282</v>
      </c>
      <c r="G556" s="516">
        <v>282196.90999999997</v>
      </c>
      <c r="H556" s="635">
        <v>168308.43</v>
      </c>
      <c r="J556" s="515">
        <v>43374</v>
      </c>
      <c r="K556" s="635">
        <v>164332.01</v>
      </c>
      <c r="M556" s="662"/>
      <c r="N556" s="754">
        <f t="shared" si="3"/>
        <v>173145.6963256727</v>
      </c>
    </row>
    <row r="557" spans="1:14" x14ac:dyDescent="0.2">
      <c r="A557" s="537">
        <v>43145</v>
      </c>
      <c r="B557" s="513">
        <v>330191.24</v>
      </c>
      <c r="F557" s="515">
        <v>43313</v>
      </c>
      <c r="G557" s="516">
        <v>287391.71999999997</v>
      </c>
      <c r="H557" s="635">
        <v>169314.31</v>
      </c>
      <c r="J557" s="515">
        <v>43405</v>
      </c>
      <c r="K557" s="635">
        <v>166031.76999999999</v>
      </c>
      <c r="N557" s="754">
        <f t="shared" si="3"/>
        <v>173910.42315111108</v>
      </c>
    </row>
    <row r="558" spans="1:14" x14ac:dyDescent="0.2">
      <c r="A558" s="537">
        <v>43146</v>
      </c>
      <c r="B558" s="513">
        <v>313471.64</v>
      </c>
      <c r="F558" s="515">
        <v>43344</v>
      </c>
      <c r="G558" s="516">
        <v>327095.84000000003</v>
      </c>
      <c r="H558" s="635">
        <v>170138.99</v>
      </c>
      <c r="J558" s="515">
        <v>43435</v>
      </c>
      <c r="K558" s="635">
        <v>159621.23000000001</v>
      </c>
      <c r="N558" s="754">
        <f t="shared" si="3"/>
        <v>174678.5275200285</v>
      </c>
    </row>
    <row r="559" spans="1:14" x14ac:dyDescent="0.2">
      <c r="A559" s="537">
        <v>43147</v>
      </c>
      <c r="B559" s="513">
        <v>313472</v>
      </c>
      <c r="F559" s="515">
        <v>43374</v>
      </c>
      <c r="G559" s="516">
        <v>233504.28</v>
      </c>
      <c r="H559" s="635">
        <v>164332.01</v>
      </c>
      <c r="J559" s="515">
        <v>43466</v>
      </c>
      <c r="K559" s="635">
        <v>166873.93</v>
      </c>
      <c r="N559" s="754">
        <f t="shared" si="3"/>
        <v>175450.02434990864</v>
      </c>
    </row>
    <row r="560" spans="1:14" x14ac:dyDescent="0.2">
      <c r="A560" s="537">
        <v>43150</v>
      </c>
      <c r="B560" s="513">
        <v>313472</v>
      </c>
      <c r="F560" s="515">
        <v>43405</v>
      </c>
      <c r="G560" s="516">
        <v>166530.44</v>
      </c>
      <c r="H560" s="635">
        <v>166031.76999999999</v>
      </c>
      <c r="J560" s="515">
        <v>43497</v>
      </c>
      <c r="K560" s="635">
        <v>170486.28</v>
      </c>
      <c r="N560" s="754">
        <f t="shared" si="3"/>
        <v>176224.92862412074</v>
      </c>
    </row>
    <row r="561" spans="1:14" x14ac:dyDescent="0.2">
      <c r="A561" s="537">
        <v>43151</v>
      </c>
      <c r="B561" s="513">
        <v>277471.58</v>
      </c>
      <c r="F561" s="515">
        <v>43435</v>
      </c>
      <c r="G561" s="516">
        <v>245292.72</v>
      </c>
      <c r="H561" s="635">
        <v>159621.23000000001</v>
      </c>
      <c r="J561" s="515">
        <v>43525</v>
      </c>
      <c r="K561" s="635">
        <v>171537.16</v>
      </c>
      <c r="N561" s="754">
        <f t="shared" si="3"/>
        <v>177003.25539221062</v>
      </c>
    </row>
    <row r="562" spans="1:14" x14ac:dyDescent="0.2">
      <c r="A562" s="537">
        <v>43152</v>
      </c>
      <c r="B562" s="513">
        <v>287526.92</v>
      </c>
      <c r="F562" s="515">
        <v>43466</v>
      </c>
      <c r="G562" s="516">
        <v>322895</v>
      </c>
      <c r="H562" s="635">
        <v>166873.93</v>
      </c>
      <c r="J562" s="515">
        <v>43556</v>
      </c>
      <c r="K562" s="635">
        <v>174601.21</v>
      </c>
      <c r="N562" s="754">
        <f t="shared" si="3"/>
        <v>177785.01977019288</v>
      </c>
    </row>
    <row r="563" spans="1:14" x14ac:dyDescent="0.2">
      <c r="A563" s="537">
        <v>43153</v>
      </c>
      <c r="B563" s="513">
        <v>296486.64</v>
      </c>
      <c r="F563" s="515">
        <v>43497</v>
      </c>
      <c r="G563" s="516">
        <v>388590.24</v>
      </c>
      <c r="H563" s="635">
        <v>170486.28</v>
      </c>
      <c r="J563" s="515">
        <v>43586</v>
      </c>
      <c r="K563" s="635">
        <v>169831.32</v>
      </c>
      <c r="N563" s="754">
        <f t="shared" si="3"/>
        <v>178570.23694084457</v>
      </c>
    </row>
    <row r="564" spans="1:14" x14ac:dyDescent="0.2">
      <c r="A564" s="537">
        <v>43154</v>
      </c>
      <c r="B564" s="513">
        <v>296487</v>
      </c>
      <c r="F564" s="515">
        <v>43525</v>
      </c>
      <c r="G564" s="516">
        <v>244069.19</v>
      </c>
      <c r="H564" s="635">
        <v>171537.16</v>
      </c>
      <c r="J564" s="515">
        <v>43617</v>
      </c>
      <c r="K564" s="635">
        <v>175962.43</v>
      </c>
      <c r="N564" s="754">
        <f t="shared" si="3"/>
        <v>179358.92215399997</v>
      </c>
    </row>
    <row r="565" spans="1:14" x14ac:dyDescent="0.2">
      <c r="A565" s="537">
        <v>43157</v>
      </c>
      <c r="B565" s="513">
        <v>296487</v>
      </c>
      <c r="F565" s="515">
        <v>43556</v>
      </c>
      <c r="G565" s="516">
        <v>265093.77</v>
      </c>
      <c r="H565" s="635">
        <v>174601.21</v>
      </c>
      <c r="J565" s="515">
        <v>43647</v>
      </c>
      <c r="K565" s="635">
        <v>176392.07</v>
      </c>
      <c r="N565" s="754">
        <f t="shared" si="3"/>
        <v>180151.0907268468</v>
      </c>
    </row>
    <row r="566" spans="1:14" x14ac:dyDescent="0.2">
      <c r="A566" s="537">
        <v>43158</v>
      </c>
      <c r="B566" s="513">
        <v>335911.5</v>
      </c>
      <c r="F566" s="515">
        <v>43586</v>
      </c>
      <c r="G566" s="516">
        <v>218979.44</v>
      </c>
      <c r="H566" s="635">
        <v>169831.32</v>
      </c>
      <c r="J566" s="515">
        <v>43678</v>
      </c>
      <c r="K566" s="635">
        <v>174581</v>
      </c>
      <c r="N566" s="754">
        <f t="shared" si="3"/>
        <v>180946.75804422371</v>
      </c>
    </row>
    <row r="567" spans="1:14" x14ac:dyDescent="0.2">
      <c r="A567" s="537">
        <v>43159</v>
      </c>
      <c r="B567" s="513">
        <v>335912</v>
      </c>
      <c r="F567" s="515">
        <v>43617</v>
      </c>
      <c r="G567" s="516">
        <v>271553.78999999998</v>
      </c>
      <c r="H567" s="635">
        <v>175962.43</v>
      </c>
      <c r="J567" s="515">
        <v>43709</v>
      </c>
      <c r="K567" s="635">
        <v>175832.82</v>
      </c>
      <c r="N567" s="754">
        <f t="shared" si="3"/>
        <v>181745.93955891902</v>
      </c>
    </row>
    <row r="568" spans="1:14" x14ac:dyDescent="0.2">
      <c r="A568" s="537">
        <v>43160</v>
      </c>
      <c r="B568" s="513">
        <v>330042.21999999997</v>
      </c>
      <c r="F568" s="515">
        <v>43647</v>
      </c>
      <c r="G568" s="516">
        <v>272625.19</v>
      </c>
      <c r="H568" s="635">
        <v>176392.07</v>
      </c>
      <c r="J568" s="515">
        <v>43739</v>
      </c>
      <c r="K568" s="635">
        <v>176684.91</v>
      </c>
      <c r="N568" s="754">
        <f t="shared" si="3"/>
        <v>182548.65079197093</v>
      </c>
    </row>
    <row r="569" spans="1:14" x14ac:dyDescent="0.2">
      <c r="A569" s="537">
        <v>43161</v>
      </c>
      <c r="B569" s="575">
        <v>367034.5</v>
      </c>
      <c r="F569" s="515">
        <v>43678</v>
      </c>
      <c r="G569" s="516">
        <v>249105.04</v>
      </c>
      <c r="H569" s="635">
        <v>174581.16</v>
      </c>
      <c r="J569" s="515">
        <v>43770</v>
      </c>
      <c r="K569" s="635">
        <v>180686.55</v>
      </c>
      <c r="N569" s="754">
        <f t="shared" si="3"/>
        <v>183354.90733296881</v>
      </c>
    </row>
    <row r="570" spans="1:14" x14ac:dyDescent="0.2">
      <c r="A570" s="537">
        <v>43164</v>
      </c>
      <c r="B570" s="513">
        <v>330990.42</v>
      </c>
      <c r="F570" s="515">
        <v>43709</v>
      </c>
      <c r="G570" s="516">
        <v>224675.57</v>
      </c>
      <c r="H570" s="635">
        <v>175832.82</v>
      </c>
      <c r="J570" s="515">
        <v>43800</v>
      </c>
      <c r="K570" s="635">
        <v>184417.26</v>
      </c>
      <c r="N570" s="754">
        <f t="shared" si="3"/>
        <v>184164.7248403561</v>
      </c>
    </row>
    <row r="571" spans="1:14" x14ac:dyDescent="0.2">
      <c r="A571" s="537">
        <v>43165</v>
      </c>
      <c r="B571" s="513">
        <v>333065.89</v>
      </c>
      <c r="F571" s="515">
        <v>43739</v>
      </c>
      <c r="G571" s="516">
        <f>250597.51-10616</f>
        <v>239981.51</v>
      </c>
      <c r="H571" s="635">
        <v>176684.91</v>
      </c>
      <c r="J571" s="515">
        <v>43831</v>
      </c>
    </row>
    <row r="572" spans="1:14" x14ac:dyDescent="0.2">
      <c r="A572" s="537">
        <v>43166</v>
      </c>
      <c r="B572" s="513">
        <v>331065.89</v>
      </c>
      <c r="F572" s="515">
        <v>43770</v>
      </c>
      <c r="G572" s="516">
        <f>213081.72-10616</f>
        <v>202465.72</v>
      </c>
      <c r="J572" s="515">
        <v>43862</v>
      </c>
    </row>
    <row r="573" spans="1:14" x14ac:dyDescent="0.2">
      <c r="A573" s="537">
        <v>43167</v>
      </c>
      <c r="B573" s="513">
        <v>331092.17</v>
      </c>
      <c r="F573" s="515">
        <v>43800</v>
      </c>
      <c r="G573" s="516">
        <v>298881.24</v>
      </c>
    </row>
    <row r="574" spans="1:14" x14ac:dyDescent="0.2">
      <c r="A574" s="537">
        <v>43168</v>
      </c>
      <c r="B574" s="513">
        <v>311733.17</v>
      </c>
    </row>
    <row r="575" spans="1:14" x14ac:dyDescent="0.2">
      <c r="A575" s="537">
        <v>43171</v>
      </c>
      <c r="B575" s="513">
        <v>317116.19</v>
      </c>
    </row>
    <row r="576" spans="1:14" x14ac:dyDescent="0.2">
      <c r="A576" s="537">
        <v>43172</v>
      </c>
      <c r="B576" s="513">
        <v>317116</v>
      </c>
      <c r="F576" t="s">
        <v>505</v>
      </c>
    </row>
    <row r="577" spans="1:18" x14ac:dyDescent="0.2">
      <c r="A577" s="537">
        <v>43173</v>
      </c>
      <c r="B577" s="513">
        <v>317496.19</v>
      </c>
      <c r="F577" t="s">
        <v>406</v>
      </c>
      <c r="G577">
        <v>50000</v>
      </c>
      <c r="K577" s="744"/>
      <c r="L577" s="247"/>
      <c r="O577" s="247"/>
      <c r="P577" s="247"/>
      <c r="Q577" s="247"/>
      <c r="R577" s="247"/>
    </row>
    <row r="578" spans="1:18" x14ac:dyDescent="0.2">
      <c r="A578" s="537">
        <v>43174</v>
      </c>
      <c r="B578" s="513">
        <v>317772.45</v>
      </c>
      <c r="F578" t="s">
        <v>76</v>
      </c>
      <c r="G578" s="579">
        <v>158720.91</v>
      </c>
      <c r="K578" s="744"/>
      <c r="L578" s="247"/>
      <c r="P578" s="247"/>
      <c r="Q578" s="247"/>
      <c r="R578" s="247"/>
    </row>
    <row r="579" spans="1:18" x14ac:dyDescent="0.2">
      <c r="A579" s="537">
        <v>43175</v>
      </c>
      <c r="B579" s="513">
        <v>317772</v>
      </c>
      <c r="C579" s="537"/>
      <c r="D579" s="513"/>
      <c r="F579" t="s">
        <v>396</v>
      </c>
      <c r="G579" s="579">
        <v>820788.58</v>
      </c>
      <c r="K579" s="744"/>
      <c r="L579" s="247"/>
      <c r="P579" s="247"/>
      <c r="Q579" s="247"/>
      <c r="R579" s="247"/>
    </row>
    <row r="580" spans="1:18" x14ac:dyDescent="0.2">
      <c r="A580" s="537">
        <v>43178</v>
      </c>
      <c r="B580" s="513">
        <v>279446.55</v>
      </c>
      <c r="C580" s="537"/>
      <c r="D580" s="513"/>
      <c r="F580" t="s">
        <v>355</v>
      </c>
      <c r="G580" s="579"/>
      <c r="K580" s="744"/>
      <c r="L580" s="247"/>
      <c r="P580" s="247"/>
      <c r="Q580" s="247"/>
      <c r="R580" s="247"/>
    </row>
    <row r="581" spans="1:18" x14ac:dyDescent="0.2">
      <c r="A581" s="537">
        <v>43179</v>
      </c>
      <c r="B581" s="513">
        <v>272785.62</v>
      </c>
      <c r="C581" s="537"/>
      <c r="D581" s="513"/>
      <c r="F581" t="s">
        <v>397</v>
      </c>
      <c r="G581" s="579">
        <v>248821.26</v>
      </c>
      <c r="K581" s="744"/>
      <c r="L581" s="247"/>
      <c r="P581" s="247"/>
      <c r="Q581" s="247"/>
      <c r="R581" s="247"/>
    </row>
    <row r="582" spans="1:18" x14ac:dyDescent="0.2">
      <c r="A582" s="537">
        <v>43180</v>
      </c>
      <c r="B582" s="513">
        <v>288240.15999999997</v>
      </c>
      <c r="C582" s="537"/>
      <c r="D582" s="513"/>
      <c r="F582" t="s">
        <v>398</v>
      </c>
      <c r="G582" s="579">
        <v>2000</v>
      </c>
      <c r="H582" t="s">
        <v>399</v>
      </c>
      <c r="K582" s="744"/>
      <c r="L582" s="247"/>
      <c r="O582" s="247"/>
      <c r="P582" s="247"/>
      <c r="Q582" s="247"/>
      <c r="R582" s="247"/>
    </row>
    <row r="583" spans="1:18" x14ac:dyDescent="0.2">
      <c r="A583" s="537">
        <v>43181</v>
      </c>
      <c r="B583" s="513">
        <v>278742.74</v>
      </c>
      <c r="C583" s="537"/>
      <c r="D583" s="513"/>
      <c r="F583" t="s">
        <v>404</v>
      </c>
      <c r="G583" s="579">
        <f>51000+19000</f>
        <v>70000</v>
      </c>
      <c r="K583" s="744"/>
      <c r="L583" s="247"/>
      <c r="O583" s="247"/>
      <c r="P583" s="247"/>
      <c r="Q583" s="247"/>
      <c r="R583" s="247"/>
    </row>
    <row r="584" spans="1:18" x14ac:dyDescent="0.2">
      <c r="A584" s="537">
        <v>43182</v>
      </c>
      <c r="B584" s="513">
        <v>278840.24</v>
      </c>
      <c r="C584" s="537"/>
      <c r="D584" s="513"/>
      <c r="E584" t="s">
        <v>400</v>
      </c>
      <c r="G584" s="579">
        <f>SUM(G577:G583)</f>
        <v>1350330.75</v>
      </c>
      <c r="K584" s="744"/>
      <c r="L584" s="247"/>
      <c r="O584" s="247"/>
      <c r="P584" s="247"/>
      <c r="Q584" s="247"/>
      <c r="R584" s="247"/>
    </row>
    <row r="585" spans="1:18" x14ac:dyDescent="0.2">
      <c r="A585" s="537">
        <v>43185</v>
      </c>
      <c r="B585" s="513">
        <v>278942.24</v>
      </c>
      <c r="C585" s="537"/>
      <c r="D585" s="513"/>
      <c r="G585" s="579"/>
      <c r="K585" s="744"/>
      <c r="L585" s="247"/>
      <c r="O585" s="247"/>
      <c r="P585" s="247"/>
      <c r="Q585" s="247"/>
      <c r="R585" s="247"/>
    </row>
    <row r="586" spans="1:18" x14ac:dyDescent="0.2">
      <c r="A586" s="537">
        <v>43186</v>
      </c>
      <c r="B586" s="513">
        <v>257048.49</v>
      </c>
      <c r="C586" s="537"/>
      <c r="D586" s="513"/>
      <c r="E586" t="s">
        <v>401</v>
      </c>
      <c r="G586" s="579">
        <f>AVERAGE(G561:G573)</f>
        <v>264939.10923076922</v>
      </c>
      <c r="K586" s="744"/>
      <c r="L586" s="247"/>
      <c r="O586" s="247"/>
      <c r="P586" s="247"/>
      <c r="Q586" s="247"/>
      <c r="R586" s="247"/>
    </row>
    <row r="587" spans="1:18" x14ac:dyDescent="0.2">
      <c r="A587" s="537">
        <v>43187</v>
      </c>
      <c r="B587" s="513">
        <v>252662.47</v>
      </c>
      <c r="C587" s="537"/>
      <c r="D587" s="513"/>
      <c r="G587" s="579"/>
      <c r="K587" s="744"/>
      <c r="L587" s="247"/>
      <c r="O587" s="247"/>
      <c r="P587" s="247"/>
      <c r="Q587" s="247"/>
      <c r="R587" s="247"/>
    </row>
    <row r="588" spans="1:18" x14ac:dyDescent="0.2">
      <c r="A588" s="537">
        <v>43188</v>
      </c>
      <c r="B588" s="513">
        <v>254708.73</v>
      </c>
      <c r="C588" s="537"/>
      <c r="D588" s="513"/>
      <c r="E588" t="s">
        <v>402</v>
      </c>
      <c r="G588" s="580">
        <f>G584/G586</f>
        <v>5.0967588511963511</v>
      </c>
      <c r="K588" s="744"/>
      <c r="L588" s="247"/>
      <c r="O588" s="247"/>
      <c r="P588" s="247"/>
      <c r="Q588" s="247"/>
      <c r="R588" s="247"/>
    </row>
    <row r="589" spans="1:18" x14ac:dyDescent="0.2">
      <c r="A589" s="537">
        <v>43189</v>
      </c>
      <c r="B589" s="513">
        <v>281702.86</v>
      </c>
      <c r="C589" s="537"/>
      <c r="D589" s="513"/>
      <c r="G589" s="579"/>
      <c r="K589" s="744"/>
      <c r="L589" s="247"/>
      <c r="O589" s="247"/>
      <c r="P589" s="247"/>
      <c r="Q589" s="247"/>
      <c r="R589" s="247"/>
    </row>
    <row r="590" spans="1:18" x14ac:dyDescent="0.2">
      <c r="A590" s="537">
        <v>43192</v>
      </c>
      <c r="B590" s="513">
        <v>244220.77</v>
      </c>
      <c r="C590" s="537"/>
      <c r="D590" s="513"/>
      <c r="E590" t="s">
        <v>403</v>
      </c>
      <c r="G590" s="579">
        <v>365</v>
      </c>
      <c r="K590" s="744"/>
      <c r="L590" s="247"/>
    </row>
    <row r="591" spans="1:18" x14ac:dyDescent="0.2">
      <c r="A591" s="537">
        <v>43193</v>
      </c>
      <c r="B591" s="513">
        <v>244221</v>
      </c>
      <c r="C591" s="537"/>
      <c r="D591" s="513"/>
      <c r="G591" s="579">
        <f>G590/G588</f>
        <v>71.614139624111189</v>
      </c>
      <c r="K591" s="744"/>
      <c r="L591" s="247"/>
    </row>
    <row r="592" spans="1:18" x14ac:dyDescent="0.2">
      <c r="A592" s="537">
        <v>43194</v>
      </c>
      <c r="B592" s="513">
        <v>244221</v>
      </c>
      <c r="C592" s="537"/>
      <c r="D592" s="513"/>
      <c r="K592" s="744"/>
      <c r="L592" s="247"/>
    </row>
    <row r="593" spans="1:12" x14ac:dyDescent="0.2">
      <c r="A593" s="537">
        <v>43195</v>
      </c>
      <c r="B593" s="513">
        <v>225503.87</v>
      </c>
      <c r="C593" s="537"/>
      <c r="D593" s="513"/>
      <c r="K593" s="744"/>
      <c r="L593" s="247"/>
    </row>
    <row r="594" spans="1:12" x14ac:dyDescent="0.2">
      <c r="A594" s="537">
        <v>43196</v>
      </c>
      <c r="B594" s="513">
        <v>225504</v>
      </c>
      <c r="C594" s="537"/>
      <c r="D594" s="513"/>
      <c r="K594" s="744"/>
      <c r="L594" s="247"/>
    </row>
    <row r="595" spans="1:12" x14ac:dyDescent="0.2">
      <c r="A595" s="537">
        <v>43199</v>
      </c>
      <c r="B595" s="513">
        <v>225503.8</v>
      </c>
      <c r="C595" s="537"/>
      <c r="D595" s="513"/>
      <c r="K595" s="744"/>
      <c r="L595" s="247"/>
    </row>
    <row r="596" spans="1:12" x14ac:dyDescent="0.2">
      <c r="A596" s="537">
        <v>43200</v>
      </c>
      <c r="B596" s="513">
        <v>227389.96</v>
      </c>
      <c r="C596" s="537"/>
      <c r="D596" s="513"/>
      <c r="K596" s="744"/>
      <c r="L596" s="247"/>
    </row>
    <row r="597" spans="1:12" x14ac:dyDescent="0.2">
      <c r="A597" s="537">
        <v>43201</v>
      </c>
      <c r="B597" s="513">
        <v>235472.53</v>
      </c>
      <c r="C597" s="537"/>
      <c r="D597" s="513"/>
      <c r="K597" s="744"/>
      <c r="L597" s="247"/>
    </row>
    <row r="598" spans="1:12" x14ac:dyDescent="0.2">
      <c r="A598" s="537">
        <v>43202</v>
      </c>
      <c r="B598" s="513">
        <v>222207.84</v>
      </c>
      <c r="C598" s="537"/>
      <c r="D598" s="513"/>
      <c r="K598" s="744"/>
      <c r="L598" s="247"/>
    </row>
    <row r="599" spans="1:12" x14ac:dyDescent="0.2">
      <c r="A599" s="537">
        <v>43203</v>
      </c>
      <c r="B599" s="513">
        <v>222287.93</v>
      </c>
      <c r="C599" s="537"/>
      <c r="D599" s="513"/>
      <c r="K599" s="744"/>
      <c r="L599" s="247"/>
    </row>
    <row r="600" spans="1:12" x14ac:dyDescent="0.2">
      <c r="A600" s="537">
        <v>43206</v>
      </c>
      <c r="B600" s="513">
        <v>186664.28</v>
      </c>
      <c r="C600" s="537"/>
      <c r="D600" s="513"/>
      <c r="K600" s="744"/>
      <c r="L600" s="247"/>
    </row>
    <row r="601" spans="1:12" x14ac:dyDescent="0.2">
      <c r="A601" s="537">
        <v>43207</v>
      </c>
      <c r="B601" s="513">
        <v>188484.95</v>
      </c>
      <c r="C601" s="537"/>
      <c r="D601" s="513"/>
      <c r="K601" s="744"/>
      <c r="L601" s="247"/>
    </row>
    <row r="602" spans="1:12" x14ac:dyDescent="0.2">
      <c r="A602" s="537">
        <v>43208</v>
      </c>
      <c r="B602" s="513">
        <v>188485</v>
      </c>
      <c r="C602" s="537"/>
      <c r="D602" s="513"/>
      <c r="K602" s="744"/>
      <c r="L602" s="247"/>
    </row>
    <row r="603" spans="1:12" x14ac:dyDescent="0.2">
      <c r="A603" s="537">
        <v>43209</v>
      </c>
      <c r="B603" s="513">
        <v>180474.73</v>
      </c>
      <c r="C603" s="537"/>
      <c r="D603" s="513"/>
      <c r="K603" s="744"/>
      <c r="L603" s="247"/>
    </row>
    <row r="604" spans="1:12" x14ac:dyDescent="0.2">
      <c r="A604" s="537">
        <v>43210</v>
      </c>
      <c r="B604" s="513">
        <v>188207.38</v>
      </c>
      <c r="C604" s="537"/>
      <c r="D604" s="513"/>
      <c r="K604" s="744"/>
      <c r="L604" s="247"/>
    </row>
    <row r="605" spans="1:12" x14ac:dyDescent="0.2">
      <c r="A605" s="537">
        <v>43213</v>
      </c>
      <c r="B605" s="513">
        <v>198618.83</v>
      </c>
      <c r="C605" s="537"/>
      <c r="D605" s="513"/>
      <c r="K605" s="744"/>
      <c r="L605" s="247"/>
    </row>
    <row r="606" spans="1:12" x14ac:dyDescent="0.2">
      <c r="A606" s="537">
        <v>43214</v>
      </c>
      <c r="B606" s="513">
        <v>198619</v>
      </c>
      <c r="C606" s="537"/>
      <c r="D606" s="513"/>
      <c r="K606" s="744"/>
      <c r="L606" s="247"/>
    </row>
    <row r="607" spans="1:12" x14ac:dyDescent="0.2">
      <c r="A607" s="537">
        <v>43215</v>
      </c>
      <c r="B607" s="513">
        <v>198619</v>
      </c>
      <c r="C607" s="537"/>
      <c r="D607" s="513"/>
      <c r="K607" s="744"/>
      <c r="L607" s="247"/>
    </row>
    <row r="608" spans="1:12" x14ac:dyDescent="0.2">
      <c r="A608" s="537">
        <v>43216</v>
      </c>
      <c r="B608" s="513">
        <v>189089.55</v>
      </c>
      <c r="C608" s="537"/>
      <c r="D608" s="513"/>
      <c r="K608" s="744"/>
      <c r="L608" s="247"/>
    </row>
    <row r="609" spans="1:12" x14ac:dyDescent="0.2">
      <c r="A609" s="537">
        <v>43217</v>
      </c>
      <c r="B609" s="513">
        <v>216053.77</v>
      </c>
      <c r="C609" s="537"/>
      <c r="D609" s="513"/>
      <c r="K609" s="744"/>
      <c r="L609" s="247"/>
    </row>
    <row r="610" spans="1:12" x14ac:dyDescent="0.2">
      <c r="A610" s="537">
        <v>43220</v>
      </c>
      <c r="B610" s="513">
        <v>179849.52</v>
      </c>
      <c r="C610" s="537"/>
      <c r="D610" s="513"/>
      <c r="K610" s="744"/>
      <c r="L610" s="247"/>
    </row>
    <row r="611" spans="1:12" x14ac:dyDescent="0.2">
      <c r="A611" s="537">
        <v>43221</v>
      </c>
      <c r="B611" s="513">
        <v>179850</v>
      </c>
      <c r="C611" s="537"/>
      <c r="D611" s="513"/>
      <c r="K611" s="744"/>
      <c r="L611" s="247"/>
    </row>
    <row r="612" spans="1:12" x14ac:dyDescent="0.2">
      <c r="A612" s="537">
        <v>43222</v>
      </c>
      <c r="B612" s="513">
        <v>173749.01</v>
      </c>
      <c r="C612" s="537"/>
      <c r="D612" s="513"/>
      <c r="K612" s="744"/>
      <c r="L612" s="247"/>
    </row>
    <row r="613" spans="1:12" x14ac:dyDescent="0.2">
      <c r="A613" s="537">
        <v>43223</v>
      </c>
      <c r="B613" s="513">
        <v>200792.85</v>
      </c>
      <c r="C613" s="537"/>
      <c r="D613" s="513"/>
      <c r="K613" s="744"/>
      <c r="L613" s="247"/>
    </row>
    <row r="614" spans="1:12" x14ac:dyDescent="0.2">
      <c r="A614" s="537">
        <v>43224</v>
      </c>
      <c r="B614" s="513">
        <v>202331.91</v>
      </c>
      <c r="C614" s="537"/>
      <c r="D614" s="513"/>
      <c r="K614" s="744"/>
      <c r="L614" s="247"/>
    </row>
    <row r="615" spans="1:12" x14ac:dyDescent="0.2">
      <c r="A615" s="537">
        <v>43227</v>
      </c>
      <c r="B615" s="513">
        <v>203517.87</v>
      </c>
      <c r="C615" s="537"/>
      <c r="D615" s="513"/>
      <c r="K615" s="744"/>
      <c r="L615" s="247"/>
    </row>
    <row r="616" spans="1:12" x14ac:dyDescent="0.2">
      <c r="A616" s="537">
        <v>43228</v>
      </c>
      <c r="B616" s="513">
        <v>203518</v>
      </c>
      <c r="C616" s="537"/>
      <c r="D616" s="513"/>
      <c r="L616" s="247"/>
    </row>
    <row r="617" spans="1:12" x14ac:dyDescent="0.2">
      <c r="A617" s="537">
        <v>43229</v>
      </c>
      <c r="B617" s="513">
        <v>203518</v>
      </c>
      <c r="C617" s="537"/>
      <c r="D617" s="513"/>
      <c r="L617" s="247"/>
    </row>
    <row r="618" spans="1:12" x14ac:dyDescent="0.2">
      <c r="A618" s="537">
        <v>43230</v>
      </c>
      <c r="B618" s="513">
        <v>191114.58</v>
      </c>
      <c r="C618" s="537"/>
      <c r="D618" s="513"/>
      <c r="L618" s="247"/>
    </row>
    <row r="619" spans="1:12" x14ac:dyDescent="0.2">
      <c r="A619" s="537">
        <v>43231</v>
      </c>
      <c r="B619" s="575">
        <v>153114.57999999999</v>
      </c>
      <c r="C619" s="537"/>
      <c r="D619" s="513"/>
      <c r="L619" s="247"/>
    </row>
    <row r="620" spans="1:12" x14ac:dyDescent="0.2">
      <c r="A620" s="537">
        <v>43234</v>
      </c>
      <c r="B620" s="575">
        <v>153115</v>
      </c>
      <c r="C620" s="537"/>
      <c r="D620" s="513"/>
      <c r="L620" s="247"/>
    </row>
    <row r="621" spans="1:12" x14ac:dyDescent="0.2">
      <c r="A621" s="537">
        <v>43235</v>
      </c>
      <c r="B621" s="513">
        <v>182792.08</v>
      </c>
      <c r="C621" s="537"/>
      <c r="D621" s="513"/>
      <c r="L621" s="247"/>
    </row>
    <row r="622" spans="1:12" x14ac:dyDescent="0.2">
      <c r="A622" s="537">
        <v>43236</v>
      </c>
      <c r="B622" s="513">
        <v>182792</v>
      </c>
      <c r="C622" s="537"/>
      <c r="D622" s="513"/>
      <c r="L622" s="247"/>
    </row>
    <row r="623" spans="1:12" x14ac:dyDescent="0.2">
      <c r="A623" s="537">
        <v>43237</v>
      </c>
      <c r="B623" s="513">
        <v>222152.66</v>
      </c>
      <c r="C623" s="537"/>
      <c r="D623" s="513"/>
      <c r="L623" s="247"/>
    </row>
    <row r="624" spans="1:12" x14ac:dyDescent="0.2">
      <c r="A624" s="537">
        <v>43238</v>
      </c>
      <c r="B624" s="513">
        <v>222153</v>
      </c>
      <c r="C624" s="537"/>
      <c r="D624" s="513"/>
      <c r="L624" s="247"/>
    </row>
    <row r="625" spans="1:12" x14ac:dyDescent="0.2">
      <c r="A625" s="537">
        <v>43241</v>
      </c>
      <c r="B625" s="513">
        <v>222153</v>
      </c>
      <c r="C625" s="537"/>
      <c r="D625" s="513"/>
      <c r="L625" s="247"/>
    </row>
    <row r="626" spans="1:12" x14ac:dyDescent="0.2">
      <c r="A626" s="537">
        <v>43242</v>
      </c>
      <c r="B626" s="513">
        <v>222153</v>
      </c>
      <c r="C626" s="537"/>
      <c r="D626" s="513"/>
      <c r="L626" s="247"/>
    </row>
    <row r="627" spans="1:12" x14ac:dyDescent="0.2">
      <c r="A627" s="537">
        <v>43243</v>
      </c>
      <c r="B627" s="513">
        <v>222152</v>
      </c>
      <c r="C627" s="537"/>
      <c r="D627" s="513"/>
      <c r="L627" s="247"/>
    </row>
    <row r="628" spans="1:12" x14ac:dyDescent="0.2">
      <c r="A628" s="537">
        <v>43244</v>
      </c>
      <c r="B628" s="513">
        <v>211720.43</v>
      </c>
      <c r="C628" s="537"/>
      <c r="D628" s="513"/>
    </row>
    <row r="629" spans="1:12" x14ac:dyDescent="0.2">
      <c r="A629" s="537">
        <v>43245</v>
      </c>
      <c r="B629" s="513">
        <v>211720</v>
      </c>
      <c r="C629" s="537"/>
      <c r="D629" s="513"/>
    </row>
    <row r="630" spans="1:12" x14ac:dyDescent="0.2">
      <c r="A630" s="537">
        <v>43248</v>
      </c>
      <c r="B630" s="513">
        <v>211720</v>
      </c>
      <c r="C630" s="537"/>
      <c r="D630" s="513"/>
    </row>
    <row r="631" spans="1:12" x14ac:dyDescent="0.2">
      <c r="A631" s="537">
        <v>43249</v>
      </c>
      <c r="B631" s="513">
        <v>176327.95</v>
      </c>
      <c r="C631" s="537"/>
      <c r="D631" s="513"/>
    </row>
    <row r="632" spans="1:12" x14ac:dyDescent="0.2">
      <c r="A632" s="537">
        <v>43250</v>
      </c>
      <c r="B632" s="513">
        <v>176328</v>
      </c>
      <c r="C632" s="537"/>
      <c r="D632" s="513"/>
    </row>
    <row r="633" spans="1:12" x14ac:dyDescent="0.2">
      <c r="A633" s="537">
        <v>43251</v>
      </c>
      <c r="B633" s="513">
        <v>169004.5</v>
      </c>
      <c r="C633" s="537"/>
      <c r="D633" s="513"/>
    </row>
    <row r="634" spans="1:12" x14ac:dyDescent="0.2">
      <c r="A634" s="537">
        <v>43252</v>
      </c>
      <c r="B634" s="513">
        <v>261992.26</v>
      </c>
      <c r="C634" s="537"/>
      <c r="D634" s="513"/>
    </row>
    <row r="635" spans="1:12" x14ac:dyDescent="0.2">
      <c r="A635" s="537">
        <v>43255</v>
      </c>
      <c r="B635" s="513">
        <v>270521.09000000003</v>
      </c>
      <c r="C635" s="537"/>
      <c r="D635" s="513"/>
    </row>
    <row r="636" spans="1:12" x14ac:dyDescent="0.2">
      <c r="A636" s="537">
        <v>43256</v>
      </c>
      <c r="B636" s="513">
        <v>285365.09000000003</v>
      </c>
      <c r="C636" s="537"/>
      <c r="D636" s="513"/>
    </row>
    <row r="637" spans="1:12" x14ac:dyDescent="0.2">
      <c r="A637" s="537">
        <v>43257</v>
      </c>
      <c r="B637" s="513">
        <v>285365</v>
      </c>
      <c r="C637" s="537"/>
      <c r="D637" s="513"/>
    </row>
    <row r="638" spans="1:12" x14ac:dyDescent="0.2">
      <c r="A638" s="537">
        <v>43258</v>
      </c>
      <c r="B638" s="513">
        <v>287246.65999999997</v>
      </c>
      <c r="C638" s="537"/>
      <c r="D638" s="513"/>
    </row>
    <row r="639" spans="1:12" x14ac:dyDescent="0.2">
      <c r="A639" s="537">
        <v>43259</v>
      </c>
      <c r="B639" s="513">
        <v>287247</v>
      </c>
      <c r="C639" s="537"/>
      <c r="D639" s="513"/>
    </row>
    <row r="640" spans="1:12" x14ac:dyDescent="0.2">
      <c r="A640" s="537">
        <v>43262</v>
      </c>
      <c r="B640" s="513">
        <v>287247</v>
      </c>
      <c r="C640" s="537"/>
      <c r="D640" s="513"/>
    </row>
    <row r="641" spans="1:4" x14ac:dyDescent="0.2">
      <c r="A641" s="537">
        <v>43263</v>
      </c>
      <c r="B641" s="513">
        <v>253042.79</v>
      </c>
      <c r="C641" s="537"/>
      <c r="D641" s="513"/>
    </row>
    <row r="642" spans="1:4" x14ac:dyDescent="0.2">
      <c r="A642" s="537">
        <v>43264</v>
      </c>
      <c r="B642" s="513">
        <v>253043</v>
      </c>
      <c r="C642" s="537"/>
      <c r="D642" s="513"/>
    </row>
    <row r="643" spans="1:4" x14ac:dyDescent="0.2">
      <c r="A643" s="537">
        <v>43265</v>
      </c>
      <c r="B643" s="513">
        <v>246521.36</v>
      </c>
      <c r="C643" s="537"/>
      <c r="D643" s="513"/>
    </row>
    <row r="644" spans="1:4" x14ac:dyDescent="0.2">
      <c r="A644" s="537">
        <v>43266</v>
      </c>
      <c r="B644" s="513">
        <v>246593.56</v>
      </c>
      <c r="C644" s="537"/>
      <c r="D644" s="513"/>
    </row>
    <row r="645" spans="1:4" x14ac:dyDescent="0.2">
      <c r="A645" s="537">
        <v>43269</v>
      </c>
      <c r="B645" s="513">
        <v>246594</v>
      </c>
      <c r="C645" s="537"/>
      <c r="D645" s="513"/>
    </row>
    <row r="646" spans="1:4" x14ac:dyDescent="0.2">
      <c r="A646" s="537">
        <v>43270</v>
      </c>
      <c r="B646" s="513">
        <v>246594</v>
      </c>
      <c r="C646" s="537"/>
      <c r="D646" s="513"/>
    </row>
    <row r="647" spans="1:4" x14ac:dyDescent="0.2">
      <c r="A647" s="537">
        <v>43271</v>
      </c>
      <c r="B647" s="513">
        <v>246594</v>
      </c>
      <c r="C647" s="537"/>
      <c r="D647" s="513"/>
    </row>
    <row r="648" spans="1:4" x14ac:dyDescent="0.2">
      <c r="A648" s="537">
        <v>43272</v>
      </c>
      <c r="B648" s="513">
        <v>228395.48</v>
      </c>
      <c r="C648" s="537"/>
      <c r="D648" s="513"/>
    </row>
    <row r="649" spans="1:4" x14ac:dyDescent="0.2">
      <c r="A649" s="537">
        <v>43273</v>
      </c>
      <c r="B649" s="513">
        <v>228395</v>
      </c>
      <c r="C649" s="537"/>
      <c r="D649" s="513"/>
    </row>
    <row r="650" spans="1:4" x14ac:dyDescent="0.2">
      <c r="A650" s="537">
        <v>43276</v>
      </c>
      <c r="B650" s="513">
        <v>192627.9</v>
      </c>
      <c r="C650" s="537"/>
      <c r="D650" s="513"/>
    </row>
    <row r="651" spans="1:4" x14ac:dyDescent="0.2">
      <c r="A651" s="537">
        <v>43277</v>
      </c>
      <c r="B651" s="513">
        <v>192628</v>
      </c>
      <c r="C651" s="537"/>
      <c r="D651" s="513"/>
    </row>
    <row r="652" spans="1:4" x14ac:dyDescent="0.2">
      <c r="A652" s="537">
        <v>43278</v>
      </c>
      <c r="B652" s="513">
        <v>192628</v>
      </c>
      <c r="C652" s="537"/>
      <c r="D652" s="513"/>
    </row>
    <row r="653" spans="1:4" x14ac:dyDescent="0.2">
      <c r="A653" s="537">
        <v>43279</v>
      </c>
      <c r="B653" s="513">
        <v>193904.61</v>
      </c>
      <c r="C653" s="537"/>
      <c r="D653" s="513"/>
    </row>
    <row r="654" spans="1:4" x14ac:dyDescent="0.2">
      <c r="A654" s="537">
        <v>43280</v>
      </c>
      <c r="B654" s="513">
        <v>195328.48</v>
      </c>
      <c r="C654" s="537"/>
      <c r="D654" s="513"/>
    </row>
    <row r="655" spans="1:4" x14ac:dyDescent="0.2">
      <c r="A655" s="537">
        <v>43283</v>
      </c>
      <c r="B655" s="513">
        <v>199304.09</v>
      </c>
      <c r="C655" s="537"/>
      <c r="D655" s="513"/>
    </row>
    <row r="656" spans="1:4" x14ac:dyDescent="0.2">
      <c r="A656" s="537">
        <v>43284</v>
      </c>
      <c r="B656" s="513">
        <v>201071.11</v>
      </c>
      <c r="C656" s="537"/>
      <c r="D656" s="513"/>
    </row>
    <row r="657" spans="1:4" x14ac:dyDescent="0.2">
      <c r="A657" s="537">
        <v>43285</v>
      </c>
      <c r="B657" s="513">
        <v>201071</v>
      </c>
      <c r="C657" s="537"/>
      <c r="D657" s="513"/>
    </row>
    <row r="658" spans="1:4" x14ac:dyDescent="0.2">
      <c r="A658" s="537">
        <v>43286</v>
      </c>
      <c r="B658" s="513">
        <v>223298.16</v>
      </c>
      <c r="C658" s="537"/>
      <c r="D658" s="513"/>
    </row>
    <row r="659" spans="1:4" x14ac:dyDescent="0.2">
      <c r="A659" s="537">
        <v>43287</v>
      </c>
      <c r="B659" s="513">
        <v>238962.66</v>
      </c>
      <c r="C659" s="537"/>
      <c r="D659" s="513"/>
    </row>
    <row r="660" spans="1:4" x14ac:dyDescent="0.2">
      <c r="A660" s="537">
        <v>43290</v>
      </c>
      <c r="B660" s="513">
        <v>203086.22</v>
      </c>
      <c r="C660" s="537"/>
      <c r="D660" s="513"/>
    </row>
    <row r="661" spans="1:4" x14ac:dyDescent="0.2">
      <c r="A661" s="537">
        <v>43291</v>
      </c>
      <c r="B661" s="513">
        <v>226930.31</v>
      </c>
      <c r="C661" s="537"/>
      <c r="D661" s="513"/>
    </row>
    <row r="662" spans="1:4" x14ac:dyDescent="0.2">
      <c r="A662" s="537">
        <v>43292</v>
      </c>
      <c r="B662" s="513">
        <v>226930</v>
      </c>
      <c r="C662" s="537"/>
      <c r="D662" s="513"/>
    </row>
    <row r="663" spans="1:4" x14ac:dyDescent="0.2">
      <c r="A663" s="537">
        <v>43293</v>
      </c>
      <c r="B663" s="513">
        <v>220822.05</v>
      </c>
      <c r="C663" s="537"/>
      <c r="D663" s="513"/>
    </row>
    <row r="664" spans="1:4" x14ac:dyDescent="0.2">
      <c r="A664" s="537">
        <v>43294</v>
      </c>
      <c r="B664" s="513">
        <v>220986.35</v>
      </c>
      <c r="C664" s="537"/>
      <c r="D664" s="513"/>
    </row>
    <row r="665" spans="1:4" x14ac:dyDescent="0.2">
      <c r="A665" s="537">
        <v>43297</v>
      </c>
      <c r="B665" s="513">
        <v>220986</v>
      </c>
      <c r="C665" s="537"/>
      <c r="D665" s="513"/>
    </row>
    <row r="666" spans="1:4" x14ac:dyDescent="0.2">
      <c r="A666" s="537">
        <v>43298</v>
      </c>
      <c r="B666" s="513">
        <v>220986</v>
      </c>
      <c r="C666" s="537"/>
      <c r="D666" s="513"/>
    </row>
    <row r="667" spans="1:4" x14ac:dyDescent="0.2">
      <c r="A667" s="537">
        <v>43299</v>
      </c>
      <c r="B667" s="513">
        <v>197995.27</v>
      </c>
      <c r="C667" s="537"/>
      <c r="D667" s="513"/>
    </row>
    <row r="668" spans="1:4" x14ac:dyDescent="0.2">
      <c r="A668" s="537">
        <v>43300</v>
      </c>
      <c r="B668" s="513">
        <v>202931.61</v>
      </c>
      <c r="C668" s="537"/>
      <c r="D668" s="513"/>
    </row>
    <row r="669" spans="1:4" x14ac:dyDescent="0.2">
      <c r="A669" s="537">
        <v>43301</v>
      </c>
      <c r="B669" s="513">
        <v>202932</v>
      </c>
      <c r="C669" s="537"/>
      <c r="D669" s="513"/>
    </row>
    <row r="670" spans="1:4" x14ac:dyDescent="0.2">
      <c r="A670" s="537">
        <v>43304</v>
      </c>
      <c r="B670" s="513">
        <v>167839.6</v>
      </c>
      <c r="C670" s="537"/>
      <c r="D670" s="513"/>
    </row>
    <row r="671" spans="1:4" x14ac:dyDescent="0.2">
      <c r="A671" s="537">
        <v>43305</v>
      </c>
      <c r="B671" s="513">
        <v>167840</v>
      </c>
      <c r="C671" s="537"/>
      <c r="D671" s="513"/>
    </row>
    <row r="672" spans="1:4" x14ac:dyDescent="0.2">
      <c r="A672" s="537">
        <v>43306</v>
      </c>
      <c r="B672" s="513">
        <v>167840</v>
      </c>
      <c r="C672" s="537"/>
      <c r="D672" s="513"/>
    </row>
    <row r="673" spans="1:4" x14ac:dyDescent="0.2">
      <c r="A673" s="537">
        <v>43307</v>
      </c>
      <c r="B673" s="513">
        <v>180485.58</v>
      </c>
      <c r="C673" s="537"/>
      <c r="D673" s="513"/>
    </row>
    <row r="674" spans="1:4" x14ac:dyDescent="0.2">
      <c r="A674" s="537">
        <v>43308</v>
      </c>
      <c r="B674" s="513">
        <v>205676.09</v>
      </c>
      <c r="C674" s="537"/>
      <c r="D674" s="513"/>
    </row>
    <row r="675" spans="1:4" x14ac:dyDescent="0.2">
      <c r="A675" s="537">
        <v>43311</v>
      </c>
      <c r="B675" s="513">
        <v>199229.46</v>
      </c>
      <c r="C675" s="537"/>
      <c r="D675" s="513"/>
    </row>
    <row r="676" spans="1:4" x14ac:dyDescent="0.2">
      <c r="A676" s="537">
        <v>43312</v>
      </c>
      <c r="B676" s="513">
        <v>199612.46</v>
      </c>
      <c r="C676" s="537"/>
      <c r="D676" s="513"/>
    </row>
    <row r="677" spans="1:4" x14ac:dyDescent="0.2">
      <c r="A677" s="537">
        <v>43313</v>
      </c>
      <c r="B677" s="513">
        <v>327321.84000000003</v>
      </c>
      <c r="C677" s="537"/>
      <c r="D677" s="513"/>
    </row>
    <row r="678" spans="1:4" x14ac:dyDescent="0.2">
      <c r="A678" s="537">
        <v>43314</v>
      </c>
      <c r="B678" s="513">
        <v>328551.67</v>
      </c>
      <c r="C678" s="537"/>
      <c r="D678" s="513"/>
    </row>
    <row r="679" spans="1:4" x14ac:dyDescent="0.2">
      <c r="A679" s="537">
        <v>43315</v>
      </c>
      <c r="B679" s="513">
        <v>328552</v>
      </c>
      <c r="C679" s="537"/>
      <c r="D679" s="513"/>
    </row>
    <row r="680" spans="1:4" x14ac:dyDescent="0.2">
      <c r="A680" s="537">
        <v>43318</v>
      </c>
      <c r="B680" s="513">
        <v>293600.95</v>
      </c>
      <c r="C680" s="537"/>
      <c r="D680" s="513"/>
    </row>
    <row r="681" spans="1:4" x14ac:dyDescent="0.2">
      <c r="A681" s="537">
        <v>43319</v>
      </c>
      <c r="B681" s="513">
        <v>298153.56</v>
      </c>
      <c r="C681" s="537"/>
      <c r="D681" s="513"/>
    </row>
    <row r="682" spans="1:4" x14ac:dyDescent="0.2">
      <c r="A682" s="537">
        <v>43320</v>
      </c>
      <c r="B682" s="513">
        <v>298154</v>
      </c>
      <c r="C682" s="537"/>
      <c r="D682" s="513"/>
    </row>
    <row r="683" spans="1:4" x14ac:dyDescent="0.2">
      <c r="A683" s="537">
        <v>43321</v>
      </c>
      <c r="B683" s="513">
        <v>294180.65999999997</v>
      </c>
      <c r="C683" s="537"/>
      <c r="D683" s="513"/>
    </row>
    <row r="684" spans="1:4" x14ac:dyDescent="0.2">
      <c r="A684" s="537">
        <v>43322</v>
      </c>
      <c r="B684" s="513">
        <v>294181</v>
      </c>
      <c r="C684" s="537"/>
      <c r="D684" s="513"/>
    </row>
    <row r="685" spans="1:4" x14ac:dyDescent="0.2">
      <c r="A685" s="537">
        <v>43325</v>
      </c>
      <c r="B685" s="513">
        <v>294679.65999999997</v>
      </c>
      <c r="C685" s="537"/>
      <c r="D685" s="513"/>
    </row>
    <row r="686" spans="1:4" x14ac:dyDescent="0.2">
      <c r="A686" s="537">
        <v>43326</v>
      </c>
      <c r="B686" s="513">
        <v>294680</v>
      </c>
      <c r="C686" s="537"/>
      <c r="D686" s="513"/>
    </row>
    <row r="687" spans="1:4" x14ac:dyDescent="0.2">
      <c r="A687" s="537">
        <v>43327</v>
      </c>
      <c r="B687" s="513">
        <v>294761.65000000002</v>
      </c>
      <c r="C687" s="537"/>
      <c r="D687" s="513"/>
    </row>
    <row r="688" spans="1:4" x14ac:dyDescent="0.2">
      <c r="A688" s="537">
        <v>43328</v>
      </c>
      <c r="B688" s="513">
        <v>290632.52</v>
      </c>
      <c r="C688" s="537"/>
      <c r="D688" s="513"/>
    </row>
    <row r="689" spans="1:4" x14ac:dyDescent="0.2">
      <c r="A689" s="537">
        <v>43329</v>
      </c>
      <c r="B689" s="513">
        <v>290633</v>
      </c>
      <c r="C689" s="537"/>
      <c r="D689" s="513"/>
    </row>
    <row r="690" spans="1:4" x14ac:dyDescent="0.2">
      <c r="A690" s="537">
        <v>43332</v>
      </c>
      <c r="B690" s="513">
        <v>254427.11</v>
      </c>
      <c r="C690" s="537"/>
      <c r="D690" s="513"/>
    </row>
    <row r="691" spans="1:4" x14ac:dyDescent="0.2">
      <c r="A691" s="537">
        <v>43333</v>
      </c>
      <c r="B691" s="513">
        <v>255823.93</v>
      </c>
      <c r="C691" s="537"/>
      <c r="D691" s="513"/>
    </row>
    <row r="692" spans="1:4" x14ac:dyDescent="0.2">
      <c r="A692" s="537">
        <v>43334</v>
      </c>
      <c r="B692" s="513">
        <v>255419.13</v>
      </c>
      <c r="C692" s="537"/>
      <c r="D692" s="513"/>
    </row>
    <row r="693" spans="1:4" x14ac:dyDescent="0.2">
      <c r="A693" s="537">
        <v>43335</v>
      </c>
      <c r="B693" s="513">
        <v>272759.37</v>
      </c>
      <c r="C693" s="537"/>
      <c r="D693" s="513"/>
    </row>
    <row r="694" spans="1:4" x14ac:dyDescent="0.2">
      <c r="A694" s="537">
        <v>43336</v>
      </c>
      <c r="B694" s="513">
        <v>272846.37</v>
      </c>
      <c r="C694" s="537"/>
      <c r="D694" s="513"/>
    </row>
    <row r="695" spans="1:4" x14ac:dyDescent="0.2">
      <c r="A695" s="537">
        <v>43339</v>
      </c>
      <c r="B695" s="513">
        <v>272846</v>
      </c>
      <c r="C695" s="537"/>
      <c r="D695" s="513"/>
    </row>
    <row r="696" spans="1:4" x14ac:dyDescent="0.2">
      <c r="A696" s="537">
        <v>43340</v>
      </c>
      <c r="B696" s="513">
        <v>272846</v>
      </c>
      <c r="C696" s="537"/>
      <c r="D696" s="513"/>
    </row>
    <row r="697" spans="1:4" x14ac:dyDescent="0.2">
      <c r="A697" s="537">
        <v>43341</v>
      </c>
      <c r="B697" s="513">
        <v>276622.58</v>
      </c>
      <c r="C697" s="537"/>
      <c r="D697" s="513"/>
    </row>
    <row r="698" spans="1:4" x14ac:dyDescent="0.2">
      <c r="A698" s="537">
        <v>43342</v>
      </c>
      <c r="B698" s="513">
        <v>276623</v>
      </c>
      <c r="C698" s="537"/>
      <c r="D698" s="513"/>
    </row>
    <row r="699" spans="1:4" x14ac:dyDescent="0.2">
      <c r="A699" s="537">
        <v>43343</v>
      </c>
      <c r="B699" s="513">
        <v>276773.33</v>
      </c>
      <c r="C699" s="537"/>
      <c r="D699" s="513"/>
    </row>
    <row r="700" spans="1:4" x14ac:dyDescent="0.2">
      <c r="A700" s="537">
        <v>43346</v>
      </c>
      <c r="B700" s="513">
        <v>276773</v>
      </c>
      <c r="C700" s="537"/>
      <c r="D700" s="513"/>
    </row>
    <row r="701" spans="1:4" x14ac:dyDescent="0.2">
      <c r="A701" s="537">
        <v>43347</v>
      </c>
      <c r="B701" s="513">
        <v>240090.56</v>
      </c>
      <c r="C701" s="537"/>
      <c r="D701" s="513"/>
    </row>
    <row r="702" spans="1:4" x14ac:dyDescent="0.2">
      <c r="A702" s="537">
        <v>43348</v>
      </c>
      <c r="B702" s="513">
        <v>240091</v>
      </c>
      <c r="C702" s="537"/>
      <c r="D702" s="513"/>
    </row>
    <row r="703" spans="1:4" x14ac:dyDescent="0.2">
      <c r="A703" s="537">
        <v>43349</v>
      </c>
      <c r="B703" s="513">
        <v>237779.31</v>
      </c>
      <c r="C703" s="537"/>
      <c r="D703" s="513"/>
    </row>
    <row r="704" spans="1:4" x14ac:dyDescent="0.2">
      <c r="A704" s="537">
        <v>43350</v>
      </c>
      <c r="B704" s="513">
        <v>237779</v>
      </c>
      <c r="C704" s="537"/>
      <c r="D704" s="513"/>
    </row>
    <row r="705" spans="1:4" x14ac:dyDescent="0.2">
      <c r="A705" s="537">
        <v>43353</v>
      </c>
      <c r="B705" s="513">
        <v>243552.34</v>
      </c>
      <c r="C705" s="537"/>
      <c r="D705" s="513"/>
    </row>
    <row r="706" spans="1:4" x14ac:dyDescent="0.2">
      <c r="A706" s="537">
        <v>43354</v>
      </c>
      <c r="B706" s="513">
        <v>243552</v>
      </c>
      <c r="C706" s="537"/>
      <c r="D706" s="513"/>
    </row>
    <row r="707" spans="1:4" x14ac:dyDescent="0.2">
      <c r="A707" s="537">
        <v>43355</v>
      </c>
      <c r="B707" s="513">
        <v>243552</v>
      </c>
      <c r="C707" s="537"/>
      <c r="D707" s="513"/>
    </row>
    <row r="708" spans="1:4" x14ac:dyDescent="0.2">
      <c r="A708" s="537">
        <v>43356</v>
      </c>
      <c r="B708" s="513">
        <v>266009.96000000002</v>
      </c>
      <c r="C708" s="537"/>
      <c r="D708" s="513"/>
    </row>
    <row r="709" spans="1:4" x14ac:dyDescent="0.2">
      <c r="A709" s="537">
        <v>43357</v>
      </c>
      <c r="B709" s="513">
        <v>266087.59999999998</v>
      </c>
      <c r="C709" s="537"/>
      <c r="D709" s="513"/>
    </row>
    <row r="710" spans="1:4" x14ac:dyDescent="0.2">
      <c r="A710" s="537">
        <v>43360</v>
      </c>
      <c r="B710" s="513">
        <v>229939.6</v>
      </c>
      <c r="C710" s="537"/>
      <c r="D710" s="513"/>
    </row>
    <row r="711" spans="1:4" x14ac:dyDescent="0.2">
      <c r="A711" s="537">
        <v>43361</v>
      </c>
      <c r="B711" s="513">
        <v>229940</v>
      </c>
      <c r="C711" s="537"/>
      <c r="D711" s="513"/>
    </row>
    <row r="712" spans="1:4" x14ac:dyDescent="0.2">
      <c r="A712" s="537">
        <v>43362</v>
      </c>
      <c r="B712" s="513">
        <v>229940</v>
      </c>
      <c r="C712" s="537"/>
      <c r="D712" s="513"/>
    </row>
    <row r="713" spans="1:4" x14ac:dyDescent="0.2">
      <c r="A713" s="537">
        <v>43363</v>
      </c>
      <c r="B713" s="513">
        <v>226983.82</v>
      </c>
      <c r="C713" s="537"/>
      <c r="D713" s="513"/>
    </row>
    <row r="714" spans="1:4" x14ac:dyDescent="0.2">
      <c r="A714" s="537">
        <v>43364</v>
      </c>
      <c r="B714" s="513">
        <v>226983.82</v>
      </c>
      <c r="C714" s="537"/>
      <c r="D714" s="513"/>
    </row>
    <row r="715" spans="1:4" x14ac:dyDescent="0.2">
      <c r="A715" s="537">
        <v>43367</v>
      </c>
      <c r="B715" s="513">
        <v>231167.41</v>
      </c>
      <c r="C715" s="537"/>
      <c r="D715" s="513"/>
    </row>
    <row r="716" spans="1:4" x14ac:dyDescent="0.2">
      <c r="A716" s="537">
        <v>43368</v>
      </c>
      <c r="B716" s="513">
        <v>231298.26</v>
      </c>
      <c r="C716" s="537"/>
      <c r="D716" s="513"/>
    </row>
    <row r="717" spans="1:4" x14ac:dyDescent="0.2">
      <c r="A717" s="537">
        <v>43369</v>
      </c>
      <c r="B717" s="513">
        <v>231298</v>
      </c>
      <c r="C717" s="537"/>
      <c r="D717" s="513"/>
    </row>
    <row r="718" spans="1:4" x14ac:dyDescent="0.2">
      <c r="A718" s="537">
        <v>43370</v>
      </c>
      <c r="B718" s="513">
        <v>218195.44</v>
      </c>
      <c r="C718" s="537"/>
      <c r="D718" s="513"/>
    </row>
    <row r="719" spans="1:4" x14ac:dyDescent="0.2">
      <c r="A719" s="537">
        <v>43371</v>
      </c>
      <c r="B719" s="513">
        <v>218195</v>
      </c>
      <c r="C719" s="537"/>
      <c r="D719" s="513"/>
    </row>
    <row r="720" spans="1:4" x14ac:dyDescent="0.2">
      <c r="A720" s="537">
        <v>43374</v>
      </c>
      <c r="B720" s="513">
        <v>181738.47</v>
      </c>
      <c r="C720" s="537"/>
      <c r="D720" s="513"/>
    </row>
    <row r="721" spans="1:4" x14ac:dyDescent="0.2">
      <c r="A721" s="537">
        <v>43375</v>
      </c>
      <c r="B721" s="513">
        <v>175674.86</v>
      </c>
      <c r="C721" s="537"/>
      <c r="D721" s="513"/>
    </row>
    <row r="722" spans="1:4" x14ac:dyDescent="0.2">
      <c r="A722" s="537">
        <v>43376</v>
      </c>
      <c r="B722" s="513">
        <v>175890.11</v>
      </c>
      <c r="C722" s="537"/>
      <c r="D722" s="513"/>
    </row>
    <row r="723" spans="1:4" x14ac:dyDescent="0.2">
      <c r="A723" s="537">
        <v>43377</v>
      </c>
      <c r="B723" s="513">
        <v>176908.84</v>
      </c>
      <c r="C723" s="537"/>
      <c r="D723" s="513"/>
    </row>
    <row r="724" spans="1:4" x14ac:dyDescent="0.2">
      <c r="A724" s="537">
        <v>43378</v>
      </c>
      <c r="B724" s="513">
        <v>176909</v>
      </c>
      <c r="C724" s="537"/>
      <c r="D724" s="513"/>
    </row>
    <row r="725" spans="1:4" x14ac:dyDescent="0.2">
      <c r="A725" s="537">
        <v>43381</v>
      </c>
      <c r="B725" s="513">
        <v>176909</v>
      </c>
      <c r="C725" s="537"/>
      <c r="D725" s="513"/>
    </row>
    <row r="726" spans="1:4" x14ac:dyDescent="0.2">
      <c r="A726" s="537">
        <v>43382</v>
      </c>
      <c r="B726" s="513">
        <v>226038.22</v>
      </c>
      <c r="C726" s="537"/>
      <c r="D726" s="513"/>
    </row>
    <row r="727" spans="1:4" x14ac:dyDescent="0.2">
      <c r="A727" s="537">
        <v>43383</v>
      </c>
      <c r="B727" s="513">
        <v>226038</v>
      </c>
      <c r="C727" s="537"/>
      <c r="D727" s="513"/>
    </row>
    <row r="728" spans="1:4" x14ac:dyDescent="0.2">
      <c r="A728" s="537">
        <v>43384</v>
      </c>
      <c r="B728" s="513">
        <v>223293.31</v>
      </c>
      <c r="C728" s="537"/>
      <c r="D728" s="513"/>
    </row>
    <row r="729" spans="1:4" x14ac:dyDescent="0.2">
      <c r="A729" s="537">
        <v>43385</v>
      </c>
      <c r="B729" s="513">
        <v>272327.27</v>
      </c>
      <c r="C729" s="537"/>
      <c r="D729" s="513"/>
    </row>
    <row r="730" spans="1:4" x14ac:dyDescent="0.2">
      <c r="A730" s="537">
        <v>43388</v>
      </c>
      <c r="B730" s="513">
        <v>236397.34</v>
      </c>
      <c r="C730" s="537"/>
      <c r="D730" s="513"/>
    </row>
    <row r="731" spans="1:4" x14ac:dyDescent="0.2">
      <c r="A731" s="537">
        <v>43389</v>
      </c>
      <c r="B731" s="513">
        <v>236553.84</v>
      </c>
      <c r="C731" s="537"/>
      <c r="D731" s="513"/>
    </row>
    <row r="732" spans="1:4" x14ac:dyDescent="0.2">
      <c r="A732" s="537">
        <v>43390</v>
      </c>
      <c r="B732" s="513">
        <v>249133.92</v>
      </c>
      <c r="C732" s="537"/>
      <c r="D732" s="513"/>
    </row>
    <row r="733" spans="1:4" x14ac:dyDescent="0.2">
      <c r="A733" s="537">
        <v>43391</v>
      </c>
      <c r="B733" s="513">
        <v>254043.68</v>
      </c>
      <c r="C733" s="537"/>
      <c r="D733" s="513"/>
    </row>
    <row r="734" spans="1:4" x14ac:dyDescent="0.2">
      <c r="A734" s="537">
        <v>43392</v>
      </c>
      <c r="B734" s="513">
        <v>254064.5</v>
      </c>
      <c r="C734" s="537"/>
      <c r="D734" s="513"/>
    </row>
    <row r="735" spans="1:4" x14ac:dyDescent="0.2">
      <c r="A735" s="537">
        <v>43395</v>
      </c>
      <c r="B735" s="513">
        <v>290142.09999999998</v>
      </c>
      <c r="C735" s="537"/>
      <c r="D735" s="513"/>
    </row>
    <row r="736" spans="1:4" x14ac:dyDescent="0.2">
      <c r="A736" s="537">
        <v>43396</v>
      </c>
      <c r="B736" s="513">
        <v>290142</v>
      </c>
      <c r="C736" s="537"/>
      <c r="D736" s="513"/>
    </row>
    <row r="737" spans="1:4" x14ac:dyDescent="0.2">
      <c r="A737" s="537">
        <v>43397</v>
      </c>
      <c r="B737" s="513">
        <v>290034.38</v>
      </c>
      <c r="C737" s="537"/>
      <c r="D737" s="513"/>
    </row>
    <row r="738" spans="1:4" x14ac:dyDescent="0.2">
      <c r="A738" s="537">
        <v>43398</v>
      </c>
      <c r="B738" s="513">
        <v>291747.36</v>
      </c>
      <c r="C738" s="537"/>
      <c r="D738" s="513"/>
    </row>
    <row r="739" spans="1:4" x14ac:dyDescent="0.2">
      <c r="A739" s="537">
        <v>43399</v>
      </c>
      <c r="B739" s="513">
        <v>306637.48</v>
      </c>
      <c r="C739" s="537"/>
      <c r="D739" s="513"/>
    </row>
    <row r="740" spans="1:4" x14ac:dyDescent="0.2">
      <c r="A740" s="537">
        <v>43402</v>
      </c>
      <c r="B740" s="513">
        <v>270401.28999999998</v>
      </c>
      <c r="C740" s="537"/>
      <c r="D740" s="513"/>
    </row>
    <row r="741" spans="1:4" x14ac:dyDescent="0.2">
      <c r="A741" s="537">
        <v>43403</v>
      </c>
      <c r="B741" s="513">
        <v>278028.58</v>
      </c>
      <c r="C741" s="537"/>
      <c r="D741" s="513"/>
    </row>
    <row r="742" spans="1:4" x14ac:dyDescent="0.2">
      <c r="A742" s="537">
        <v>43404</v>
      </c>
      <c r="B742" s="513">
        <v>278029</v>
      </c>
      <c r="C742" s="537"/>
      <c r="D742" s="513"/>
    </row>
    <row r="743" spans="1:4" x14ac:dyDescent="0.2">
      <c r="A743" s="537">
        <v>43405</v>
      </c>
      <c r="B743" s="513">
        <v>279523.53000000003</v>
      </c>
      <c r="C743" s="537"/>
      <c r="D743" s="513"/>
    </row>
    <row r="744" spans="1:4" x14ac:dyDescent="0.2">
      <c r="A744" s="537">
        <v>43406</v>
      </c>
      <c r="B744" s="513">
        <v>303100.06</v>
      </c>
      <c r="C744" s="537"/>
      <c r="D744" s="513"/>
    </row>
    <row r="745" spans="1:4" x14ac:dyDescent="0.2">
      <c r="A745" s="537">
        <v>43409</v>
      </c>
      <c r="B745" s="513">
        <v>303100.06</v>
      </c>
      <c r="C745" s="537"/>
      <c r="D745" s="513"/>
    </row>
    <row r="746" spans="1:4" x14ac:dyDescent="0.2">
      <c r="A746" s="537">
        <v>43410</v>
      </c>
      <c r="B746" s="513">
        <v>303100.06</v>
      </c>
      <c r="C746" s="537"/>
      <c r="D746" s="513"/>
    </row>
    <row r="747" spans="1:4" x14ac:dyDescent="0.2">
      <c r="A747" s="537">
        <v>43411</v>
      </c>
      <c r="B747" s="513">
        <v>303954.14</v>
      </c>
      <c r="C747" s="537"/>
      <c r="D747" s="513"/>
    </row>
    <row r="748" spans="1:4" x14ac:dyDescent="0.2">
      <c r="A748" s="537">
        <v>43412</v>
      </c>
      <c r="B748" s="513">
        <v>294843.14</v>
      </c>
      <c r="C748" s="537"/>
      <c r="D748" s="513"/>
    </row>
    <row r="749" spans="1:4" x14ac:dyDescent="0.2">
      <c r="A749" s="537">
        <v>43413</v>
      </c>
      <c r="B749" s="513">
        <v>294843</v>
      </c>
      <c r="C749" s="537"/>
      <c r="D749" s="513"/>
    </row>
    <row r="750" spans="1:4" x14ac:dyDescent="0.2">
      <c r="A750" s="537">
        <v>43416</v>
      </c>
      <c r="B750" s="513">
        <v>294843</v>
      </c>
      <c r="C750" s="537"/>
      <c r="D750" s="513"/>
    </row>
    <row r="751" spans="1:4" x14ac:dyDescent="0.2">
      <c r="A751" s="537">
        <v>43417</v>
      </c>
      <c r="B751" s="513">
        <v>294843</v>
      </c>
      <c r="C751" s="537"/>
      <c r="D751" s="513"/>
    </row>
    <row r="752" spans="1:4" x14ac:dyDescent="0.2">
      <c r="A752" s="537">
        <v>43418</v>
      </c>
      <c r="B752" s="513">
        <v>259514.47</v>
      </c>
      <c r="C752" s="537"/>
      <c r="D752" s="513"/>
    </row>
    <row r="753" spans="1:4" x14ac:dyDescent="0.2">
      <c r="A753" s="537">
        <v>43419</v>
      </c>
      <c r="B753" s="513">
        <v>255987.45</v>
      </c>
      <c r="C753" s="537"/>
      <c r="D753" s="513"/>
    </row>
    <row r="754" spans="1:4" x14ac:dyDescent="0.2">
      <c r="A754" s="537">
        <v>43420</v>
      </c>
      <c r="B754" s="513">
        <v>255987.45</v>
      </c>
      <c r="C754" s="537"/>
      <c r="D754" s="513"/>
    </row>
    <row r="755" spans="1:4" x14ac:dyDescent="0.2">
      <c r="A755" s="537">
        <v>43423</v>
      </c>
      <c r="B755" s="513">
        <v>255987.45</v>
      </c>
      <c r="C755" s="537"/>
      <c r="D755" s="513"/>
    </row>
    <row r="756" spans="1:4" x14ac:dyDescent="0.2">
      <c r="A756" s="537">
        <v>43424</v>
      </c>
      <c r="B756" s="513">
        <v>254650.75</v>
      </c>
      <c r="C756" s="537"/>
      <c r="D756" s="513"/>
    </row>
    <row r="757" spans="1:4" x14ac:dyDescent="0.2">
      <c r="A757" s="537">
        <v>43425</v>
      </c>
      <c r="B757" s="513">
        <v>298403.21000000002</v>
      </c>
      <c r="C757" s="537"/>
      <c r="D757" s="513"/>
    </row>
    <row r="758" spans="1:4" x14ac:dyDescent="0.2">
      <c r="A758" s="537">
        <v>43426</v>
      </c>
      <c r="B758" s="513">
        <v>300529.64</v>
      </c>
      <c r="C758" s="537"/>
      <c r="D758" s="513"/>
    </row>
    <row r="759" spans="1:4" x14ac:dyDescent="0.2">
      <c r="A759" s="537">
        <v>43427</v>
      </c>
      <c r="B759" s="513">
        <v>300229.64</v>
      </c>
      <c r="C759" s="537"/>
      <c r="D759" s="513"/>
    </row>
    <row r="760" spans="1:4" x14ac:dyDescent="0.2">
      <c r="A760" s="537">
        <v>43430</v>
      </c>
      <c r="B760" s="513">
        <v>300230</v>
      </c>
      <c r="C760" s="537"/>
      <c r="D760" s="513"/>
    </row>
    <row r="761" spans="1:4" x14ac:dyDescent="0.2">
      <c r="A761" s="537">
        <v>43431</v>
      </c>
      <c r="B761" s="513">
        <v>267674.82</v>
      </c>
      <c r="C761" s="537"/>
      <c r="D761" s="513"/>
    </row>
    <row r="762" spans="1:4" x14ac:dyDescent="0.2">
      <c r="A762" s="537">
        <v>43432</v>
      </c>
      <c r="B762" s="513">
        <v>273448.82</v>
      </c>
      <c r="C762" s="537"/>
      <c r="D762" s="513"/>
    </row>
    <row r="763" spans="1:4" x14ac:dyDescent="0.2">
      <c r="A763" s="537">
        <v>43433</v>
      </c>
      <c r="B763" s="513">
        <v>252527.09</v>
      </c>
      <c r="C763" s="537"/>
      <c r="D763" s="513"/>
    </row>
    <row r="764" spans="1:4" x14ac:dyDescent="0.2">
      <c r="A764" s="537">
        <v>43434</v>
      </c>
      <c r="B764" s="513">
        <v>321968.59000000003</v>
      </c>
      <c r="C764" s="537"/>
      <c r="D764" s="513"/>
    </row>
    <row r="765" spans="1:4" x14ac:dyDescent="0.2">
      <c r="A765" s="537">
        <v>43437</v>
      </c>
      <c r="B765" s="513">
        <v>321969</v>
      </c>
      <c r="C765" s="537"/>
      <c r="D765" s="513"/>
    </row>
    <row r="766" spans="1:4" x14ac:dyDescent="0.2">
      <c r="A766" s="537">
        <v>43438</v>
      </c>
      <c r="B766" s="513">
        <v>321969</v>
      </c>
      <c r="C766" s="537"/>
      <c r="D766" s="513"/>
    </row>
    <row r="767" spans="1:4" x14ac:dyDescent="0.2">
      <c r="A767" s="537">
        <v>43439</v>
      </c>
      <c r="B767" s="513">
        <v>321969</v>
      </c>
      <c r="C767" s="537"/>
      <c r="D767" s="513"/>
    </row>
    <row r="768" spans="1:4" x14ac:dyDescent="0.2">
      <c r="A768" s="537">
        <v>43440</v>
      </c>
      <c r="B768" s="513">
        <v>314251.55</v>
      </c>
      <c r="C768" s="537"/>
      <c r="D768" s="513"/>
    </row>
    <row r="769" spans="1:4" x14ac:dyDescent="0.2">
      <c r="A769" s="537">
        <v>43441</v>
      </c>
      <c r="B769" s="513">
        <v>315739.42</v>
      </c>
      <c r="C769" s="537"/>
      <c r="D769" s="513"/>
    </row>
    <row r="770" spans="1:4" x14ac:dyDescent="0.2">
      <c r="A770" s="537">
        <v>43444</v>
      </c>
      <c r="B770" s="513">
        <v>315739</v>
      </c>
      <c r="C770" s="537"/>
      <c r="D770" s="513"/>
    </row>
    <row r="771" spans="1:4" x14ac:dyDescent="0.2">
      <c r="A771" s="537">
        <v>43445</v>
      </c>
      <c r="B771" s="513">
        <v>275506.94</v>
      </c>
      <c r="C771" s="537"/>
      <c r="D771" s="513"/>
    </row>
    <row r="772" spans="1:4" x14ac:dyDescent="0.2">
      <c r="A772" s="537">
        <v>43446</v>
      </c>
      <c r="B772" s="513">
        <v>275507</v>
      </c>
      <c r="C772" s="537"/>
      <c r="D772" s="513"/>
    </row>
    <row r="773" spans="1:4" x14ac:dyDescent="0.2">
      <c r="A773" s="537">
        <v>43447</v>
      </c>
      <c r="B773" s="513">
        <v>289896.89</v>
      </c>
      <c r="C773" s="537"/>
      <c r="D773" s="513"/>
    </row>
    <row r="774" spans="1:4" x14ac:dyDescent="0.2">
      <c r="A774" s="537">
        <v>43448</v>
      </c>
      <c r="B774" s="513">
        <v>313281.34999999998</v>
      </c>
      <c r="C774" s="537"/>
      <c r="D774" s="513"/>
    </row>
    <row r="775" spans="1:4" x14ac:dyDescent="0.2">
      <c r="A775" s="537">
        <v>43451</v>
      </c>
      <c r="B775" s="513">
        <v>313281</v>
      </c>
      <c r="C775" s="537"/>
      <c r="D775" s="513"/>
    </row>
    <row r="776" spans="1:4" x14ac:dyDescent="0.2">
      <c r="A776" s="537">
        <v>43452</v>
      </c>
      <c r="B776" s="513">
        <v>317556.84999999998</v>
      </c>
      <c r="C776" s="537"/>
      <c r="D776" s="513"/>
    </row>
    <row r="777" spans="1:4" x14ac:dyDescent="0.2">
      <c r="A777" s="537">
        <v>43453</v>
      </c>
      <c r="B777" s="513">
        <v>317557</v>
      </c>
      <c r="C777" s="537"/>
      <c r="D777" s="513"/>
    </row>
    <row r="778" spans="1:4" x14ac:dyDescent="0.2">
      <c r="A778" s="537">
        <v>43454</v>
      </c>
      <c r="B778" s="513">
        <v>297159.33</v>
      </c>
      <c r="C778" s="537"/>
      <c r="D778" s="513"/>
    </row>
    <row r="779" spans="1:4" x14ac:dyDescent="0.2">
      <c r="A779" s="537">
        <v>43455</v>
      </c>
      <c r="B779" s="513">
        <v>297159</v>
      </c>
      <c r="C779" s="537"/>
      <c r="D779" s="513"/>
    </row>
    <row r="780" spans="1:4" x14ac:dyDescent="0.2">
      <c r="A780" s="537">
        <v>43458</v>
      </c>
      <c r="B780" s="513">
        <v>260233.37</v>
      </c>
      <c r="C780" s="537"/>
      <c r="D780" s="513"/>
    </row>
    <row r="781" spans="1:4" x14ac:dyDescent="0.2">
      <c r="A781" s="537">
        <v>43459</v>
      </c>
      <c r="B781" s="513">
        <v>260233</v>
      </c>
      <c r="C781" s="537"/>
      <c r="D781" s="513"/>
    </row>
    <row r="782" spans="1:4" x14ac:dyDescent="0.2">
      <c r="A782" s="537">
        <v>43460</v>
      </c>
      <c r="B782" s="513">
        <v>261845.78</v>
      </c>
      <c r="C782" s="537"/>
      <c r="D782" s="513"/>
    </row>
    <row r="783" spans="1:4" x14ac:dyDescent="0.2">
      <c r="A783" s="537">
        <v>43461</v>
      </c>
      <c r="B783" s="513">
        <v>261846</v>
      </c>
      <c r="C783" s="537"/>
      <c r="D783" s="513"/>
    </row>
    <row r="784" spans="1:4" x14ac:dyDescent="0.2">
      <c r="A784" s="537">
        <v>43462</v>
      </c>
      <c r="B784" s="513">
        <v>273805.40000000002</v>
      </c>
      <c r="C784" s="537"/>
      <c r="D784" s="513"/>
    </row>
    <row r="785" spans="1:4" x14ac:dyDescent="0.2">
      <c r="A785" s="537">
        <v>43465</v>
      </c>
      <c r="B785" s="513">
        <v>274101.40000000002</v>
      </c>
      <c r="C785" s="537"/>
      <c r="D785" s="513"/>
    </row>
    <row r="786" spans="1:4" x14ac:dyDescent="0.2">
      <c r="A786" s="537">
        <v>43466</v>
      </c>
      <c r="B786" s="513">
        <v>274101</v>
      </c>
      <c r="C786" s="537"/>
      <c r="D786" s="513"/>
    </row>
    <row r="787" spans="1:4" x14ac:dyDescent="0.2">
      <c r="A787" s="537">
        <v>43467</v>
      </c>
      <c r="B787" s="513">
        <v>299108.40000000002</v>
      </c>
      <c r="C787" s="537"/>
      <c r="D787" s="513"/>
    </row>
    <row r="788" spans="1:4" x14ac:dyDescent="0.2">
      <c r="A788" s="537">
        <v>43468</v>
      </c>
      <c r="B788" s="513">
        <v>298070.78000000003</v>
      </c>
      <c r="C788" s="537"/>
      <c r="D788" s="513"/>
    </row>
    <row r="789" spans="1:4" x14ac:dyDescent="0.2">
      <c r="A789" s="537">
        <v>43469</v>
      </c>
      <c r="B789" s="513">
        <v>298071</v>
      </c>
      <c r="C789" s="537"/>
      <c r="D789" s="513"/>
    </row>
    <row r="790" spans="1:4" x14ac:dyDescent="0.2">
      <c r="A790" s="537">
        <v>43472</v>
      </c>
      <c r="B790" s="513">
        <v>298430.78000000003</v>
      </c>
      <c r="C790" s="537"/>
      <c r="D790" s="513"/>
    </row>
    <row r="791" spans="1:4" x14ac:dyDescent="0.2">
      <c r="A791" s="537">
        <v>43473</v>
      </c>
      <c r="B791" s="513">
        <v>264835.63</v>
      </c>
      <c r="C791" s="537"/>
      <c r="D791" s="513"/>
    </row>
    <row r="792" spans="1:4" x14ac:dyDescent="0.2">
      <c r="A792" s="537">
        <v>43474</v>
      </c>
      <c r="B792" s="513">
        <v>303664.65999999997</v>
      </c>
      <c r="C792" s="537"/>
      <c r="D792" s="513"/>
    </row>
    <row r="793" spans="1:4" x14ac:dyDescent="0.2">
      <c r="A793" s="537">
        <v>43475</v>
      </c>
      <c r="B793" s="513">
        <v>299790.71999999997</v>
      </c>
      <c r="C793" s="537"/>
      <c r="D793" s="513"/>
    </row>
    <row r="794" spans="1:4" x14ac:dyDescent="0.2">
      <c r="A794" s="537">
        <v>43476</v>
      </c>
      <c r="B794" s="575">
        <v>309881.71999999997</v>
      </c>
      <c r="C794" s="537"/>
      <c r="D794" s="513"/>
    </row>
    <row r="795" spans="1:4" x14ac:dyDescent="0.2">
      <c r="A795" s="537">
        <v>43479</v>
      </c>
      <c r="B795" s="513">
        <v>284374.78999999998</v>
      </c>
      <c r="C795" s="537"/>
      <c r="D795" s="513"/>
    </row>
    <row r="796" spans="1:4" x14ac:dyDescent="0.2">
      <c r="A796" s="537">
        <v>43480</v>
      </c>
      <c r="B796" s="513">
        <v>284494.75</v>
      </c>
      <c r="C796" s="537"/>
      <c r="D796" s="513"/>
    </row>
    <row r="797" spans="1:4" x14ac:dyDescent="0.2">
      <c r="A797" s="537">
        <v>43481</v>
      </c>
      <c r="B797" s="513">
        <v>277370.03000000003</v>
      </c>
      <c r="C797" s="537"/>
      <c r="D797" s="513"/>
    </row>
    <row r="798" spans="1:4" x14ac:dyDescent="0.2">
      <c r="A798" s="537">
        <v>43482</v>
      </c>
      <c r="B798" s="513">
        <v>266103.65999999997</v>
      </c>
      <c r="C798" s="537"/>
      <c r="D798" s="513"/>
    </row>
    <row r="799" spans="1:4" x14ac:dyDescent="0.2">
      <c r="A799" s="537">
        <v>43483</v>
      </c>
      <c r="B799" s="513">
        <v>266189.65999999997</v>
      </c>
      <c r="C799" s="537"/>
      <c r="D799" s="513"/>
    </row>
    <row r="800" spans="1:4" x14ac:dyDescent="0.2">
      <c r="A800" s="537">
        <v>43486</v>
      </c>
      <c r="B800" s="513">
        <v>266190</v>
      </c>
      <c r="C800" s="537"/>
      <c r="D800" s="513"/>
    </row>
    <row r="801" spans="1:4" x14ac:dyDescent="0.2">
      <c r="A801" s="537">
        <v>43487</v>
      </c>
      <c r="B801" s="513">
        <v>228832.05</v>
      </c>
      <c r="C801" s="537"/>
      <c r="D801" s="513"/>
    </row>
    <row r="802" spans="1:4" x14ac:dyDescent="0.2">
      <c r="A802" s="537">
        <v>43488</v>
      </c>
      <c r="B802" s="513">
        <v>229285.41</v>
      </c>
      <c r="C802" s="537"/>
      <c r="D802" s="513"/>
    </row>
    <row r="803" spans="1:4" x14ac:dyDescent="0.2">
      <c r="A803" s="537">
        <v>43489</v>
      </c>
      <c r="B803" s="513">
        <v>236709.42</v>
      </c>
      <c r="C803" s="537"/>
      <c r="D803" s="513"/>
    </row>
    <row r="804" spans="1:4" x14ac:dyDescent="0.2">
      <c r="A804" s="537">
        <v>43490</v>
      </c>
      <c r="B804" s="513">
        <v>236709</v>
      </c>
      <c r="C804" s="537"/>
      <c r="D804" s="513"/>
    </row>
    <row r="805" spans="1:4" x14ac:dyDescent="0.2">
      <c r="A805" s="537">
        <v>43493</v>
      </c>
      <c r="B805" s="513">
        <v>236400.88</v>
      </c>
      <c r="C805" s="537"/>
      <c r="D805" s="513"/>
    </row>
    <row r="806" spans="1:4" x14ac:dyDescent="0.2">
      <c r="A806" s="537">
        <v>43494</v>
      </c>
      <c r="B806" s="513">
        <v>236401</v>
      </c>
      <c r="C806" s="537"/>
      <c r="D806" s="513"/>
    </row>
    <row r="807" spans="1:4" x14ac:dyDescent="0.2">
      <c r="A807" s="537">
        <v>43495</v>
      </c>
      <c r="B807" s="513">
        <v>236401</v>
      </c>
      <c r="C807" s="537"/>
      <c r="D807" s="513"/>
    </row>
    <row r="808" spans="1:4" x14ac:dyDescent="0.2">
      <c r="A808" s="537">
        <v>43496</v>
      </c>
      <c r="B808" s="513">
        <v>237605.71</v>
      </c>
      <c r="C808" s="537"/>
      <c r="D808" s="513"/>
    </row>
    <row r="809" spans="1:4" x14ac:dyDescent="0.2">
      <c r="A809" s="537">
        <v>43497</v>
      </c>
      <c r="B809" s="513">
        <v>237728.71</v>
      </c>
      <c r="C809" s="537"/>
      <c r="D809" s="513"/>
    </row>
    <row r="810" spans="1:4" x14ac:dyDescent="0.2">
      <c r="A810" s="537">
        <v>43500</v>
      </c>
      <c r="B810" s="513">
        <v>201980</v>
      </c>
      <c r="C810" s="537"/>
      <c r="D810" s="513"/>
    </row>
    <row r="811" spans="1:4" x14ac:dyDescent="0.2">
      <c r="A811" s="537">
        <v>43501</v>
      </c>
      <c r="B811" s="513">
        <v>225615.34</v>
      </c>
      <c r="C811" s="537"/>
      <c r="D811" s="513"/>
    </row>
    <row r="812" spans="1:4" x14ac:dyDescent="0.2">
      <c r="A812" s="537">
        <v>43502</v>
      </c>
      <c r="B812" s="513">
        <v>225615</v>
      </c>
      <c r="C812" s="537"/>
      <c r="D812" s="513"/>
    </row>
    <row r="813" spans="1:4" x14ac:dyDescent="0.2">
      <c r="A813" s="537">
        <v>43503</v>
      </c>
      <c r="B813" s="513">
        <v>219151.3</v>
      </c>
      <c r="C813" s="537"/>
      <c r="D813" s="513"/>
    </row>
    <row r="814" spans="1:4" x14ac:dyDescent="0.2">
      <c r="A814" s="537">
        <v>43504</v>
      </c>
      <c r="B814" s="513">
        <v>219351.3</v>
      </c>
      <c r="C814" s="537"/>
      <c r="D814" s="513"/>
    </row>
    <row r="815" spans="1:4" x14ac:dyDescent="0.2">
      <c r="A815" s="537">
        <v>43507</v>
      </c>
      <c r="B815" s="513">
        <v>219351</v>
      </c>
      <c r="C815" s="537"/>
      <c r="D815" s="513"/>
    </row>
    <row r="816" spans="1:4" x14ac:dyDescent="0.2">
      <c r="A816" s="537">
        <v>43508</v>
      </c>
      <c r="B816" s="513">
        <v>219351</v>
      </c>
      <c r="C816" s="537"/>
      <c r="D816" s="513"/>
    </row>
    <row r="817" spans="1:4" x14ac:dyDescent="0.2">
      <c r="A817" s="537">
        <v>43509</v>
      </c>
      <c r="B817" s="513">
        <v>219351</v>
      </c>
      <c r="C817" s="537"/>
      <c r="D817" s="513"/>
    </row>
    <row r="818" spans="1:4" x14ac:dyDescent="0.2">
      <c r="A818" s="537">
        <v>43510</v>
      </c>
      <c r="B818" s="513">
        <v>206758.66</v>
      </c>
      <c r="C818" s="537"/>
      <c r="D818" s="513"/>
    </row>
    <row r="819" spans="1:4" x14ac:dyDescent="0.2">
      <c r="A819" s="537">
        <v>43511</v>
      </c>
      <c r="B819" s="513">
        <v>234837.55</v>
      </c>
      <c r="C819" s="537"/>
      <c r="D819" s="513"/>
    </row>
    <row r="820" spans="1:4" x14ac:dyDescent="0.2">
      <c r="A820" s="537">
        <v>43514</v>
      </c>
      <c r="B820" s="513">
        <v>234838</v>
      </c>
      <c r="C820" s="537"/>
      <c r="D820" s="513"/>
    </row>
    <row r="821" spans="1:4" x14ac:dyDescent="0.2">
      <c r="A821" s="537">
        <v>43515</v>
      </c>
      <c r="B821" s="513">
        <v>199113.26</v>
      </c>
      <c r="C821" s="537"/>
      <c r="D821" s="513"/>
    </row>
    <row r="822" spans="1:4" x14ac:dyDescent="0.2">
      <c r="A822" s="537">
        <v>43516</v>
      </c>
      <c r="B822" s="759">
        <v>199113</v>
      </c>
      <c r="C822" s="537"/>
      <c r="D822" s="513"/>
    </row>
    <row r="823" spans="1:4" x14ac:dyDescent="0.2">
      <c r="A823" s="537">
        <v>43517</v>
      </c>
      <c r="B823" s="513">
        <v>205400.17</v>
      </c>
      <c r="C823" s="537"/>
      <c r="D823" s="513"/>
    </row>
    <row r="824" spans="1:4" x14ac:dyDescent="0.2">
      <c r="A824" s="537">
        <v>43518</v>
      </c>
      <c r="B824" s="513">
        <v>220161.91</v>
      </c>
      <c r="C824" s="537"/>
      <c r="D824" s="513"/>
    </row>
    <row r="825" spans="1:4" x14ac:dyDescent="0.2">
      <c r="A825" s="537">
        <v>43521</v>
      </c>
      <c r="B825" s="513">
        <v>220161.91</v>
      </c>
      <c r="C825" s="537"/>
      <c r="D825" s="513"/>
    </row>
    <row r="826" spans="1:4" x14ac:dyDescent="0.2">
      <c r="A826" s="537">
        <v>43522</v>
      </c>
      <c r="B826" s="513">
        <v>220161.91</v>
      </c>
      <c r="C826" s="537"/>
      <c r="D826" s="513"/>
    </row>
    <row r="827" spans="1:4" x14ac:dyDescent="0.2">
      <c r="A827" s="537">
        <v>43523</v>
      </c>
      <c r="B827" s="513">
        <v>220161.91</v>
      </c>
      <c r="C827" s="537"/>
      <c r="D827" s="513"/>
    </row>
    <row r="828" spans="1:4" x14ac:dyDescent="0.2">
      <c r="A828" s="537">
        <v>43524</v>
      </c>
      <c r="B828" s="513">
        <v>224635.26</v>
      </c>
      <c r="C828" s="537"/>
      <c r="D828" s="513"/>
    </row>
    <row r="829" spans="1:4" x14ac:dyDescent="0.2">
      <c r="A829" s="537">
        <v>43525</v>
      </c>
      <c r="B829" s="513">
        <v>298900.61</v>
      </c>
      <c r="C829" s="537"/>
      <c r="D829" s="513"/>
    </row>
    <row r="830" spans="1:4" x14ac:dyDescent="0.2">
      <c r="A830" s="537">
        <v>43528</v>
      </c>
      <c r="B830" s="513">
        <v>262246.8</v>
      </c>
      <c r="C830" s="537"/>
      <c r="D830" s="513"/>
    </row>
    <row r="831" spans="1:4" x14ac:dyDescent="0.2">
      <c r="A831" s="537">
        <v>43529</v>
      </c>
      <c r="B831" s="513">
        <v>262247</v>
      </c>
      <c r="C831" s="537"/>
      <c r="D831" s="513"/>
    </row>
    <row r="832" spans="1:4" x14ac:dyDescent="0.2">
      <c r="A832" s="537">
        <v>43530</v>
      </c>
      <c r="B832" s="513">
        <v>262247</v>
      </c>
      <c r="C832" s="537"/>
      <c r="D832" s="513"/>
    </row>
    <row r="833" spans="1:4" x14ac:dyDescent="0.2">
      <c r="A833" s="537">
        <v>43531</v>
      </c>
      <c r="B833" s="513">
        <v>275395.15000000002</v>
      </c>
      <c r="C833" s="537"/>
      <c r="D833" s="513"/>
    </row>
    <row r="834" spans="1:4" x14ac:dyDescent="0.2">
      <c r="A834" s="537">
        <v>43532</v>
      </c>
      <c r="B834" s="513">
        <v>275395</v>
      </c>
      <c r="C834" s="537"/>
      <c r="D834" s="513"/>
    </row>
    <row r="835" spans="1:4" x14ac:dyDescent="0.2">
      <c r="A835" s="537">
        <v>43535</v>
      </c>
      <c r="B835" s="513">
        <v>275395</v>
      </c>
      <c r="C835" s="537"/>
      <c r="D835" s="513"/>
    </row>
    <row r="836" spans="1:4" x14ac:dyDescent="0.2">
      <c r="A836" s="537">
        <v>43536</v>
      </c>
      <c r="B836" s="513">
        <v>275395</v>
      </c>
      <c r="C836" s="537"/>
      <c r="D836" s="513"/>
    </row>
    <row r="837" spans="1:4" x14ac:dyDescent="0.2">
      <c r="A837" s="537">
        <v>43537</v>
      </c>
      <c r="B837" s="513">
        <v>316802.46999999997</v>
      </c>
      <c r="C837" s="537"/>
      <c r="D837" s="513"/>
    </row>
    <row r="838" spans="1:4" x14ac:dyDescent="0.2">
      <c r="A838" s="537">
        <v>43538</v>
      </c>
      <c r="B838" s="513">
        <v>297067.40000000002</v>
      </c>
      <c r="C838" s="537"/>
      <c r="D838" s="513"/>
    </row>
    <row r="839" spans="1:4" x14ac:dyDescent="0.2">
      <c r="A839" s="537">
        <v>43539</v>
      </c>
      <c r="B839" s="513">
        <v>300574.83</v>
      </c>
      <c r="C839" s="537"/>
      <c r="D839" s="513"/>
    </row>
    <row r="840" spans="1:4" x14ac:dyDescent="0.2">
      <c r="A840" s="537">
        <v>43542</v>
      </c>
      <c r="B840" s="513">
        <v>264695.24</v>
      </c>
      <c r="C840" s="537"/>
      <c r="D840" s="513"/>
    </row>
    <row r="841" spans="1:4" x14ac:dyDescent="0.2">
      <c r="A841" s="537">
        <v>43543</v>
      </c>
      <c r="B841" s="513">
        <v>264695</v>
      </c>
      <c r="C841" s="537"/>
      <c r="D841" s="513"/>
    </row>
    <row r="842" spans="1:4" x14ac:dyDescent="0.2">
      <c r="A842" s="537">
        <v>43544</v>
      </c>
      <c r="B842" s="513">
        <v>264695</v>
      </c>
      <c r="C842" s="537"/>
      <c r="D842" s="513"/>
    </row>
    <row r="843" spans="1:4" x14ac:dyDescent="0.2">
      <c r="A843" s="537">
        <v>43545</v>
      </c>
      <c r="B843" s="513">
        <v>282838.67</v>
      </c>
      <c r="C843" s="537"/>
      <c r="D843" s="513"/>
    </row>
    <row r="844" spans="1:4" x14ac:dyDescent="0.2">
      <c r="A844" s="537">
        <v>43546</v>
      </c>
      <c r="B844" s="513">
        <v>282839</v>
      </c>
      <c r="C844" s="537"/>
      <c r="D844" s="513"/>
    </row>
    <row r="845" spans="1:4" x14ac:dyDescent="0.2">
      <c r="A845" s="537">
        <v>43549</v>
      </c>
      <c r="B845" s="575">
        <v>333807.26</v>
      </c>
      <c r="C845" s="537"/>
      <c r="D845" s="513"/>
    </row>
    <row r="846" spans="1:4" x14ac:dyDescent="0.2">
      <c r="A846" s="537">
        <v>43550</v>
      </c>
      <c r="B846" s="513">
        <v>332295.96000000002</v>
      </c>
      <c r="C846" s="537"/>
      <c r="D846" s="513"/>
    </row>
    <row r="847" spans="1:4" x14ac:dyDescent="0.2">
      <c r="A847" s="537">
        <v>43551</v>
      </c>
      <c r="B847" s="513">
        <v>325401.01</v>
      </c>
      <c r="C847" s="537"/>
      <c r="D847" s="513"/>
    </row>
    <row r="848" spans="1:4" x14ac:dyDescent="0.2">
      <c r="A848" s="537">
        <v>43552</v>
      </c>
      <c r="B848" s="513">
        <v>328793.55</v>
      </c>
      <c r="C848" s="537"/>
      <c r="D848" s="513"/>
    </row>
    <row r="849" spans="1:4" x14ac:dyDescent="0.2">
      <c r="A849" s="537">
        <v>43553</v>
      </c>
      <c r="B849" s="513">
        <v>329088.55</v>
      </c>
      <c r="C849" s="537"/>
      <c r="D849" s="513"/>
    </row>
    <row r="850" spans="1:4" x14ac:dyDescent="0.2">
      <c r="A850" s="537">
        <v>43556</v>
      </c>
      <c r="B850" s="513">
        <v>328488.55</v>
      </c>
      <c r="C850" s="537"/>
      <c r="D850" s="513"/>
    </row>
    <row r="851" spans="1:4" x14ac:dyDescent="0.2">
      <c r="A851" s="537">
        <v>43557</v>
      </c>
      <c r="B851" s="513">
        <v>292528.71999999997</v>
      </c>
      <c r="C851" s="537"/>
      <c r="D851" s="513"/>
    </row>
    <row r="852" spans="1:4" x14ac:dyDescent="0.2">
      <c r="A852" s="537">
        <v>43558</v>
      </c>
      <c r="B852" s="513">
        <v>294672.43</v>
      </c>
      <c r="C852" s="537"/>
      <c r="D852" s="513"/>
    </row>
    <row r="853" spans="1:4" x14ac:dyDescent="0.2">
      <c r="A853" s="537">
        <v>43559</v>
      </c>
      <c r="B853" s="513">
        <v>292850.33</v>
      </c>
      <c r="C853" s="537"/>
      <c r="D853" s="513"/>
    </row>
    <row r="854" spans="1:4" x14ac:dyDescent="0.2">
      <c r="A854" s="537">
        <v>43560</v>
      </c>
      <c r="B854" s="513">
        <v>284702.78999999998</v>
      </c>
      <c r="C854" s="537"/>
      <c r="D854" s="513"/>
    </row>
    <row r="855" spans="1:4" x14ac:dyDescent="0.2">
      <c r="A855" s="537">
        <v>43563</v>
      </c>
      <c r="B855" s="513">
        <v>284703</v>
      </c>
      <c r="C855" s="537"/>
      <c r="D855" s="513"/>
    </row>
    <row r="856" spans="1:4" x14ac:dyDescent="0.2">
      <c r="A856" s="537">
        <v>43564</v>
      </c>
      <c r="B856" s="513">
        <v>284775.52</v>
      </c>
      <c r="C856" s="537"/>
      <c r="D856" s="513"/>
    </row>
    <row r="857" spans="1:4" x14ac:dyDescent="0.2">
      <c r="A857" s="537">
        <v>43565</v>
      </c>
      <c r="B857" s="513">
        <v>284776</v>
      </c>
      <c r="C857" s="537"/>
      <c r="D857" s="513"/>
    </row>
    <row r="858" spans="1:4" x14ac:dyDescent="0.2">
      <c r="A858" s="537">
        <v>43566</v>
      </c>
      <c r="B858" s="513">
        <v>277335.02</v>
      </c>
      <c r="C858" s="537"/>
      <c r="D858" s="513"/>
    </row>
    <row r="859" spans="1:4" x14ac:dyDescent="0.2">
      <c r="A859" s="537">
        <v>43567</v>
      </c>
      <c r="B859" s="513">
        <v>277335</v>
      </c>
      <c r="C859" s="537"/>
      <c r="D859" s="513"/>
    </row>
    <row r="860" spans="1:4" x14ac:dyDescent="0.2">
      <c r="A860" s="537">
        <v>43570</v>
      </c>
      <c r="B860" s="513">
        <v>277462.90999999997</v>
      </c>
      <c r="C860" s="537"/>
      <c r="D860" s="513"/>
    </row>
    <row r="861" spans="1:4" x14ac:dyDescent="0.2">
      <c r="A861" s="537">
        <v>43571</v>
      </c>
      <c r="B861" s="513">
        <v>241180.07</v>
      </c>
      <c r="C861" s="537"/>
      <c r="D861" s="513"/>
    </row>
    <row r="862" spans="1:4" x14ac:dyDescent="0.2">
      <c r="A862" s="537">
        <v>43572</v>
      </c>
      <c r="B862" s="513">
        <v>257634.61</v>
      </c>
      <c r="C862" s="537"/>
      <c r="D862" s="513"/>
    </row>
    <row r="863" spans="1:4" x14ac:dyDescent="0.2">
      <c r="A863" s="537">
        <v>43573</v>
      </c>
      <c r="B863" s="513">
        <v>241154.55</v>
      </c>
      <c r="C863" s="537"/>
      <c r="D863" s="513"/>
    </row>
    <row r="864" spans="1:4" x14ac:dyDescent="0.2">
      <c r="A864" s="537">
        <v>43574</v>
      </c>
      <c r="B864" s="513">
        <v>243162.78</v>
      </c>
      <c r="C864" s="537"/>
      <c r="D864" s="513"/>
    </row>
    <row r="865" spans="1:4" x14ac:dyDescent="0.2">
      <c r="A865" s="537">
        <v>43577</v>
      </c>
      <c r="B865" s="513">
        <v>243003.93</v>
      </c>
      <c r="C865" s="537"/>
      <c r="D865" s="513"/>
    </row>
    <row r="866" spans="1:4" x14ac:dyDescent="0.2">
      <c r="A866" s="537">
        <v>43578</v>
      </c>
      <c r="B866" s="513">
        <v>243004</v>
      </c>
      <c r="C866" s="537"/>
      <c r="D866" s="513"/>
    </row>
    <row r="867" spans="1:4" x14ac:dyDescent="0.2">
      <c r="A867" s="537">
        <v>43579</v>
      </c>
      <c r="B867" s="513">
        <v>243060.55</v>
      </c>
      <c r="C867" s="537"/>
      <c r="D867" s="513"/>
    </row>
    <row r="868" spans="1:4" x14ac:dyDescent="0.2">
      <c r="A868" s="537">
        <v>43580</v>
      </c>
      <c r="B868" s="513">
        <v>245074.5</v>
      </c>
      <c r="C868" s="537"/>
      <c r="D868" s="513"/>
    </row>
    <row r="869" spans="1:4" x14ac:dyDescent="0.2">
      <c r="A869" s="537">
        <v>43581</v>
      </c>
      <c r="B869" s="513">
        <v>274493.84000000003</v>
      </c>
      <c r="C869" s="537"/>
      <c r="D869" s="513"/>
    </row>
    <row r="870" spans="1:4" x14ac:dyDescent="0.2">
      <c r="A870" s="537">
        <v>43584</v>
      </c>
      <c r="B870" s="513">
        <v>274494</v>
      </c>
      <c r="C870" s="537"/>
      <c r="D870" s="513"/>
    </row>
    <row r="871" spans="1:4" x14ac:dyDescent="0.2">
      <c r="A871" s="537">
        <v>43585</v>
      </c>
      <c r="B871" s="513">
        <v>268536.75</v>
      </c>
      <c r="C871" s="537"/>
      <c r="D871" s="513"/>
    </row>
    <row r="872" spans="1:4" x14ac:dyDescent="0.2">
      <c r="A872" s="537">
        <v>43586</v>
      </c>
      <c r="B872" s="513">
        <v>249086.1</v>
      </c>
      <c r="C872" s="537"/>
      <c r="D872" s="513"/>
    </row>
    <row r="873" spans="1:4" x14ac:dyDescent="0.2">
      <c r="A873" s="537">
        <v>43587</v>
      </c>
      <c r="B873" s="513">
        <v>253347.36</v>
      </c>
      <c r="C873" s="537"/>
      <c r="D873" s="513"/>
    </row>
    <row r="874" spans="1:4" x14ac:dyDescent="0.2">
      <c r="A874" s="537">
        <v>43588</v>
      </c>
      <c r="B874" s="513">
        <v>253347</v>
      </c>
      <c r="C874" s="537"/>
      <c r="D874" s="513"/>
    </row>
    <row r="875" spans="1:4" x14ac:dyDescent="0.2">
      <c r="A875" s="537">
        <v>43591</v>
      </c>
      <c r="B875" s="513">
        <v>253347</v>
      </c>
      <c r="C875" s="537"/>
      <c r="D875" s="513"/>
    </row>
    <row r="876" spans="1:4" x14ac:dyDescent="0.2">
      <c r="A876" s="537">
        <v>43592</v>
      </c>
      <c r="B876" s="513">
        <v>253347</v>
      </c>
      <c r="C876" s="537"/>
      <c r="D876" s="513"/>
    </row>
    <row r="877" spans="1:4" x14ac:dyDescent="0.2">
      <c r="A877" s="537">
        <v>43593</v>
      </c>
      <c r="B877" s="513">
        <v>253347</v>
      </c>
      <c r="C877" s="537"/>
      <c r="D877" s="513"/>
    </row>
    <row r="878" spans="1:4" x14ac:dyDescent="0.2">
      <c r="A878" s="537">
        <v>43594</v>
      </c>
      <c r="B878" s="513">
        <v>256363.47</v>
      </c>
      <c r="C878" s="537"/>
      <c r="D878" s="513"/>
    </row>
    <row r="879" spans="1:4" x14ac:dyDescent="0.2">
      <c r="A879" s="537">
        <v>43595</v>
      </c>
      <c r="B879" s="513">
        <v>256363</v>
      </c>
      <c r="C879" s="537"/>
      <c r="D879" s="513"/>
    </row>
    <row r="880" spans="1:4" x14ac:dyDescent="0.2">
      <c r="A880" s="537">
        <v>43598</v>
      </c>
      <c r="B880" s="513">
        <v>256363</v>
      </c>
      <c r="C880" s="537"/>
      <c r="D880" s="513"/>
    </row>
    <row r="881" spans="1:4" x14ac:dyDescent="0.2">
      <c r="A881" s="537">
        <v>43599</v>
      </c>
      <c r="B881" s="513">
        <v>220671.47</v>
      </c>
      <c r="C881" s="537"/>
      <c r="D881" s="513"/>
    </row>
    <row r="882" spans="1:4" x14ac:dyDescent="0.2">
      <c r="A882" s="537">
        <v>43600</v>
      </c>
      <c r="B882" s="513">
        <v>248680.89</v>
      </c>
      <c r="C882" s="537"/>
      <c r="D882" s="513"/>
    </row>
    <row r="883" spans="1:4" x14ac:dyDescent="0.2">
      <c r="A883" s="537">
        <v>43601</v>
      </c>
      <c r="B883" s="513">
        <v>254567.98</v>
      </c>
      <c r="C883" s="537"/>
      <c r="D883" s="513"/>
    </row>
    <row r="884" spans="1:4" x14ac:dyDescent="0.2">
      <c r="A884" s="537">
        <v>43602</v>
      </c>
      <c r="B884" s="513">
        <v>310563.12</v>
      </c>
      <c r="C884" s="537"/>
      <c r="D884" s="513"/>
    </row>
    <row r="885" spans="1:4" x14ac:dyDescent="0.2">
      <c r="A885" s="537">
        <v>43605</v>
      </c>
      <c r="B885" s="513">
        <v>310000.12</v>
      </c>
      <c r="C885" s="537"/>
      <c r="D885" s="513"/>
    </row>
    <row r="886" spans="1:4" x14ac:dyDescent="0.2">
      <c r="A886" s="537">
        <v>43606</v>
      </c>
      <c r="B886" s="513">
        <v>310000.12</v>
      </c>
      <c r="C886" s="537"/>
      <c r="D886" s="513"/>
    </row>
    <row r="887" spans="1:4" x14ac:dyDescent="0.2">
      <c r="A887" s="537">
        <v>43607</v>
      </c>
      <c r="B887" s="513">
        <v>310000.12</v>
      </c>
      <c r="C887" s="537"/>
      <c r="D887" s="513"/>
    </row>
    <row r="888" spans="1:4" x14ac:dyDescent="0.2">
      <c r="A888" s="537">
        <v>43608</v>
      </c>
      <c r="B888" s="513">
        <v>300109.28999999998</v>
      </c>
      <c r="C888" s="537"/>
      <c r="D888" s="513"/>
    </row>
    <row r="889" spans="1:4" x14ac:dyDescent="0.2">
      <c r="A889" s="537">
        <v>43609</v>
      </c>
      <c r="B889" s="513">
        <v>297396.90999999997</v>
      </c>
      <c r="C889" s="537"/>
      <c r="D889" s="513"/>
    </row>
    <row r="890" spans="1:4" x14ac:dyDescent="0.2">
      <c r="A890" s="537">
        <v>43612</v>
      </c>
      <c r="B890" s="513">
        <v>297397</v>
      </c>
      <c r="C890" s="537"/>
      <c r="D890" s="513"/>
    </row>
    <row r="891" spans="1:4" x14ac:dyDescent="0.2">
      <c r="A891" s="537">
        <v>43613</v>
      </c>
      <c r="B891" s="513">
        <v>309520.18</v>
      </c>
      <c r="C891" s="537"/>
      <c r="D891" s="513"/>
    </row>
    <row r="892" spans="1:4" x14ac:dyDescent="0.2">
      <c r="A892" s="537">
        <v>43614</v>
      </c>
      <c r="B892" s="513">
        <v>309520</v>
      </c>
      <c r="C892" s="537"/>
      <c r="D892" s="513"/>
    </row>
    <row r="893" spans="1:4" x14ac:dyDescent="0.2">
      <c r="A893" s="537">
        <v>43615</v>
      </c>
      <c r="B893" s="513">
        <v>306153.90000000002</v>
      </c>
      <c r="C893" s="537"/>
      <c r="D893" s="513"/>
    </row>
    <row r="894" spans="1:4" x14ac:dyDescent="0.2">
      <c r="A894" s="537">
        <v>43616</v>
      </c>
      <c r="B894" s="513">
        <v>307621.78000000003</v>
      </c>
      <c r="C894" s="537"/>
      <c r="D894" s="513"/>
    </row>
    <row r="895" spans="1:4" x14ac:dyDescent="0.2">
      <c r="A895" s="537">
        <v>43619</v>
      </c>
      <c r="B895" s="513">
        <v>307288.12</v>
      </c>
      <c r="C895" s="537"/>
      <c r="D895" s="513"/>
    </row>
    <row r="896" spans="1:4" x14ac:dyDescent="0.2">
      <c r="A896" s="537">
        <v>43620</v>
      </c>
      <c r="B896" s="513">
        <v>307288</v>
      </c>
      <c r="C896" s="537"/>
      <c r="D896" s="513"/>
    </row>
    <row r="897" spans="1:4" x14ac:dyDescent="0.2">
      <c r="A897" s="537">
        <v>43621</v>
      </c>
      <c r="B897" s="513">
        <v>307288</v>
      </c>
      <c r="C897" s="537"/>
      <c r="D897" s="513"/>
    </row>
    <row r="898" spans="1:4" x14ac:dyDescent="0.2">
      <c r="A898" s="537">
        <v>43622</v>
      </c>
      <c r="B898" s="513">
        <v>296580.19</v>
      </c>
      <c r="C898" s="537"/>
      <c r="D898" s="513"/>
    </row>
    <row r="899" spans="1:4" x14ac:dyDescent="0.2">
      <c r="A899" s="537">
        <v>43623</v>
      </c>
      <c r="B899" s="513">
        <v>295981.95</v>
      </c>
      <c r="C899" s="537"/>
      <c r="D899" s="513"/>
    </row>
    <row r="900" spans="1:4" x14ac:dyDescent="0.2">
      <c r="A900" s="537">
        <v>43626</v>
      </c>
      <c r="B900" s="513">
        <v>260513.06</v>
      </c>
      <c r="C900" s="537"/>
      <c r="D900" s="513"/>
    </row>
    <row r="901" spans="1:4" x14ac:dyDescent="0.2">
      <c r="A901" s="537">
        <v>43627</v>
      </c>
      <c r="B901" s="513">
        <v>260513</v>
      </c>
      <c r="C901" s="537"/>
      <c r="D901" s="513"/>
    </row>
    <row r="902" spans="1:4" x14ac:dyDescent="0.2">
      <c r="A902" s="537">
        <v>43628</v>
      </c>
      <c r="B902" s="513">
        <v>260513</v>
      </c>
      <c r="C902" s="537"/>
      <c r="D902" s="513"/>
    </row>
    <row r="903" spans="1:4" x14ac:dyDescent="0.2">
      <c r="A903" s="537">
        <v>43629</v>
      </c>
      <c r="B903" s="513">
        <v>255966.98</v>
      </c>
      <c r="C903" s="537"/>
      <c r="D903" s="513"/>
    </row>
    <row r="904" spans="1:4" x14ac:dyDescent="0.2">
      <c r="A904" s="537">
        <v>43630</v>
      </c>
      <c r="B904" s="513">
        <v>257507.94</v>
      </c>
      <c r="C904" s="537"/>
      <c r="D904" s="513"/>
    </row>
    <row r="905" spans="1:4" x14ac:dyDescent="0.2">
      <c r="A905" s="537">
        <v>43633</v>
      </c>
      <c r="B905" s="513">
        <v>257508</v>
      </c>
      <c r="C905" s="537"/>
      <c r="D905" s="513"/>
    </row>
    <row r="906" spans="1:4" x14ac:dyDescent="0.2">
      <c r="A906" s="537">
        <v>43634</v>
      </c>
      <c r="B906" s="513">
        <v>257508</v>
      </c>
      <c r="C906" s="537"/>
      <c r="D906" s="513"/>
    </row>
    <row r="907" spans="1:4" x14ac:dyDescent="0.2">
      <c r="A907" s="537">
        <v>43635</v>
      </c>
      <c r="B907" s="513">
        <v>257508</v>
      </c>
      <c r="C907" s="537"/>
      <c r="D907" s="513"/>
    </row>
    <row r="908" spans="1:4" x14ac:dyDescent="0.2">
      <c r="A908" s="537">
        <v>43636</v>
      </c>
      <c r="B908" s="513">
        <v>245601.94</v>
      </c>
      <c r="C908" s="537"/>
      <c r="D908" s="513"/>
    </row>
    <row r="909" spans="1:4" x14ac:dyDescent="0.2">
      <c r="A909" s="537">
        <v>43637</v>
      </c>
      <c r="B909" s="513">
        <v>245768.94</v>
      </c>
      <c r="C909" s="537"/>
      <c r="D909" s="513"/>
    </row>
    <row r="910" spans="1:4" x14ac:dyDescent="0.2">
      <c r="A910" s="537">
        <v>43640</v>
      </c>
      <c r="B910" s="513">
        <v>245769</v>
      </c>
      <c r="C910" s="537"/>
      <c r="D910" s="513"/>
    </row>
    <row r="911" spans="1:4" x14ac:dyDescent="0.2">
      <c r="A911" s="537">
        <v>43641</v>
      </c>
      <c r="B911" s="513">
        <v>209143.06</v>
      </c>
      <c r="C911" s="537"/>
      <c r="D911" s="513"/>
    </row>
    <row r="912" spans="1:4" x14ac:dyDescent="0.2">
      <c r="A912" s="537">
        <v>43642</v>
      </c>
      <c r="B912" s="513">
        <v>216087.16</v>
      </c>
      <c r="C912" s="537"/>
      <c r="D912" s="513"/>
    </row>
    <row r="913" spans="1:4" x14ac:dyDescent="0.2">
      <c r="A913" s="537">
        <v>43643</v>
      </c>
      <c r="B913" s="513">
        <v>218399.34</v>
      </c>
      <c r="C913" s="537"/>
      <c r="D913" s="513"/>
    </row>
    <row r="914" spans="1:4" x14ac:dyDescent="0.2">
      <c r="A914" s="537">
        <v>43644</v>
      </c>
      <c r="B914" s="513">
        <v>246675.15</v>
      </c>
      <c r="C914" s="537"/>
      <c r="D914" s="513"/>
    </row>
    <row r="915" spans="1:4" x14ac:dyDescent="0.2">
      <c r="A915" s="537">
        <v>43647</v>
      </c>
      <c r="B915" s="513">
        <v>246675</v>
      </c>
      <c r="C915" s="537"/>
      <c r="D915" s="513"/>
    </row>
    <row r="916" spans="1:4" x14ac:dyDescent="0.2">
      <c r="A916" s="537">
        <v>43648</v>
      </c>
      <c r="B916" s="513">
        <v>248377.32</v>
      </c>
      <c r="C916" s="537"/>
      <c r="D916" s="513"/>
    </row>
    <row r="917" spans="1:4" x14ac:dyDescent="0.2">
      <c r="A917" s="537">
        <v>43649</v>
      </c>
      <c r="B917" s="513">
        <v>277944.71000000002</v>
      </c>
      <c r="C917" s="537"/>
      <c r="D917" s="513"/>
    </row>
    <row r="918" spans="1:4" x14ac:dyDescent="0.2">
      <c r="A918" s="537">
        <v>43650</v>
      </c>
      <c r="B918" s="513">
        <v>277945</v>
      </c>
      <c r="C918" s="537"/>
      <c r="D918" s="513"/>
    </row>
    <row r="919" spans="1:4" x14ac:dyDescent="0.2">
      <c r="A919" s="537">
        <v>43651</v>
      </c>
      <c r="B919" s="513">
        <v>278046.71000000002</v>
      </c>
      <c r="C919" s="537"/>
      <c r="D919" s="513"/>
    </row>
    <row r="920" spans="1:4" x14ac:dyDescent="0.2">
      <c r="A920" s="537">
        <v>43654</v>
      </c>
      <c r="B920" s="513">
        <v>282590.19</v>
      </c>
      <c r="C920" s="537"/>
      <c r="D920" s="513"/>
    </row>
    <row r="921" spans="1:4" x14ac:dyDescent="0.2">
      <c r="A921" s="537">
        <v>43655</v>
      </c>
      <c r="B921" s="513">
        <v>247195.73</v>
      </c>
      <c r="C921" s="537"/>
      <c r="D921" s="513"/>
    </row>
    <row r="922" spans="1:4" x14ac:dyDescent="0.2">
      <c r="A922" s="537">
        <v>43656</v>
      </c>
      <c r="B922" s="513">
        <v>247195.73</v>
      </c>
      <c r="C922" s="537"/>
      <c r="D922" s="513"/>
    </row>
    <row r="923" spans="1:4" x14ac:dyDescent="0.2">
      <c r="A923" s="537">
        <v>43657</v>
      </c>
      <c r="B923" s="513">
        <v>235813.1</v>
      </c>
      <c r="C923" s="537"/>
      <c r="D923" s="513"/>
    </row>
    <row r="924" spans="1:4" x14ac:dyDescent="0.2">
      <c r="A924" s="537">
        <v>43658</v>
      </c>
      <c r="B924" s="513">
        <v>237210.07</v>
      </c>
      <c r="C924" s="537"/>
      <c r="D924" s="513"/>
    </row>
    <row r="925" spans="1:4" x14ac:dyDescent="0.2">
      <c r="A925" s="537">
        <v>43661</v>
      </c>
      <c r="B925" s="513">
        <v>237490.39</v>
      </c>
      <c r="C925" s="537"/>
      <c r="D925" s="513"/>
    </row>
    <row r="926" spans="1:4" x14ac:dyDescent="0.2">
      <c r="A926" s="537">
        <v>43662</v>
      </c>
      <c r="B926" s="513">
        <v>237490</v>
      </c>
      <c r="C926" s="537"/>
      <c r="D926" s="513"/>
    </row>
    <row r="927" spans="1:4" x14ac:dyDescent="0.2">
      <c r="A927" s="537">
        <v>43663</v>
      </c>
      <c r="B927" s="513">
        <v>237490.39</v>
      </c>
      <c r="C927" s="537"/>
      <c r="D927" s="513"/>
    </row>
    <row r="928" spans="1:4" x14ac:dyDescent="0.2">
      <c r="A928" s="537">
        <v>43664</v>
      </c>
      <c r="B928" s="513">
        <v>232593.57</v>
      </c>
      <c r="C928" s="537"/>
      <c r="D928" s="513"/>
    </row>
    <row r="929" spans="1:4" x14ac:dyDescent="0.2">
      <c r="A929" s="537">
        <v>43665</v>
      </c>
      <c r="B929" s="513">
        <v>232923.06</v>
      </c>
      <c r="C929" s="537"/>
      <c r="D929" s="513"/>
    </row>
    <row r="930" spans="1:4" x14ac:dyDescent="0.2">
      <c r="A930" s="537">
        <v>43668</v>
      </c>
      <c r="B930" s="513">
        <v>196798.51</v>
      </c>
      <c r="C930" s="537"/>
      <c r="D930" s="513"/>
    </row>
    <row r="931" spans="1:4" x14ac:dyDescent="0.2">
      <c r="A931" s="537">
        <v>43669</v>
      </c>
      <c r="B931" s="513">
        <v>199629.38</v>
      </c>
      <c r="C931" s="537"/>
      <c r="D931" s="513"/>
    </row>
    <row r="932" spans="1:4" x14ac:dyDescent="0.2">
      <c r="A932" s="537">
        <v>43670</v>
      </c>
      <c r="B932" s="513">
        <v>199629</v>
      </c>
      <c r="C932" s="537"/>
      <c r="D932" s="513"/>
    </row>
    <row r="933" spans="1:4" x14ac:dyDescent="0.2">
      <c r="A933" s="537">
        <v>43671</v>
      </c>
      <c r="B933" s="513">
        <v>195151.45</v>
      </c>
      <c r="C933" s="537"/>
      <c r="D933" s="513"/>
    </row>
    <row r="934" spans="1:4" x14ac:dyDescent="0.2">
      <c r="A934" s="537">
        <v>43672</v>
      </c>
      <c r="B934" s="513">
        <v>228843.78</v>
      </c>
      <c r="C934" s="537"/>
      <c r="D934" s="513"/>
    </row>
    <row r="935" spans="1:4" x14ac:dyDescent="0.2">
      <c r="A935" s="537">
        <v>43675</v>
      </c>
      <c r="B935" s="513">
        <v>228844</v>
      </c>
      <c r="C935" s="537"/>
      <c r="D935" s="513"/>
    </row>
    <row r="936" spans="1:4" x14ac:dyDescent="0.2">
      <c r="A936" s="537">
        <v>43676</v>
      </c>
      <c r="B936" s="513">
        <v>228844</v>
      </c>
      <c r="C936" s="537"/>
      <c r="D936" s="513"/>
    </row>
    <row r="937" spans="1:4" x14ac:dyDescent="0.2">
      <c r="A937" s="537">
        <v>43677</v>
      </c>
      <c r="B937" s="513">
        <v>229051.78</v>
      </c>
      <c r="C937" s="537"/>
      <c r="D937" s="513"/>
    </row>
    <row r="938" spans="1:4" x14ac:dyDescent="0.2">
      <c r="A938" s="537">
        <v>43678</v>
      </c>
      <c r="B938" s="513">
        <v>234767.17</v>
      </c>
      <c r="C938" s="537"/>
      <c r="D938" s="513"/>
    </row>
    <row r="939" spans="1:4" x14ac:dyDescent="0.2">
      <c r="A939" s="537">
        <v>43679</v>
      </c>
      <c r="B939" s="513">
        <v>236117.76000000001</v>
      </c>
      <c r="C939" s="537"/>
      <c r="D939" s="513"/>
    </row>
    <row r="940" spans="1:4" x14ac:dyDescent="0.2">
      <c r="A940" s="537">
        <v>43682</v>
      </c>
      <c r="B940" s="513">
        <v>236118</v>
      </c>
      <c r="C940" s="537"/>
      <c r="D940" s="513"/>
    </row>
    <row r="941" spans="1:4" x14ac:dyDescent="0.2">
      <c r="A941" s="537">
        <v>43683</v>
      </c>
      <c r="B941" s="513">
        <v>208888.5</v>
      </c>
      <c r="C941" s="537"/>
      <c r="D941" s="513"/>
    </row>
    <row r="942" spans="1:4" x14ac:dyDescent="0.2">
      <c r="A942" s="537">
        <v>43684</v>
      </c>
      <c r="B942" s="513">
        <v>208792.5</v>
      </c>
      <c r="C942" s="537"/>
      <c r="D942" s="513"/>
    </row>
    <row r="943" spans="1:4" x14ac:dyDescent="0.2">
      <c r="A943" s="537">
        <v>43685</v>
      </c>
      <c r="B943" s="513">
        <v>203219.37</v>
      </c>
      <c r="C943" s="537"/>
      <c r="D943" s="513"/>
    </row>
    <row r="944" spans="1:4" x14ac:dyDescent="0.2">
      <c r="A944" s="537">
        <v>43686</v>
      </c>
      <c r="B944" s="513">
        <v>205639.37</v>
      </c>
      <c r="C944" s="537"/>
      <c r="D944" s="513"/>
    </row>
    <row r="945" spans="1:4" x14ac:dyDescent="0.2">
      <c r="A945" s="537">
        <v>43689</v>
      </c>
      <c r="B945" s="513">
        <v>205639.37</v>
      </c>
      <c r="C945" s="537"/>
      <c r="D945" s="513"/>
    </row>
    <row r="946" spans="1:4" x14ac:dyDescent="0.2">
      <c r="A946" s="537">
        <v>43690</v>
      </c>
      <c r="B946" s="513">
        <v>232145.73</v>
      </c>
      <c r="C946" s="537"/>
      <c r="D946" s="513"/>
    </row>
    <row r="947" spans="1:4" x14ac:dyDescent="0.2">
      <c r="A947" s="537">
        <v>43691</v>
      </c>
      <c r="B947" s="513">
        <v>233325.32</v>
      </c>
      <c r="C947" s="537"/>
      <c r="D947" s="513"/>
    </row>
    <row r="948" spans="1:4" x14ac:dyDescent="0.2">
      <c r="A948" s="537">
        <v>43692</v>
      </c>
      <c r="B948" s="513">
        <v>225375.98</v>
      </c>
      <c r="C948" s="537"/>
      <c r="D948" s="513"/>
    </row>
    <row r="949" spans="1:4" x14ac:dyDescent="0.2">
      <c r="A949" s="537">
        <v>43693</v>
      </c>
      <c r="B949" s="513">
        <v>225424.1</v>
      </c>
      <c r="C949" s="537"/>
      <c r="D949" s="513"/>
    </row>
    <row r="950" spans="1:4" x14ac:dyDescent="0.2">
      <c r="A950" s="537">
        <v>43696</v>
      </c>
      <c r="B950" s="513">
        <v>187365.06</v>
      </c>
      <c r="C950" s="537"/>
      <c r="D950" s="513"/>
    </row>
    <row r="951" spans="1:4" x14ac:dyDescent="0.2">
      <c r="A951" s="537">
        <v>43697</v>
      </c>
      <c r="B951" s="513">
        <v>187365</v>
      </c>
      <c r="C951" s="537"/>
      <c r="D951" s="513"/>
    </row>
    <row r="952" spans="1:4" x14ac:dyDescent="0.2">
      <c r="A952" s="537">
        <v>43698</v>
      </c>
      <c r="B952" s="513">
        <v>187365</v>
      </c>
      <c r="C952" s="537"/>
      <c r="D952" s="513"/>
    </row>
    <row r="953" spans="1:4" x14ac:dyDescent="0.2">
      <c r="A953" s="537">
        <v>43699</v>
      </c>
      <c r="B953" s="575">
        <v>172667.6</v>
      </c>
      <c r="C953" s="537"/>
      <c r="D953" s="513"/>
    </row>
    <row r="954" spans="1:4" x14ac:dyDescent="0.2">
      <c r="A954" s="537">
        <v>43700</v>
      </c>
      <c r="B954" s="513">
        <v>172668</v>
      </c>
      <c r="C954" s="537"/>
      <c r="D954" s="513"/>
    </row>
    <row r="955" spans="1:4" x14ac:dyDescent="0.2">
      <c r="A955" s="537">
        <v>43703</v>
      </c>
      <c r="B955" s="513">
        <v>236616.35</v>
      </c>
      <c r="C955" s="537"/>
      <c r="D955" s="513"/>
    </row>
    <row r="956" spans="1:4" x14ac:dyDescent="0.2">
      <c r="A956" s="537">
        <v>43704</v>
      </c>
      <c r="B956" s="513">
        <v>237913.62</v>
      </c>
      <c r="C956" s="537"/>
      <c r="D956" s="513"/>
    </row>
    <row r="957" spans="1:4" x14ac:dyDescent="0.2">
      <c r="A957" s="537">
        <v>43705</v>
      </c>
      <c r="B957" s="513">
        <v>237914</v>
      </c>
      <c r="C957" s="537"/>
      <c r="D957" s="513"/>
    </row>
    <row r="958" spans="1:4" x14ac:dyDescent="0.2">
      <c r="A958" s="537">
        <v>43706</v>
      </c>
      <c r="B958" s="513">
        <v>244708.19</v>
      </c>
      <c r="C958" s="537"/>
      <c r="D958" s="513"/>
    </row>
    <row r="959" spans="1:4" x14ac:dyDescent="0.2">
      <c r="A959" s="537">
        <v>43707</v>
      </c>
      <c r="B959" s="513">
        <v>249899.19</v>
      </c>
      <c r="C959" s="537"/>
      <c r="D959" s="513"/>
    </row>
    <row r="960" spans="1:4" x14ac:dyDescent="0.2">
      <c r="A960" s="537">
        <v>43710</v>
      </c>
      <c r="B960" s="513">
        <v>249899</v>
      </c>
      <c r="C960" s="537"/>
      <c r="D960" s="513"/>
    </row>
    <row r="961" spans="1:4" x14ac:dyDescent="0.2">
      <c r="A961" s="537">
        <v>43711</v>
      </c>
      <c r="B961" s="513">
        <v>215930.73</v>
      </c>
      <c r="C961" s="537"/>
      <c r="D961" s="513"/>
    </row>
    <row r="962" spans="1:4" x14ac:dyDescent="0.2">
      <c r="A962" s="537">
        <v>43712</v>
      </c>
      <c r="B962" s="513">
        <v>215931</v>
      </c>
      <c r="C962" s="537"/>
      <c r="D962" s="513"/>
    </row>
    <row r="963" spans="1:4" x14ac:dyDescent="0.2">
      <c r="A963" s="537">
        <v>43713</v>
      </c>
      <c r="B963" s="513">
        <v>205664.34</v>
      </c>
      <c r="C963" s="537"/>
      <c r="D963" s="513"/>
    </row>
    <row r="964" spans="1:4" x14ac:dyDescent="0.2">
      <c r="A964" s="537">
        <v>43714</v>
      </c>
      <c r="B964" s="513">
        <v>205830.34</v>
      </c>
      <c r="C964" s="537"/>
      <c r="D964" s="513"/>
    </row>
    <row r="965" spans="1:4" x14ac:dyDescent="0.2">
      <c r="A965" s="537">
        <v>43717</v>
      </c>
      <c r="B965" s="513">
        <v>205830</v>
      </c>
      <c r="C965" s="537"/>
      <c r="D965" s="513"/>
    </row>
    <row r="966" spans="1:4" x14ac:dyDescent="0.2">
      <c r="A966" s="537">
        <v>43718</v>
      </c>
      <c r="B966" s="513">
        <v>205830</v>
      </c>
      <c r="C966" s="537"/>
      <c r="D966" s="513"/>
    </row>
    <row r="967" spans="1:4" x14ac:dyDescent="0.2">
      <c r="A967" s="537">
        <v>43719</v>
      </c>
      <c r="B967" s="513">
        <v>205830</v>
      </c>
      <c r="C967" s="537"/>
      <c r="D967" s="513"/>
    </row>
    <row r="968" spans="1:4" x14ac:dyDescent="0.2">
      <c r="A968" s="537">
        <v>43720</v>
      </c>
      <c r="B968" s="513">
        <v>207654.61</v>
      </c>
      <c r="C968" s="537"/>
      <c r="D968" s="513"/>
    </row>
    <row r="969" spans="1:4" x14ac:dyDescent="0.2">
      <c r="A969" s="537">
        <v>43721</v>
      </c>
      <c r="B969" s="513">
        <v>207743.24</v>
      </c>
      <c r="C969" s="537"/>
      <c r="D969" s="513"/>
    </row>
    <row r="970" spans="1:4" x14ac:dyDescent="0.2">
      <c r="A970" s="537">
        <v>43724</v>
      </c>
      <c r="B970" s="513">
        <v>207845.42</v>
      </c>
      <c r="C970" s="537"/>
      <c r="D970" s="513"/>
    </row>
    <row r="971" spans="1:4" x14ac:dyDescent="0.2">
      <c r="A971" s="537">
        <v>43725</v>
      </c>
      <c r="B971" s="513">
        <v>173840.8</v>
      </c>
      <c r="C971" s="537"/>
      <c r="D971" s="513"/>
    </row>
    <row r="972" spans="1:4" x14ac:dyDescent="0.2">
      <c r="A972" s="537">
        <v>43726</v>
      </c>
      <c r="B972" s="513">
        <v>212383.95</v>
      </c>
      <c r="C972" s="537"/>
      <c r="D972" s="513"/>
    </row>
    <row r="973" spans="1:4" x14ac:dyDescent="0.2">
      <c r="A973" s="537">
        <v>43727</v>
      </c>
      <c r="B973" s="513">
        <v>205191.98</v>
      </c>
      <c r="C973" s="537"/>
      <c r="D973" s="513"/>
    </row>
    <row r="974" spans="1:4" x14ac:dyDescent="0.2">
      <c r="A974" s="537">
        <v>43728</v>
      </c>
      <c r="B974" s="513">
        <v>205884.98</v>
      </c>
      <c r="C974" s="537"/>
      <c r="D974" s="513"/>
    </row>
    <row r="975" spans="1:4" x14ac:dyDescent="0.2">
      <c r="A975" s="537">
        <v>43731</v>
      </c>
      <c r="B975" s="513">
        <v>205884.98</v>
      </c>
      <c r="C975" s="537"/>
      <c r="D975" s="513"/>
    </row>
    <row r="976" spans="1:4" x14ac:dyDescent="0.2">
      <c r="A976" s="537">
        <v>43732</v>
      </c>
      <c r="B976" s="513">
        <v>205884.98</v>
      </c>
      <c r="C976" s="537"/>
      <c r="D976" s="513"/>
    </row>
    <row r="977" spans="1:4" x14ac:dyDescent="0.2">
      <c r="A977" s="537">
        <v>43733</v>
      </c>
      <c r="B977" s="513">
        <v>231641.34</v>
      </c>
      <c r="C977" s="537"/>
      <c r="D977" s="513"/>
    </row>
    <row r="978" spans="1:4" x14ac:dyDescent="0.2">
      <c r="A978" s="537">
        <v>43734</v>
      </c>
      <c r="B978" s="513">
        <v>236338.62</v>
      </c>
      <c r="C978" s="537"/>
      <c r="D978" s="513"/>
    </row>
    <row r="979" spans="1:4" x14ac:dyDescent="0.2">
      <c r="A979" s="537">
        <v>43735</v>
      </c>
      <c r="B979" s="513">
        <v>269514.5</v>
      </c>
      <c r="C979" s="537"/>
      <c r="D979" s="513"/>
    </row>
    <row r="980" spans="1:4" x14ac:dyDescent="0.2">
      <c r="A980" s="537">
        <v>43738</v>
      </c>
      <c r="B980" s="513">
        <v>287654.26</v>
      </c>
      <c r="C980" s="537"/>
      <c r="D980" s="513"/>
    </row>
    <row r="981" spans="1:4" x14ac:dyDescent="0.2">
      <c r="A981" s="537">
        <v>43739</v>
      </c>
      <c r="B981" s="513">
        <v>254047.41</v>
      </c>
      <c r="C981" s="537"/>
      <c r="D981" s="513"/>
    </row>
    <row r="982" spans="1:4" x14ac:dyDescent="0.2">
      <c r="A982" s="537">
        <v>43740</v>
      </c>
      <c r="B982" s="513">
        <v>254047</v>
      </c>
      <c r="C982" s="537"/>
      <c r="D982" s="513"/>
    </row>
    <row r="983" spans="1:4" x14ac:dyDescent="0.2">
      <c r="A983" s="537">
        <v>43741</v>
      </c>
      <c r="B983" s="513">
        <v>244596.04</v>
      </c>
      <c r="C983" s="537"/>
      <c r="D983" s="513"/>
    </row>
    <row r="984" spans="1:4" x14ac:dyDescent="0.2">
      <c r="A984" s="537">
        <v>43742</v>
      </c>
      <c r="B984" s="513">
        <v>244881.04</v>
      </c>
      <c r="C984" s="537"/>
      <c r="D984" s="513"/>
    </row>
    <row r="985" spans="1:4" x14ac:dyDescent="0.2">
      <c r="A985" s="537">
        <v>43745</v>
      </c>
      <c r="B985" s="513">
        <v>244881</v>
      </c>
      <c r="C985" s="537"/>
      <c r="D985" s="513"/>
    </row>
    <row r="986" spans="1:4" x14ac:dyDescent="0.2">
      <c r="A986" s="537">
        <v>43746</v>
      </c>
      <c r="B986" s="513">
        <v>244881</v>
      </c>
      <c r="C986" s="537"/>
      <c r="D986" s="513"/>
    </row>
    <row r="987" spans="1:4" x14ac:dyDescent="0.2">
      <c r="A987" s="537">
        <v>43747</v>
      </c>
      <c r="B987" s="513">
        <v>244881</v>
      </c>
      <c r="C987" s="537"/>
      <c r="D987" s="513"/>
    </row>
    <row r="988" spans="1:4" x14ac:dyDescent="0.2">
      <c r="A988" s="537">
        <v>43748</v>
      </c>
      <c r="B988" s="513">
        <v>247845.59</v>
      </c>
      <c r="C988" s="537"/>
      <c r="D988" s="513"/>
    </row>
    <row r="989" spans="1:4" x14ac:dyDescent="0.2">
      <c r="A989" s="537">
        <v>43749</v>
      </c>
      <c r="B989" s="513">
        <v>247846</v>
      </c>
      <c r="C989" s="537"/>
      <c r="D989" s="513"/>
    </row>
    <row r="990" spans="1:4" x14ac:dyDescent="0.2">
      <c r="A990" s="537">
        <v>43752</v>
      </c>
      <c r="B990" s="513">
        <v>247846</v>
      </c>
      <c r="C990" s="537"/>
      <c r="D990" s="513"/>
    </row>
    <row r="991" spans="1:4" x14ac:dyDescent="0.2">
      <c r="A991" s="537">
        <v>43753</v>
      </c>
      <c r="B991" s="513">
        <v>183161.53</v>
      </c>
      <c r="C991" s="537"/>
      <c r="D991" s="513"/>
    </row>
    <row r="992" spans="1:4" x14ac:dyDescent="0.2">
      <c r="A992" s="537">
        <v>43754</v>
      </c>
      <c r="B992" s="513">
        <v>185786.19</v>
      </c>
      <c r="C992" s="537"/>
      <c r="D992" s="513"/>
    </row>
    <row r="993" spans="1:4" x14ac:dyDescent="0.2">
      <c r="A993" s="537">
        <v>43755</v>
      </c>
      <c r="B993" s="513">
        <v>160581.73000000001</v>
      </c>
      <c r="C993" s="537"/>
      <c r="D993" s="513"/>
    </row>
    <row r="994" spans="1:4" x14ac:dyDescent="0.2">
      <c r="A994" s="537">
        <v>43756</v>
      </c>
      <c r="B994" s="513">
        <v>160581.73000000001</v>
      </c>
      <c r="C994" s="537"/>
      <c r="D994" s="513"/>
    </row>
    <row r="995" spans="1:4" x14ac:dyDescent="0.2">
      <c r="A995" s="537">
        <v>43759</v>
      </c>
      <c r="B995" s="513">
        <v>160581.73000000001</v>
      </c>
      <c r="C995" s="537"/>
      <c r="D995" s="513"/>
    </row>
    <row r="996" spans="1:4" x14ac:dyDescent="0.2">
      <c r="A996" s="537">
        <v>43760</v>
      </c>
      <c r="B996" s="513">
        <v>160581.73000000001</v>
      </c>
      <c r="C996" s="537"/>
      <c r="D996" s="513"/>
    </row>
    <row r="997" spans="1:4" x14ac:dyDescent="0.2">
      <c r="A997" s="537">
        <v>43761</v>
      </c>
      <c r="B997" s="513">
        <v>171996.42</v>
      </c>
      <c r="C997" s="537"/>
      <c r="D997" s="513"/>
    </row>
    <row r="998" spans="1:4" x14ac:dyDescent="0.2">
      <c r="A998" s="537">
        <v>43762</v>
      </c>
      <c r="B998" s="513">
        <v>167352.24</v>
      </c>
      <c r="C998" s="537"/>
      <c r="D998" s="513"/>
    </row>
    <row r="999" spans="1:4" x14ac:dyDescent="0.2">
      <c r="A999" s="537">
        <v>43763</v>
      </c>
      <c r="B999" s="513">
        <v>166766.24</v>
      </c>
      <c r="C999" s="537"/>
      <c r="D999" s="513"/>
    </row>
    <row r="1000" spans="1:4" x14ac:dyDescent="0.2">
      <c r="A1000" s="537">
        <v>43766</v>
      </c>
      <c r="B1000" s="575">
        <v>129051.26</v>
      </c>
      <c r="C1000" s="537"/>
      <c r="D1000" s="513"/>
    </row>
    <row r="1001" spans="1:4" x14ac:dyDescent="0.2">
      <c r="A1001" s="537">
        <v>43767</v>
      </c>
      <c r="B1001" s="513">
        <v>132306.64000000001</v>
      </c>
      <c r="C1001" s="537"/>
      <c r="D1001" s="513"/>
    </row>
    <row r="1002" spans="1:4" x14ac:dyDescent="0.2">
      <c r="A1002" s="537">
        <v>43768</v>
      </c>
      <c r="B1002" s="513">
        <v>181475.08</v>
      </c>
      <c r="C1002" s="537"/>
      <c r="D1002" s="513"/>
    </row>
    <row r="1003" spans="1:4" x14ac:dyDescent="0.2">
      <c r="A1003" s="537">
        <v>43769</v>
      </c>
      <c r="B1003" s="513">
        <v>169335.94</v>
      </c>
      <c r="C1003" s="537"/>
      <c r="D1003" s="513"/>
    </row>
    <row r="1004" spans="1:4" x14ac:dyDescent="0.2">
      <c r="A1004" s="537">
        <v>43770</v>
      </c>
      <c r="B1004" s="513">
        <v>171521.13</v>
      </c>
      <c r="C1004" s="537"/>
      <c r="D1004" s="513"/>
    </row>
    <row r="1005" spans="1:4" x14ac:dyDescent="0.2">
      <c r="A1005" s="537">
        <v>43773</v>
      </c>
      <c r="B1005" s="513">
        <v>171521</v>
      </c>
      <c r="C1005" s="537"/>
      <c r="D1005" s="513"/>
    </row>
    <row r="1006" spans="1:4" x14ac:dyDescent="0.2">
      <c r="A1006" s="537">
        <v>43774</v>
      </c>
      <c r="B1006" s="513">
        <v>171521</v>
      </c>
      <c r="C1006" s="537"/>
      <c r="D1006" s="513"/>
    </row>
    <row r="1007" spans="1:4" x14ac:dyDescent="0.2">
      <c r="A1007" s="537">
        <v>43775</v>
      </c>
      <c r="B1007" s="513">
        <v>201934.13</v>
      </c>
      <c r="C1007" s="537"/>
      <c r="D1007" s="513"/>
    </row>
    <row r="1008" spans="1:4" x14ac:dyDescent="0.2">
      <c r="A1008" s="537">
        <v>43776</v>
      </c>
      <c r="B1008" s="513">
        <v>198457.3</v>
      </c>
      <c r="C1008" s="537"/>
      <c r="D1008" s="513"/>
    </row>
    <row r="1009" spans="1:4" x14ac:dyDescent="0.2">
      <c r="A1009" s="537">
        <v>43777</v>
      </c>
      <c r="B1009" s="513">
        <v>198457</v>
      </c>
      <c r="C1009" s="537"/>
      <c r="D1009" s="513"/>
    </row>
    <row r="1010" spans="1:4" x14ac:dyDescent="0.2">
      <c r="A1010" s="537">
        <v>43780</v>
      </c>
      <c r="B1010" s="513">
        <v>164046.53</v>
      </c>
      <c r="C1010" s="537"/>
      <c r="D1010" s="513"/>
    </row>
    <row r="1011" spans="1:4" x14ac:dyDescent="0.2">
      <c r="A1011" s="537">
        <v>43781</v>
      </c>
      <c r="B1011" s="513">
        <v>164047</v>
      </c>
      <c r="C1011" s="537"/>
      <c r="D1011" s="513"/>
    </row>
    <row r="1012" spans="1:4" x14ac:dyDescent="0.2">
      <c r="A1012" s="537">
        <v>43782</v>
      </c>
      <c r="B1012" s="513">
        <v>198779.19</v>
      </c>
      <c r="C1012" s="537"/>
      <c r="D1012" s="513"/>
    </row>
    <row r="1013" spans="1:4" x14ac:dyDescent="0.2">
      <c r="A1013" s="537">
        <v>43783</v>
      </c>
      <c r="B1013" s="513">
        <v>188221.13</v>
      </c>
      <c r="C1013" s="537"/>
      <c r="D1013" s="513"/>
    </row>
    <row r="1014" spans="1:4" x14ac:dyDescent="0.2">
      <c r="A1014" s="537">
        <v>43784</v>
      </c>
      <c r="B1014" s="513">
        <v>190279.89</v>
      </c>
      <c r="C1014" s="537"/>
      <c r="D1014" s="513"/>
    </row>
    <row r="1015" spans="1:4" x14ac:dyDescent="0.2">
      <c r="A1015" s="537">
        <v>43787</v>
      </c>
      <c r="B1015" s="513">
        <v>190179.89</v>
      </c>
      <c r="C1015" s="537"/>
      <c r="D1015" s="513"/>
    </row>
    <row r="1016" spans="1:4" x14ac:dyDescent="0.2">
      <c r="A1016" s="537">
        <v>43788</v>
      </c>
      <c r="B1016" s="513">
        <v>190180</v>
      </c>
      <c r="C1016" s="537"/>
      <c r="D1016" s="513"/>
    </row>
    <row r="1017" spans="1:4" x14ac:dyDescent="0.2">
      <c r="A1017" s="537">
        <v>43789</v>
      </c>
      <c r="B1017" s="513">
        <v>190180</v>
      </c>
      <c r="C1017" s="537"/>
      <c r="D1017" s="513"/>
    </row>
    <row r="1018" spans="1:4" x14ac:dyDescent="0.2">
      <c r="A1018" s="537">
        <v>43790</v>
      </c>
      <c r="B1018" s="513">
        <v>188919.3</v>
      </c>
      <c r="C1018" s="537"/>
      <c r="D1018" s="513"/>
    </row>
    <row r="1019" spans="1:4" x14ac:dyDescent="0.2">
      <c r="A1019" s="537">
        <v>43791</v>
      </c>
      <c r="B1019" s="513">
        <v>188919</v>
      </c>
      <c r="C1019" s="537"/>
      <c r="D1019" s="513"/>
    </row>
    <row r="1020" spans="1:4" x14ac:dyDescent="0.2">
      <c r="A1020" s="537">
        <v>43794</v>
      </c>
      <c r="B1020" s="513">
        <v>153349.64000000001</v>
      </c>
      <c r="C1020" s="537"/>
      <c r="D1020" s="513"/>
    </row>
    <row r="1021" spans="1:4" x14ac:dyDescent="0.2">
      <c r="A1021" s="537">
        <v>43795</v>
      </c>
      <c r="B1021" s="513">
        <v>153226.64000000001</v>
      </c>
      <c r="C1021" s="537"/>
      <c r="D1021" s="513"/>
    </row>
    <row r="1022" spans="1:4" x14ac:dyDescent="0.2">
      <c r="A1022" s="537">
        <v>43796</v>
      </c>
      <c r="B1022" s="513">
        <v>154369.64000000001</v>
      </c>
      <c r="C1022" s="537"/>
      <c r="D1022" s="513"/>
    </row>
    <row r="1023" spans="1:4" x14ac:dyDescent="0.2">
      <c r="A1023" s="537">
        <v>43797</v>
      </c>
      <c r="B1023" s="513">
        <v>154370</v>
      </c>
      <c r="C1023" s="537"/>
      <c r="D1023" s="513"/>
    </row>
    <row r="1024" spans="1:4" x14ac:dyDescent="0.2">
      <c r="A1024" s="537">
        <v>43798</v>
      </c>
      <c r="B1024" s="513">
        <v>237011.17</v>
      </c>
      <c r="C1024" s="537"/>
      <c r="D1024" s="513"/>
    </row>
    <row r="1025" spans="1:4" x14ac:dyDescent="0.2">
      <c r="A1025" s="537">
        <v>43801</v>
      </c>
      <c r="B1025" s="513">
        <v>237011</v>
      </c>
      <c r="C1025" s="537"/>
      <c r="D1025" s="513"/>
    </row>
    <row r="1026" spans="1:4" x14ac:dyDescent="0.2">
      <c r="A1026" s="537">
        <v>43802</v>
      </c>
      <c r="B1026" s="513">
        <v>237011</v>
      </c>
      <c r="C1026" s="537"/>
      <c r="D1026" s="513"/>
    </row>
    <row r="1027" spans="1:4" x14ac:dyDescent="0.2">
      <c r="A1027" s="537">
        <v>43803</v>
      </c>
      <c r="B1027" s="513">
        <v>237011</v>
      </c>
      <c r="C1027" s="537"/>
      <c r="D1027" s="513"/>
    </row>
    <row r="1028" spans="1:4" x14ac:dyDescent="0.2">
      <c r="A1028" s="537">
        <v>43804</v>
      </c>
      <c r="B1028" s="513">
        <v>229967.75</v>
      </c>
      <c r="C1028" s="537"/>
      <c r="D1028" s="513"/>
    </row>
    <row r="1029" spans="1:4" x14ac:dyDescent="0.2">
      <c r="A1029" s="537">
        <v>43805</v>
      </c>
      <c r="B1029" s="513">
        <v>229968</v>
      </c>
      <c r="C1029" s="537"/>
      <c r="D1029" s="513"/>
    </row>
    <row r="1030" spans="1:4" x14ac:dyDescent="0.2">
      <c r="A1030" s="537">
        <v>43808</v>
      </c>
      <c r="B1030" s="513">
        <v>193352.99</v>
      </c>
      <c r="C1030" s="537"/>
      <c r="D1030" s="513"/>
    </row>
    <row r="1031" spans="1:4" x14ac:dyDescent="0.2">
      <c r="A1031" s="537">
        <v>43809</v>
      </c>
      <c r="B1031" s="513">
        <v>193629.99</v>
      </c>
      <c r="C1031" s="537"/>
      <c r="D1031" s="513"/>
    </row>
    <row r="1032" spans="1:4" x14ac:dyDescent="0.2">
      <c r="A1032" s="537">
        <v>43810</v>
      </c>
      <c r="B1032" s="513">
        <v>193630</v>
      </c>
      <c r="C1032" s="537"/>
      <c r="D1032" s="513"/>
    </row>
    <row r="1033" spans="1:4" x14ac:dyDescent="0.2">
      <c r="A1033" s="537">
        <v>43811</v>
      </c>
      <c r="B1033" s="513">
        <v>193945</v>
      </c>
      <c r="C1033" s="537"/>
      <c r="D1033" s="513"/>
    </row>
    <row r="1034" spans="1:4" x14ac:dyDescent="0.2">
      <c r="A1034" s="537">
        <v>43812</v>
      </c>
      <c r="B1034" s="513">
        <v>196370.92</v>
      </c>
      <c r="C1034" s="537"/>
      <c r="D1034" s="513"/>
    </row>
    <row r="1035" spans="1:4" x14ac:dyDescent="0.2">
      <c r="A1035" s="537">
        <v>43815</v>
      </c>
      <c r="B1035" s="513">
        <v>196370.92</v>
      </c>
      <c r="C1035" s="537"/>
      <c r="D1035" s="513"/>
    </row>
    <row r="1036" spans="1:4" x14ac:dyDescent="0.2">
      <c r="A1036" s="537">
        <v>43816</v>
      </c>
      <c r="B1036" s="513">
        <v>196370.92</v>
      </c>
      <c r="C1036" s="537"/>
      <c r="D1036" s="513"/>
    </row>
    <row r="1037" spans="1:4" x14ac:dyDescent="0.2">
      <c r="A1037" s="537">
        <v>43817</v>
      </c>
      <c r="B1037" s="513">
        <v>196370.92</v>
      </c>
      <c r="C1037" s="537"/>
      <c r="D1037" s="513"/>
    </row>
    <row r="1038" spans="1:4" x14ac:dyDescent="0.2">
      <c r="A1038" s="537">
        <v>43818</v>
      </c>
      <c r="B1038" s="513">
        <v>194997.56</v>
      </c>
      <c r="C1038" s="537"/>
      <c r="D1038" s="513"/>
    </row>
    <row r="1039" spans="1:4" x14ac:dyDescent="0.2">
      <c r="A1039" s="537">
        <v>43819</v>
      </c>
      <c r="B1039" s="513">
        <v>194998</v>
      </c>
      <c r="C1039" s="537"/>
      <c r="D1039" s="513"/>
    </row>
    <row r="1040" spans="1:4" x14ac:dyDescent="0.2">
      <c r="A1040" s="537">
        <v>43822</v>
      </c>
      <c r="B1040" s="513">
        <v>158280.26999999999</v>
      </c>
      <c r="C1040" s="537"/>
      <c r="D1040" s="513"/>
    </row>
    <row r="1041" spans="1:4" x14ac:dyDescent="0.2">
      <c r="A1041" s="537">
        <v>43823</v>
      </c>
      <c r="B1041" s="513">
        <v>163840.26999999999</v>
      </c>
      <c r="C1041" s="537"/>
      <c r="D1041" s="513"/>
    </row>
    <row r="1042" spans="1:4" x14ac:dyDescent="0.2">
      <c r="A1042" s="537">
        <v>43824</v>
      </c>
      <c r="B1042" s="513">
        <v>163840</v>
      </c>
      <c r="C1042" s="537"/>
      <c r="D1042" s="513"/>
    </row>
    <row r="1043" spans="1:4" x14ac:dyDescent="0.2">
      <c r="A1043" s="537">
        <v>43825</v>
      </c>
      <c r="B1043" s="513">
        <v>213174.46</v>
      </c>
      <c r="C1043" s="537"/>
      <c r="D1043" s="513"/>
    </row>
    <row r="1044" spans="1:4" x14ac:dyDescent="0.2">
      <c r="A1044" s="537">
        <v>43826</v>
      </c>
      <c r="B1044" s="513">
        <v>212851.46</v>
      </c>
      <c r="C1044" s="537"/>
      <c r="D1044" s="513"/>
    </row>
    <row r="1045" spans="1:4" x14ac:dyDescent="0.2">
      <c r="A1045" s="537">
        <v>43829</v>
      </c>
      <c r="B1045" s="513">
        <v>212221.74</v>
      </c>
      <c r="C1045" s="537"/>
      <c r="D1045" s="513"/>
    </row>
    <row r="1046" spans="1:4" x14ac:dyDescent="0.2">
      <c r="A1046" s="537">
        <v>43830</v>
      </c>
      <c r="B1046" s="513">
        <v>189055.83</v>
      </c>
      <c r="C1046" s="537"/>
      <c r="D1046" s="513"/>
    </row>
    <row r="1047" spans="1:4" x14ac:dyDescent="0.2">
      <c r="A1047" s="537"/>
      <c r="C1047" s="537"/>
      <c r="D1047" s="513"/>
    </row>
    <row r="1048" spans="1:4" x14ac:dyDescent="0.2">
      <c r="A1048" s="537"/>
      <c r="C1048" s="537"/>
      <c r="D1048" s="513"/>
    </row>
    <row r="1049" spans="1:4" x14ac:dyDescent="0.2">
      <c r="A1049" s="537"/>
      <c r="C1049" s="537"/>
      <c r="D1049" s="513"/>
    </row>
    <row r="1050" spans="1:4" x14ac:dyDescent="0.2">
      <c r="A1050" s="537"/>
      <c r="C1050" s="537"/>
      <c r="D1050" s="513"/>
    </row>
    <row r="1051" spans="1:4" x14ac:dyDescent="0.2">
      <c r="A1051" s="537"/>
      <c r="C1051" s="537"/>
      <c r="D1051" s="513"/>
    </row>
    <row r="1053" spans="1:4" x14ac:dyDescent="0.2">
      <c r="A1053" s="542" t="s">
        <v>284</v>
      </c>
      <c r="B1053" s="513">
        <f>MAX(B786:B1047)</f>
        <v>333807.26</v>
      </c>
    </row>
    <row r="1054" spans="1:4" x14ac:dyDescent="0.2">
      <c r="A1054" s="542" t="s">
        <v>285</v>
      </c>
      <c r="B1054" s="513">
        <f>MIN(B786:B1047)</f>
        <v>129051.26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5"/>
  <sheetViews>
    <sheetView zoomScaleNormal="100" workbookViewId="0"/>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528</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8" t="s">
        <v>165</v>
      </c>
      <c r="B5" s="259"/>
      <c r="C5" s="259"/>
      <c r="D5" s="259"/>
      <c r="E5" s="259"/>
      <c r="F5" s="259"/>
      <c r="G5" s="259"/>
      <c r="H5" s="259"/>
      <c r="I5" s="259"/>
      <c r="J5" s="259"/>
      <c r="K5" s="260"/>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415" t="s">
        <v>22</v>
      </c>
      <c r="B6" s="415" t="s">
        <v>12</v>
      </c>
      <c r="C6" s="415" t="s">
        <v>1</v>
      </c>
      <c r="D6" s="843" t="s">
        <v>2</v>
      </c>
      <c r="E6" s="613" t="s">
        <v>3</v>
      </c>
      <c r="F6" s="261" t="s">
        <v>9</v>
      </c>
      <c r="G6" s="261" t="s">
        <v>27</v>
      </c>
      <c r="H6" s="261" t="s">
        <v>206</v>
      </c>
      <c r="I6" s="261" t="s">
        <v>26</v>
      </c>
      <c r="J6" s="261" t="s">
        <v>19</v>
      </c>
      <c r="K6" s="849" t="s">
        <v>99</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x14ac:dyDescent="0.2">
      <c r="A7" s="844" t="s">
        <v>357</v>
      </c>
      <c r="B7" s="657" t="s">
        <v>14</v>
      </c>
      <c r="C7" s="297" t="s">
        <v>382</v>
      </c>
      <c r="D7" s="323">
        <v>43466</v>
      </c>
      <c r="E7" s="7">
        <v>43830</v>
      </c>
      <c r="F7" s="316">
        <v>190000</v>
      </c>
      <c r="G7" s="299">
        <f>I7-H7</f>
        <v>126647.66</v>
      </c>
      <c r="H7" s="299">
        <f>'December''19 AR Aging '!G7</f>
        <v>63352.34</v>
      </c>
      <c r="I7" s="299">
        <v>190000</v>
      </c>
      <c r="J7" s="316">
        <f>F7-I7</f>
        <v>0</v>
      </c>
      <c r="K7" s="850"/>
      <c r="L7" s="46"/>
      <c r="M7" s="29"/>
      <c r="N7" s="29"/>
    </row>
    <row r="8" spans="1:48" ht="15" x14ac:dyDescent="0.25">
      <c r="A8" s="844" t="s">
        <v>485</v>
      </c>
      <c r="B8" s="657" t="s">
        <v>14</v>
      </c>
      <c r="C8" s="297" t="s">
        <v>483</v>
      </c>
      <c r="D8" s="323">
        <v>43556</v>
      </c>
      <c r="E8" s="7">
        <v>43921</v>
      </c>
      <c r="F8" s="316">
        <v>18886</v>
      </c>
      <c r="G8" s="299">
        <v>0</v>
      </c>
      <c r="H8" s="299">
        <f>'December''19 AR Aging '!G6</f>
        <v>10616</v>
      </c>
      <c r="I8" s="299">
        <v>10616</v>
      </c>
      <c r="J8" s="316">
        <f>F8-H8</f>
        <v>8270</v>
      </c>
      <c r="K8" s="310"/>
      <c r="L8" s="46"/>
      <c r="M8" s="29"/>
      <c r="N8" s="29"/>
    </row>
    <row r="9" spans="1:48" x14ac:dyDescent="0.2">
      <c r="A9" s="845" t="s">
        <v>484</v>
      </c>
      <c r="B9" s="658" t="s">
        <v>14</v>
      </c>
      <c r="C9" s="860" t="s">
        <v>382</v>
      </c>
      <c r="D9" s="856">
        <v>43831</v>
      </c>
      <c r="E9" s="614">
        <v>44196</v>
      </c>
      <c r="F9" s="314">
        <v>190000</v>
      </c>
      <c r="G9" s="315">
        <f>I9-H9</f>
        <v>0</v>
      </c>
      <c r="H9" s="315"/>
      <c r="I9" s="315"/>
      <c r="J9" s="314"/>
      <c r="K9" s="370"/>
      <c r="L9" s="252"/>
      <c r="M9" s="288"/>
      <c r="N9" s="29"/>
    </row>
    <row r="10" spans="1:48" hidden="1" x14ac:dyDescent="0.2">
      <c r="A10" s="292" t="s">
        <v>270</v>
      </c>
      <c r="B10" s="657" t="s">
        <v>13</v>
      </c>
      <c r="C10" s="297" t="s">
        <v>167</v>
      </c>
      <c r="D10" s="323">
        <v>42826</v>
      </c>
      <c r="E10" s="7">
        <v>43190</v>
      </c>
      <c r="F10" s="316"/>
      <c r="G10" s="299"/>
      <c r="H10" s="299"/>
      <c r="I10" s="299"/>
      <c r="J10" s="316"/>
      <c r="K10" s="299"/>
      <c r="L10" s="252"/>
      <c r="M10" s="288"/>
      <c r="N10" s="29"/>
    </row>
    <row r="11" spans="1:48" hidden="1" x14ac:dyDescent="0.2">
      <c r="A11" s="292" t="s">
        <v>329</v>
      </c>
      <c r="B11" s="657" t="s">
        <v>13</v>
      </c>
      <c r="C11" s="297" t="s">
        <v>167</v>
      </c>
      <c r="D11" s="323">
        <v>43282</v>
      </c>
      <c r="E11" s="7">
        <v>43646</v>
      </c>
      <c r="F11" s="316"/>
      <c r="G11" s="299"/>
      <c r="H11" s="299"/>
      <c r="I11" s="299"/>
      <c r="J11" s="316"/>
      <c r="K11" s="310"/>
      <c r="L11" s="252"/>
      <c r="M11" s="288"/>
      <c r="N11" s="29"/>
    </row>
    <row r="12" spans="1:48" x14ac:dyDescent="0.2">
      <c r="A12" s="845" t="s">
        <v>380</v>
      </c>
      <c r="B12" s="658" t="s">
        <v>13</v>
      </c>
      <c r="C12" s="860" t="s">
        <v>381</v>
      </c>
      <c r="D12" s="856">
        <v>43647</v>
      </c>
      <c r="E12" s="614">
        <v>44012</v>
      </c>
      <c r="F12" s="314">
        <v>300000</v>
      </c>
      <c r="G12" s="315">
        <f>I12-H12</f>
        <v>81572.95</v>
      </c>
      <c r="H12" s="315">
        <f>'December''19 AR Aging '!G13</f>
        <v>31529.23</v>
      </c>
      <c r="I12" s="315">
        <v>113102.18</v>
      </c>
      <c r="J12" s="314">
        <f>F12-I12</f>
        <v>186897.82</v>
      </c>
      <c r="K12" s="370"/>
      <c r="L12" s="252"/>
      <c r="M12" s="288"/>
      <c r="N12" s="29"/>
    </row>
    <row r="13" spans="1:48" hidden="1" x14ac:dyDescent="0.2">
      <c r="A13" s="292" t="s">
        <v>383</v>
      </c>
      <c r="B13" s="657" t="s">
        <v>13</v>
      </c>
      <c r="C13" s="297" t="s">
        <v>162</v>
      </c>
      <c r="D13" s="323">
        <v>43374</v>
      </c>
      <c r="E13" s="7">
        <v>43585</v>
      </c>
      <c r="F13" s="316"/>
      <c r="G13" s="299"/>
      <c r="H13" s="299"/>
      <c r="I13" s="299"/>
      <c r="J13" s="316"/>
      <c r="K13" s="310"/>
      <c r="L13" s="252"/>
      <c r="M13" s="288"/>
      <c r="N13" s="29"/>
    </row>
    <row r="14" spans="1:48" hidden="1" x14ac:dyDescent="0.2">
      <c r="A14" s="292" t="s">
        <v>384</v>
      </c>
      <c r="B14" s="657" t="s">
        <v>13</v>
      </c>
      <c r="C14" s="297" t="s">
        <v>162</v>
      </c>
      <c r="D14" s="323">
        <v>43586</v>
      </c>
      <c r="E14" s="7">
        <v>43676</v>
      </c>
      <c r="F14" s="316"/>
      <c r="G14" s="299"/>
      <c r="H14" s="316"/>
      <c r="I14" s="299"/>
      <c r="J14" s="316"/>
      <c r="K14" s="299"/>
      <c r="L14" s="252"/>
      <c r="M14" s="288"/>
      <c r="N14" s="29"/>
    </row>
    <row r="15" spans="1:48" x14ac:dyDescent="0.2">
      <c r="A15" s="845" t="s">
        <v>360</v>
      </c>
      <c r="B15" s="658" t="s">
        <v>13</v>
      </c>
      <c r="C15" s="860" t="s">
        <v>417</v>
      </c>
      <c r="D15" s="856">
        <v>43678</v>
      </c>
      <c r="E15" s="614">
        <v>44042</v>
      </c>
      <c r="F15" s="314">
        <v>330000</v>
      </c>
      <c r="G15" s="315">
        <f>I15-H15</f>
        <v>48106.080000000016</v>
      </c>
      <c r="H15" s="315">
        <f>'December''19 AR Aging '!G31</f>
        <v>83752.06</v>
      </c>
      <c r="I15" s="315">
        <v>131858.14000000001</v>
      </c>
      <c r="J15" s="314">
        <f>F15-I15</f>
        <v>198141.86</v>
      </c>
      <c r="K15" s="315"/>
      <c r="L15" s="252"/>
      <c r="M15" s="288"/>
      <c r="N15" s="29"/>
    </row>
    <row r="16" spans="1:48" s="3" customFormat="1" x14ac:dyDescent="0.2">
      <c r="A16" s="846" t="s">
        <v>349</v>
      </c>
      <c r="B16" s="839" t="s">
        <v>16</v>
      </c>
      <c r="C16" s="861" t="s">
        <v>5</v>
      </c>
      <c r="D16" s="857">
        <v>43466</v>
      </c>
      <c r="E16" s="840">
        <v>43830</v>
      </c>
      <c r="F16" s="841">
        <f>3708.33*12</f>
        <v>44499.96</v>
      </c>
      <c r="G16" s="842">
        <f>I16-H16</f>
        <v>33374.97</v>
      </c>
      <c r="H16" s="842">
        <f>'December''19 AR Aging '!G39</f>
        <v>11125.03</v>
      </c>
      <c r="I16" s="842">
        <f>44500/12*12</f>
        <v>44500</v>
      </c>
      <c r="J16" s="841">
        <f>F16-I16</f>
        <v>-4.0000000000873115E-2</v>
      </c>
      <c r="K16" s="842"/>
      <c r="L16" s="252"/>
      <c r="M16" s="288"/>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5" x14ac:dyDescent="0.25">
      <c r="A17" s="292" t="s">
        <v>531</v>
      </c>
      <c r="B17" s="657" t="s">
        <v>16</v>
      </c>
      <c r="C17" s="297" t="s">
        <v>5</v>
      </c>
      <c r="D17" s="323">
        <v>43831</v>
      </c>
      <c r="E17" s="7">
        <v>44196</v>
      </c>
      <c r="F17" s="316">
        <v>45000</v>
      </c>
      <c r="G17" s="299"/>
      <c r="H17" s="299"/>
      <c r="I17" s="299"/>
      <c r="J17" s="316">
        <v>0</v>
      </c>
      <c r="K17" s="299"/>
      <c r="L17" s="252"/>
      <c r="M17" s="288"/>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847" t="s">
        <v>366</v>
      </c>
      <c r="B18" s="657" t="s">
        <v>16</v>
      </c>
      <c r="C18" s="297" t="s">
        <v>21</v>
      </c>
      <c r="D18" s="323">
        <v>43556</v>
      </c>
      <c r="E18" s="7">
        <v>43737</v>
      </c>
      <c r="F18" s="316"/>
      <c r="G18" s="299"/>
      <c r="H18" s="299"/>
      <c r="I18" s="299"/>
      <c r="J18" s="316"/>
      <c r="K18" s="299"/>
      <c r="L18" s="252"/>
      <c r="M18" s="288"/>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92"/>
      <c r="B19" s="657" t="s">
        <v>16</v>
      </c>
      <c r="C19" s="297" t="s">
        <v>21</v>
      </c>
      <c r="D19" s="323">
        <v>42644</v>
      </c>
      <c r="E19" s="7">
        <v>43008</v>
      </c>
      <c r="F19" s="316"/>
      <c r="G19" s="299"/>
      <c r="H19" s="316"/>
      <c r="I19" s="299"/>
      <c r="J19" s="316"/>
      <c r="K19" s="480"/>
      <c r="L19" s="252"/>
      <c r="M19" s="288"/>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92" t="s">
        <v>204</v>
      </c>
      <c r="B20" s="657" t="s">
        <v>16</v>
      </c>
      <c r="C20" s="297" t="s">
        <v>21</v>
      </c>
      <c r="D20" s="323">
        <v>43191</v>
      </c>
      <c r="E20" s="7">
        <v>43555</v>
      </c>
      <c r="F20" s="316"/>
      <c r="G20" s="299"/>
      <c r="H20" s="316"/>
      <c r="I20" s="299"/>
      <c r="J20" s="316"/>
      <c r="K20" s="480"/>
      <c r="L20" s="252"/>
      <c r="M20" s="288"/>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customHeight="1" x14ac:dyDescent="0.2">
      <c r="A21" s="845" t="s">
        <v>204</v>
      </c>
      <c r="B21" s="658" t="s">
        <v>16</v>
      </c>
      <c r="C21" s="860" t="s">
        <v>21</v>
      </c>
      <c r="D21" s="856">
        <v>43556</v>
      </c>
      <c r="E21" s="614">
        <v>43921</v>
      </c>
      <c r="F21" s="442">
        <v>147911</v>
      </c>
      <c r="G21" s="315">
        <f>I21-H21</f>
        <v>67026.079999999987</v>
      </c>
      <c r="H21" s="314">
        <f>'December''19 AR Aging '!G49</f>
        <v>33497.1</v>
      </c>
      <c r="I21" s="315">
        <v>100523.18</v>
      </c>
      <c r="J21" s="314">
        <f>F21-I21</f>
        <v>47387.820000000007</v>
      </c>
      <c r="K21" s="315"/>
      <c r="L21" s="252"/>
      <c r="M21" s="288"/>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855" customFormat="1" ht="15.75" customHeight="1" x14ac:dyDescent="0.2">
      <c r="A22" s="866" t="s">
        <v>494</v>
      </c>
      <c r="B22" s="865" t="s">
        <v>493</v>
      </c>
      <c r="C22" s="862" t="s">
        <v>21</v>
      </c>
      <c r="D22" s="858">
        <v>43831</v>
      </c>
      <c r="E22" s="867">
        <v>44196</v>
      </c>
      <c r="F22" s="868">
        <v>171400</v>
      </c>
      <c r="G22" s="869"/>
      <c r="H22" s="870"/>
      <c r="I22" s="869"/>
      <c r="J22" s="870"/>
      <c r="K22" s="869"/>
      <c r="L22" s="851"/>
      <c r="M22" s="852"/>
      <c r="N22" s="853"/>
      <c r="O22" s="853"/>
      <c r="P22" s="853"/>
      <c r="Q22" s="853"/>
      <c r="R22" s="853"/>
      <c r="S22" s="853"/>
      <c r="T22" s="853"/>
      <c r="U22" s="853"/>
      <c r="V22" s="853"/>
      <c r="W22" s="853"/>
      <c r="X22" s="853"/>
      <c r="Y22" s="853"/>
      <c r="Z22" s="853"/>
      <c r="AA22" s="853"/>
      <c r="AB22" s="854"/>
      <c r="AC22" s="854"/>
      <c r="AD22" s="854"/>
      <c r="AE22" s="854"/>
      <c r="AF22" s="854"/>
      <c r="AG22" s="854"/>
      <c r="AH22" s="854"/>
      <c r="AI22" s="854"/>
      <c r="AJ22" s="854"/>
      <c r="AK22" s="854"/>
      <c r="AL22" s="854"/>
      <c r="AM22" s="381"/>
      <c r="AN22" s="381"/>
      <c r="AO22" s="381"/>
      <c r="AP22" s="381"/>
      <c r="AQ22" s="381"/>
      <c r="AR22" s="381"/>
      <c r="AS22" s="381"/>
      <c r="AT22" s="381"/>
      <c r="AU22" s="381"/>
      <c r="AV22" s="381"/>
    </row>
    <row r="23" spans="1:48" s="3" customFormat="1" x14ac:dyDescent="0.2">
      <c r="A23" s="292" t="s">
        <v>296</v>
      </c>
      <c r="B23" s="657" t="s">
        <v>325</v>
      </c>
      <c r="C23" s="297" t="s">
        <v>21</v>
      </c>
      <c r="D23" s="323">
        <v>43466</v>
      </c>
      <c r="E23" s="7">
        <v>43830</v>
      </c>
      <c r="F23" s="316">
        <v>13000</v>
      </c>
      <c r="G23" s="299">
        <f>I23-H23</f>
        <v>9750</v>
      </c>
      <c r="H23" s="316">
        <f>'December''19 AR Aging '!G40</f>
        <v>3250</v>
      </c>
      <c r="I23" s="299">
        <v>13000</v>
      </c>
      <c r="J23" s="316">
        <f>F23-I23</f>
        <v>0</v>
      </c>
      <c r="K23" s="299"/>
      <c r="L23" s="252"/>
      <c r="M23" s="288"/>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5" x14ac:dyDescent="0.25">
      <c r="A24" s="845" t="s">
        <v>532</v>
      </c>
      <c r="B24" s="658" t="s">
        <v>325</v>
      </c>
      <c r="C24" s="860" t="s">
        <v>21</v>
      </c>
      <c r="D24" s="856">
        <v>43831</v>
      </c>
      <c r="E24" s="614">
        <v>44196</v>
      </c>
      <c r="F24" s="314">
        <v>18000</v>
      </c>
      <c r="G24" s="315">
        <f>I24-H24</f>
        <v>0</v>
      </c>
      <c r="H24" s="314"/>
      <c r="I24" s="315"/>
      <c r="J24" s="314"/>
      <c r="K24" s="315"/>
      <c r="L24" s="831"/>
      <c r="M24" s="288"/>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x14ac:dyDescent="0.2">
      <c r="A25" s="848" t="s">
        <v>486</v>
      </c>
      <c r="B25" s="659" t="s">
        <v>457</v>
      </c>
      <c r="C25" s="863" t="s">
        <v>21</v>
      </c>
      <c r="D25" s="859">
        <v>43739</v>
      </c>
      <c r="E25" s="640">
        <v>43951</v>
      </c>
      <c r="F25" s="642">
        <v>15000</v>
      </c>
      <c r="G25" s="641">
        <f>I25-H25</f>
        <v>0</v>
      </c>
      <c r="H25" s="642">
        <f>'December''19 AR Aging '!G62</f>
        <v>6707.9580000000005</v>
      </c>
      <c r="I25" s="641">
        <f>H25</f>
        <v>6707.9580000000005</v>
      </c>
      <c r="J25" s="642">
        <f>F25-I25</f>
        <v>8292.0419999999995</v>
      </c>
      <c r="K25" s="641"/>
      <c r="L25" s="252"/>
      <c r="M25" s="288"/>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idden="1" x14ac:dyDescent="0.2">
      <c r="A26" s="643" t="s">
        <v>287</v>
      </c>
      <c r="B26" s="643" t="s">
        <v>187</v>
      </c>
      <c r="C26" s="297" t="s">
        <v>21</v>
      </c>
      <c r="D26" s="323">
        <v>43219</v>
      </c>
      <c r="E26" s="7">
        <v>43770</v>
      </c>
      <c r="F26" s="310"/>
      <c r="G26" s="299"/>
      <c r="H26" s="316"/>
      <c r="I26" s="299"/>
      <c r="J26" s="316"/>
      <c r="K26" s="299"/>
      <c r="L26" s="252"/>
      <c r="M26" s="288"/>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t="15" thickBot="1" x14ac:dyDescent="0.25">
      <c r="A27" s="395" t="s">
        <v>341</v>
      </c>
      <c r="B27" s="395" t="s">
        <v>187</v>
      </c>
      <c r="C27" s="864" t="s">
        <v>21</v>
      </c>
      <c r="D27" s="324">
        <v>43717</v>
      </c>
      <c r="E27" s="615">
        <v>43937</v>
      </c>
      <c r="F27" s="660">
        <v>38680</v>
      </c>
      <c r="G27" s="300">
        <f>I27-H27</f>
        <v>11316.64</v>
      </c>
      <c r="H27" s="311">
        <f>'December''19 AR Aging '!G60</f>
        <v>5339.03</v>
      </c>
      <c r="I27" s="300">
        <f>15379.71+1275.96</f>
        <v>16655.669999999998</v>
      </c>
      <c r="J27" s="311">
        <f>F27-I27</f>
        <v>22024.33</v>
      </c>
      <c r="K27" s="300"/>
      <c r="L27" s="252"/>
      <c r="M27" s="288"/>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17" customFormat="1" ht="16.5" thickBot="1" x14ac:dyDescent="0.3">
      <c r="A28" s="262" t="s">
        <v>37</v>
      </c>
      <c r="B28" s="263"/>
      <c r="C28" s="264"/>
      <c r="D28" s="265"/>
      <c r="E28" s="265"/>
      <c r="F28" s="290"/>
      <c r="G28" s="290">
        <f>SUM(G9:G27)</f>
        <v>251146.71999999997</v>
      </c>
      <c r="H28" s="290">
        <f>SUM(H7:H27)</f>
        <v>249168.74800000002</v>
      </c>
      <c r="I28" s="290">
        <f>SUM(I9:I27)</f>
        <v>426347.12799999997</v>
      </c>
      <c r="J28" s="290">
        <f>SUM(J9:J27)</f>
        <v>462743.83200000005</v>
      </c>
      <c r="K28" s="290">
        <f>SUM(K9:K27)</f>
        <v>0</v>
      </c>
      <c r="L28" s="47"/>
      <c r="M28" s="37"/>
      <c r="N28" s="37"/>
      <c r="O28" s="37"/>
      <c r="P28" s="37"/>
      <c r="Q28" s="37"/>
      <c r="R28" s="37"/>
      <c r="S28" s="37"/>
      <c r="T28" s="37"/>
      <c r="U28" s="37"/>
      <c r="V28" s="37"/>
      <c r="W28" s="37"/>
      <c r="X28" s="37"/>
      <c r="Y28" s="37"/>
      <c r="Z28" s="37"/>
      <c r="AA28" s="37"/>
      <c r="AB28" s="38"/>
      <c r="AC28" s="38"/>
      <c r="AD28" s="38"/>
      <c r="AE28" s="38"/>
      <c r="AF28" s="38"/>
      <c r="AG28" s="38"/>
      <c r="AH28" s="38"/>
      <c r="AI28" s="38"/>
      <c r="AJ28" s="38"/>
      <c r="AK28" s="38"/>
      <c r="AL28" s="38"/>
      <c r="AM28" s="39"/>
      <c r="AN28" s="39"/>
      <c r="AO28" s="39"/>
      <c r="AP28" s="39"/>
      <c r="AQ28" s="39"/>
      <c r="AR28" s="39"/>
      <c r="AS28" s="39"/>
      <c r="AT28" s="39"/>
      <c r="AU28" s="39"/>
      <c r="AV28" s="39"/>
    </row>
    <row r="29" spans="1:48" s="18" customFormat="1" x14ac:dyDescent="0.2">
      <c r="A29" s="55"/>
      <c r="B29" s="55"/>
      <c r="C29" s="19"/>
      <c r="D29" s="55"/>
      <c r="E29" s="289"/>
      <c r="F29" s="29"/>
      <c r="G29" s="29"/>
      <c r="I29" s="29"/>
      <c r="J29" s="29"/>
      <c r="K29" s="29"/>
      <c r="L29" s="29"/>
      <c r="M29" s="29"/>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18" customFormat="1" ht="10.5" customHeight="1" thickBot="1" x14ac:dyDescent="0.25">
      <c r="A30" s="1"/>
      <c r="B30" s="44"/>
      <c r="C30" s="6"/>
      <c r="D30" s="6"/>
      <c r="E30" s="6"/>
      <c r="F30" s="29"/>
      <c r="G30" s="29"/>
      <c r="H30" s="29"/>
      <c r="I30" s="29"/>
      <c r="J30" s="29"/>
      <c r="K30" s="29"/>
      <c r="L30" s="29"/>
      <c r="M30" s="29"/>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22" customFormat="1" ht="16.5" thickBot="1" x14ac:dyDescent="0.3">
      <c r="A31" s="304" t="s">
        <v>39</v>
      </c>
      <c r="B31" s="157"/>
      <c r="C31" s="158"/>
      <c r="D31" s="158"/>
      <c r="E31" s="158"/>
      <c r="F31" s="159"/>
      <c r="G31" s="159"/>
      <c r="H31" s="159"/>
      <c r="I31" s="159"/>
      <c r="J31" s="159"/>
      <c r="K31" s="160"/>
      <c r="L31" s="29"/>
      <c r="M31" s="2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20" customFormat="1" ht="45.75" thickBot="1" x14ac:dyDescent="0.25">
      <c r="A32" s="325" t="s">
        <v>22</v>
      </c>
      <c r="B32" s="801" t="s">
        <v>12</v>
      </c>
      <c r="C32" s="806"/>
      <c r="D32" s="325" t="s">
        <v>2</v>
      </c>
      <c r="E32" s="325" t="s">
        <v>3</v>
      </c>
      <c r="F32" s="330" t="s">
        <v>23</v>
      </c>
      <c r="G32" s="330" t="s">
        <v>361</v>
      </c>
      <c r="H32" s="330" t="s">
        <v>171</v>
      </c>
      <c r="I32" s="330" t="s">
        <v>19</v>
      </c>
      <c r="J32" s="330" t="s">
        <v>367</v>
      </c>
      <c r="K32" s="330" t="s">
        <v>4</v>
      </c>
      <c r="L32" s="35"/>
      <c r="M32" s="35"/>
      <c r="N32" s="35"/>
      <c r="O32" s="35"/>
      <c r="P32" s="35"/>
      <c r="Q32" s="35"/>
      <c r="R32" s="35"/>
      <c r="S32" s="35"/>
      <c r="T32" s="35"/>
      <c r="U32" s="6"/>
      <c r="V32" s="35"/>
      <c r="W32" s="35"/>
      <c r="X32" s="35"/>
      <c r="Y32" s="35"/>
      <c r="Z32" s="35"/>
      <c r="AA32" s="35"/>
      <c r="AB32" s="36"/>
      <c r="AC32" s="36"/>
      <c r="AD32" s="36"/>
      <c r="AE32" s="36"/>
      <c r="AF32" s="36"/>
      <c r="AG32" s="36"/>
      <c r="AH32" s="36"/>
      <c r="AI32" s="36"/>
      <c r="AJ32" s="36"/>
      <c r="AK32" s="36"/>
      <c r="AL32" s="36"/>
      <c r="AM32" s="6"/>
      <c r="AN32" s="6"/>
      <c r="AO32" s="6"/>
      <c r="AP32" s="6"/>
      <c r="AQ32" s="6"/>
      <c r="AR32" s="6"/>
      <c r="AS32" s="6"/>
      <c r="AT32" s="6"/>
      <c r="AU32" s="6"/>
      <c r="AV32" s="6"/>
    </row>
    <row r="33" spans="1:48" hidden="1" x14ac:dyDescent="0.2">
      <c r="A33" s="292" t="s">
        <v>15</v>
      </c>
      <c r="B33" s="807" t="s">
        <v>11</v>
      </c>
      <c r="C33" s="874"/>
      <c r="D33" s="296">
        <v>41275</v>
      </c>
      <c r="E33" s="296">
        <v>41639</v>
      </c>
      <c r="F33" s="299"/>
      <c r="G33" s="299">
        <v>0</v>
      </c>
      <c r="H33" s="299"/>
      <c r="I33" s="299">
        <f>F33-H33</f>
        <v>0</v>
      </c>
      <c r="J33" s="299">
        <v>0</v>
      </c>
      <c r="K33" s="299">
        <f t="shared" ref="K33:K37" si="0">I33</f>
        <v>0</v>
      </c>
      <c r="L33" s="29"/>
      <c r="M33" s="29"/>
      <c r="N33" s="29"/>
    </row>
    <row r="34" spans="1:48" hidden="1" x14ac:dyDescent="0.2">
      <c r="A34" s="292" t="s">
        <v>277</v>
      </c>
      <c r="B34" s="807" t="s">
        <v>11</v>
      </c>
      <c r="C34" s="874"/>
      <c r="D34" s="296">
        <v>42736</v>
      </c>
      <c r="E34" s="296">
        <v>43100</v>
      </c>
      <c r="F34" s="299"/>
      <c r="G34" s="299">
        <v>0</v>
      </c>
      <c r="H34" s="299">
        <v>25000</v>
      </c>
      <c r="I34" s="299">
        <f>25000-H34</f>
        <v>0</v>
      </c>
      <c r="J34" s="299"/>
      <c r="K34" s="394">
        <f t="shared" ref="K34" si="1">I34</f>
        <v>0</v>
      </c>
      <c r="L34" s="29"/>
      <c r="M34" s="29"/>
      <c r="N34" s="29"/>
    </row>
    <row r="35" spans="1:48" x14ac:dyDescent="0.2">
      <c r="A35" s="292" t="s">
        <v>340</v>
      </c>
      <c r="B35" s="807" t="s">
        <v>11</v>
      </c>
      <c r="C35" s="874"/>
      <c r="D35" s="296">
        <v>43466</v>
      </c>
      <c r="E35" s="296">
        <v>43830</v>
      </c>
      <c r="F35" s="299">
        <v>25000</v>
      </c>
      <c r="G35" s="299"/>
      <c r="H35" s="299">
        <v>25000</v>
      </c>
      <c r="I35" s="299">
        <f>25000-H35</f>
        <v>0</v>
      </c>
      <c r="J35" s="299"/>
      <c r="K35" s="838">
        <f>I35</f>
        <v>0</v>
      </c>
      <c r="L35" s="29"/>
      <c r="M35" s="29"/>
      <c r="N35" s="29"/>
    </row>
    <row r="36" spans="1:48" ht="15" x14ac:dyDescent="0.25">
      <c r="A36" s="292" t="s">
        <v>533</v>
      </c>
      <c r="B36" s="807" t="s">
        <v>11</v>
      </c>
      <c r="C36" s="874"/>
      <c r="D36" s="296">
        <v>43831</v>
      </c>
      <c r="E36" s="296">
        <v>44196</v>
      </c>
      <c r="F36" s="299">
        <v>25000</v>
      </c>
      <c r="G36" s="299"/>
      <c r="H36" s="299"/>
      <c r="I36" s="299">
        <v>25000</v>
      </c>
      <c r="J36" s="299"/>
      <c r="K36" s="316">
        <f>I36</f>
        <v>25000</v>
      </c>
      <c r="L36" s="29"/>
      <c r="M36" s="29"/>
      <c r="N36" s="29"/>
    </row>
    <row r="37" spans="1:48" x14ac:dyDescent="0.2">
      <c r="A37" s="292" t="s">
        <v>210</v>
      </c>
      <c r="B37" s="807" t="s">
        <v>11</v>
      </c>
      <c r="C37" s="874"/>
      <c r="D37" s="296">
        <v>42370</v>
      </c>
      <c r="E37" s="296">
        <v>43830</v>
      </c>
      <c r="F37" s="299">
        <v>7125</v>
      </c>
      <c r="G37" s="299">
        <v>4818.43</v>
      </c>
      <c r="H37" s="299">
        <v>4818</v>
      </c>
      <c r="I37" s="299">
        <f t="shared" ref="I37" si="2">G37-H37</f>
        <v>0.43000000000029104</v>
      </c>
      <c r="J37" s="299"/>
      <c r="K37" s="316">
        <f t="shared" si="0"/>
        <v>0.43000000000029104</v>
      </c>
      <c r="L37" s="29"/>
      <c r="M37" s="29"/>
      <c r="N37" s="29"/>
    </row>
    <row r="38" spans="1:48" x14ac:dyDescent="0.2">
      <c r="A38" s="292" t="s">
        <v>446</v>
      </c>
      <c r="B38" s="807" t="s">
        <v>11</v>
      </c>
      <c r="C38" s="874"/>
      <c r="D38" s="296">
        <v>43497</v>
      </c>
      <c r="E38" s="296" t="s">
        <v>25</v>
      </c>
      <c r="F38" s="299">
        <v>5000</v>
      </c>
      <c r="G38" s="299"/>
      <c r="H38" s="299">
        <v>318.44</v>
      </c>
      <c r="I38" s="299">
        <f>5000-H38</f>
        <v>4681.5600000000004</v>
      </c>
      <c r="J38" s="299"/>
      <c r="K38" s="316">
        <f t="shared" ref="K38" si="3">I38</f>
        <v>4681.5600000000004</v>
      </c>
      <c r="L38" s="29"/>
      <c r="M38" s="29"/>
      <c r="N38" s="29"/>
    </row>
    <row r="39" spans="1:48" s="4" customFormat="1" hidden="1" x14ac:dyDescent="0.2">
      <c r="A39" s="292" t="s">
        <v>365</v>
      </c>
      <c r="B39" s="809" t="s">
        <v>17</v>
      </c>
      <c r="C39" s="875"/>
      <c r="D39" s="296">
        <v>42736</v>
      </c>
      <c r="E39" s="296">
        <v>43646</v>
      </c>
      <c r="F39" s="299"/>
      <c r="G39" s="299"/>
      <c r="H39" s="299"/>
      <c r="I39" s="299"/>
      <c r="J39" s="299"/>
      <c r="K39" s="316"/>
      <c r="L39" s="29"/>
      <c r="M39" s="29"/>
      <c r="N39" s="29"/>
      <c r="O39" s="29"/>
      <c r="P39" s="29"/>
      <c r="Q39" s="29"/>
      <c r="R39" s="29"/>
      <c r="S39" s="29"/>
      <c r="T39" s="29"/>
      <c r="U39" s="1"/>
      <c r="V39" s="29"/>
      <c r="W39" s="29"/>
      <c r="X39" s="29"/>
      <c r="Y39" s="29"/>
      <c r="Z39" s="29"/>
      <c r="AA39" s="29"/>
      <c r="AB39" s="11"/>
      <c r="AC39" s="11"/>
      <c r="AD39" s="11"/>
      <c r="AE39" s="11"/>
      <c r="AF39" s="11"/>
      <c r="AG39" s="11"/>
      <c r="AH39" s="11"/>
      <c r="AI39" s="11"/>
      <c r="AJ39" s="11"/>
      <c r="AK39" s="11"/>
      <c r="AL39" s="11"/>
      <c r="AM39" s="1"/>
      <c r="AN39" s="1"/>
      <c r="AO39" s="1"/>
      <c r="AP39" s="1"/>
      <c r="AQ39" s="1"/>
      <c r="AR39" s="1"/>
      <c r="AS39" s="1"/>
      <c r="AT39" s="1"/>
      <c r="AU39" s="1"/>
      <c r="AV39" s="1"/>
    </row>
    <row r="40" spans="1:48" s="4" customFormat="1" x14ac:dyDescent="0.2">
      <c r="A40" s="292" t="s">
        <v>364</v>
      </c>
      <c r="B40" s="809" t="s">
        <v>17</v>
      </c>
      <c r="C40" s="875"/>
      <c r="D40" s="296">
        <v>43466</v>
      </c>
      <c r="E40" s="296">
        <v>43830</v>
      </c>
      <c r="F40" s="299">
        <v>50000</v>
      </c>
      <c r="G40" s="299"/>
      <c r="H40" s="299">
        <v>50000</v>
      </c>
      <c r="I40" s="299">
        <f>50000-H40</f>
        <v>0</v>
      </c>
      <c r="J40" s="299"/>
      <c r="K40" s="316">
        <f>I40</f>
        <v>0</v>
      </c>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4" customFormat="1" x14ac:dyDescent="0.2">
      <c r="A41" s="292" t="s">
        <v>447</v>
      </c>
      <c r="B41" s="809" t="s">
        <v>17</v>
      </c>
      <c r="C41" s="875"/>
      <c r="D41" s="296">
        <v>43831</v>
      </c>
      <c r="E41" s="296">
        <v>44561</v>
      </c>
      <c r="F41" s="299">
        <v>98000</v>
      </c>
      <c r="G41" s="299"/>
      <c r="H41" s="299"/>
      <c r="I41" s="299"/>
      <c r="J41" s="299"/>
      <c r="K41" s="316">
        <v>0</v>
      </c>
      <c r="L41" s="29"/>
      <c r="M41" s="29"/>
      <c r="N41" s="29"/>
      <c r="O41" s="29"/>
      <c r="P41" s="29"/>
      <c r="Q41" s="29"/>
      <c r="R41" s="29"/>
      <c r="S41" s="29"/>
      <c r="T41" s="29"/>
      <c r="U41" s="1"/>
      <c r="V41" s="29"/>
      <c r="W41" s="29"/>
      <c r="X41" s="29"/>
      <c r="Y41" s="29"/>
      <c r="Z41" s="29"/>
      <c r="AA41" s="29"/>
      <c r="AB41" s="11"/>
      <c r="AC41" s="11"/>
      <c r="AD41" s="11"/>
      <c r="AE41" s="11"/>
      <c r="AF41" s="11"/>
      <c r="AG41" s="11"/>
      <c r="AH41" s="11"/>
      <c r="AI41" s="11"/>
      <c r="AJ41" s="11"/>
      <c r="AK41" s="11"/>
      <c r="AL41" s="11"/>
      <c r="AM41" s="1"/>
      <c r="AN41" s="1"/>
      <c r="AO41" s="1"/>
      <c r="AP41" s="1"/>
      <c r="AQ41" s="1"/>
      <c r="AR41" s="1"/>
      <c r="AS41" s="1"/>
      <c r="AT41" s="1"/>
      <c r="AU41" s="1"/>
      <c r="AV41" s="1"/>
    </row>
    <row r="42" spans="1:48" s="4" customFormat="1" ht="15" x14ac:dyDescent="0.25">
      <c r="A42" s="292" t="s">
        <v>530</v>
      </c>
      <c r="B42" s="803" t="s">
        <v>529</v>
      </c>
      <c r="C42" s="804"/>
      <c r="D42" s="657"/>
      <c r="E42" s="657"/>
      <c r="F42" s="299">
        <v>5500</v>
      </c>
      <c r="G42" s="299"/>
      <c r="H42" s="299">
        <v>5500</v>
      </c>
      <c r="I42" s="299"/>
      <c r="J42" s="316"/>
      <c r="K42" s="394"/>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 customFormat="1" ht="15" thickBot="1" x14ac:dyDescent="0.25">
      <c r="A43" s="292" t="s">
        <v>18</v>
      </c>
      <c r="B43" s="803" t="s">
        <v>43</v>
      </c>
      <c r="C43" s="804"/>
      <c r="D43" s="296">
        <v>40226</v>
      </c>
      <c r="E43" s="297" t="s">
        <v>25</v>
      </c>
      <c r="F43" s="299">
        <f>8007.78+5000+50</f>
        <v>13057.779999999999</v>
      </c>
      <c r="G43" s="299">
        <v>4223.7</v>
      </c>
      <c r="H43" s="299">
        <v>1325</v>
      </c>
      <c r="I43" s="299">
        <f>+G43-H43</f>
        <v>2898.7</v>
      </c>
      <c r="J43" s="299">
        <f>I43</f>
        <v>2898.7</v>
      </c>
      <c r="K43" s="316">
        <v>0</v>
      </c>
      <c r="L43" s="29"/>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2" customFormat="1" ht="15.75" thickBot="1" x14ac:dyDescent="0.3">
      <c r="A44" s="293" t="s">
        <v>448</v>
      </c>
      <c r="B44" s="808" t="s">
        <v>487</v>
      </c>
      <c r="C44" s="876"/>
      <c r="D44" s="396">
        <v>43770</v>
      </c>
      <c r="E44" s="396">
        <v>44196</v>
      </c>
      <c r="F44" s="300">
        <v>30000</v>
      </c>
      <c r="G44" s="300"/>
      <c r="H44" s="300">
        <v>23967.15</v>
      </c>
      <c r="I44" s="300">
        <f>F44-H44</f>
        <v>6032.8499999999985</v>
      </c>
      <c r="J44" s="300"/>
      <c r="K44" s="311">
        <f t="shared" ref="K44" si="4">I44</f>
        <v>6032.8499999999985</v>
      </c>
      <c r="L44" s="257" t="s">
        <v>104</v>
      </c>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256" customFormat="1" ht="15.75" thickBot="1" x14ac:dyDescent="0.3">
      <c r="A45" s="291" t="s">
        <v>28</v>
      </c>
      <c r="B45" s="294"/>
      <c r="C45" s="294"/>
      <c r="D45" s="295"/>
      <c r="E45" s="295"/>
      <c r="F45" s="298">
        <f>SUM(F33:F44)</f>
        <v>258682.78</v>
      </c>
      <c r="G45" s="301">
        <f t="shared" ref="G45:K45" si="5">SUM(G33:G44)</f>
        <v>9042.130000000001</v>
      </c>
      <c r="H45" s="298">
        <f t="shared" si="5"/>
        <v>135928.59</v>
      </c>
      <c r="I45" s="298">
        <f t="shared" si="5"/>
        <v>38613.54</v>
      </c>
      <c r="J45" s="302">
        <f t="shared" si="5"/>
        <v>2898.7</v>
      </c>
      <c r="K45" s="303">
        <f t="shared" si="5"/>
        <v>35714.839999999997</v>
      </c>
      <c r="L45" s="452">
        <f>K28+K45</f>
        <v>35714.839999999997</v>
      </c>
      <c r="M45" s="254"/>
      <c r="N45" s="254"/>
      <c r="O45" s="254"/>
      <c r="P45" s="254"/>
      <c r="Q45" s="254"/>
      <c r="R45" s="254"/>
      <c r="S45" s="254"/>
      <c r="T45" s="254"/>
      <c r="U45" s="255"/>
      <c r="V45" s="254"/>
      <c r="W45" s="254"/>
      <c r="X45" s="254"/>
      <c r="Y45" s="254"/>
      <c r="Z45" s="254"/>
      <c r="AA45" s="254"/>
      <c r="AB45" s="254"/>
      <c r="AC45" s="254"/>
      <c r="AD45" s="254"/>
      <c r="AE45" s="254"/>
      <c r="AF45" s="254"/>
      <c r="AG45" s="254"/>
      <c r="AH45" s="254"/>
      <c r="AI45" s="254"/>
      <c r="AJ45" s="254"/>
      <c r="AK45" s="254"/>
      <c r="AL45" s="254"/>
      <c r="AM45" s="255"/>
      <c r="AN45" s="255"/>
      <c r="AO45" s="255"/>
      <c r="AP45" s="255"/>
      <c r="AQ45" s="255"/>
      <c r="AR45" s="255"/>
      <c r="AS45" s="255"/>
      <c r="AT45" s="255"/>
      <c r="AU45" s="255"/>
      <c r="AV45" s="255"/>
    </row>
    <row r="46" spans="1:48" s="18" customFormat="1" ht="15" thickBot="1" x14ac:dyDescent="0.25">
      <c r="B46" s="1"/>
      <c r="C46" s="6"/>
      <c r="D46" s="6"/>
      <c r="E46" s="6"/>
      <c r="F46" s="29"/>
      <c r="G46" s="29"/>
      <c r="H46" s="29"/>
      <c r="I46" s="29"/>
      <c r="J46" s="29"/>
      <c r="K46" s="29"/>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1" customFormat="1" ht="18.75" thickBot="1" x14ac:dyDescent="0.3">
      <c r="A47" s="304" t="s">
        <v>144</v>
      </c>
      <c r="B47" s="305"/>
      <c r="C47" s="306"/>
      <c r="D47" s="306"/>
      <c r="E47" s="306"/>
      <c r="F47" s="309"/>
      <c r="G47" s="309"/>
      <c r="H47" s="309"/>
      <c r="I47" s="309"/>
      <c r="J47" s="309"/>
      <c r="K47" s="312"/>
      <c r="L47" s="309"/>
      <c r="M47" s="313"/>
      <c r="N47" s="40"/>
      <c r="O47" s="40"/>
      <c r="P47" s="40"/>
      <c r="Q47" s="40"/>
      <c r="R47" s="40"/>
      <c r="S47" s="40"/>
      <c r="T47" s="40"/>
      <c r="U47" s="41"/>
      <c r="V47" s="40"/>
      <c r="W47" s="40"/>
      <c r="X47" s="40"/>
      <c r="Y47" s="40"/>
      <c r="Z47" s="40"/>
      <c r="AA47" s="40"/>
      <c r="AB47" s="42"/>
      <c r="AC47" s="42"/>
      <c r="AD47" s="42"/>
      <c r="AE47" s="42"/>
      <c r="AF47" s="42"/>
      <c r="AG47" s="42"/>
      <c r="AH47" s="42"/>
      <c r="AI47" s="42"/>
      <c r="AJ47" s="42"/>
      <c r="AK47" s="42"/>
      <c r="AL47" s="42"/>
      <c r="AM47" s="41"/>
      <c r="AN47" s="41"/>
      <c r="AO47" s="41"/>
      <c r="AP47" s="41"/>
      <c r="AQ47" s="41"/>
      <c r="AR47" s="41"/>
      <c r="AS47" s="41"/>
      <c r="AT47" s="41"/>
      <c r="AU47" s="41"/>
      <c r="AV47" s="41"/>
    </row>
    <row r="48" spans="1:48" s="23" customFormat="1" ht="33" customHeight="1" thickBot="1" x14ac:dyDescent="0.25">
      <c r="A48" s="325" t="s">
        <v>31</v>
      </c>
      <c r="B48" s="801" t="s">
        <v>24</v>
      </c>
      <c r="C48" s="806"/>
      <c r="D48" s="806"/>
      <c r="E48" s="802"/>
      <c r="F48" s="329" t="s">
        <v>40</v>
      </c>
      <c r="G48" s="261" t="s">
        <v>361</v>
      </c>
      <c r="H48" s="261" t="s">
        <v>170</v>
      </c>
      <c r="I48" s="261" t="s">
        <v>205</v>
      </c>
      <c r="J48" s="261" t="s">
        <v>44</v>
      </c>
      <c r="K48" s="261" t="s">
        <v>10</v>
      </c>
      <c r="L48" s="261" t="s">
        <v>363</v>
      </c>
      <c r="M48" s="261" t="s">
        <v>4</v>
      </c>
      <c r="N48" s="35"/>
      <c r="O48" s="35"/>
      <c r="P48" s="35"/>
      <c r="Q48" s="35"/>
      <c r="R48" s="35"/>
      <c r="S48" s="35"/>
      <c r="T48" s="35"/>
      <c r="U48" s="6"/>
      <c r="V48" s="35"/>
      <c r="W48" s="35"/>
      <c r="X48" s="35"/>
      <c r="Y48" s="35"/>
      <c r="Z48" s="35"/>
      <c r="AA48" s="35"/>
      <c r="AB48" s="36"/>
      <c r="AC48" s="36"/>
      <c r="AD48" s="36"/>
      <c r="AE48" s="36"/>
      <c r="AF48" s="36"/>
      <c r="AG48" s="36"/>
      <c r="AH48" s="36"/>
      <c r="AI48" s="36"/>
      <c r="AJ48" s="36"/>
      <c r="AK48" s="36"/>
      <c r="AL48" s="36"/>
      <c r="AM48" s="6"/>
      <c r="AN48" s="6"/>
      <c r="AO48" s="6"/>
      <c r="AP48" s="6"/>
      <c r="AQ48" s="6"/>
      <c r="AR48" s="6"/>
      <c r="AS48" s="6"/>
      <c r="AT48" s="6"/>
      <c r="AU48" s="6"/>
      <c r="AV48" s="6"/>
    </row>
    <row r="49" spans="1:48" s="18" customFormat="1" hidden="1" x14ac:dyDescent="0.2">
      <c r="A49" s="292" t="s">
        <v>32</v>
      </c>
      <c r="B49" s="803" t="s">
        <v>35</v>
      </c>
      <c r="C49" s="804"/>
      <c r="D49" s="804"/>
      <c r="E49" s="805"/>
      <c r="F49" s="299"/>
      <c r="G49" s="299"/>
      <c r="H49" s="299">
        <v>0</v>
      </c>
      <c r="I49" s="299"/>
      <c r="J49" s="299"/>
      <c r="K49" s="299"/>
      <c r="L49" s="299"/>
      <c r="M49" s="299">
        <v>0</v>
      </c>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hidden="1" x14ac:dyDescent="0.2">
      <c r="A50" s="292" t="s">
        <v>33</v>
      </c>
      <c r="B50" s="803" t="s">
        <v>36</v>
      </c>
      <c r="C50" s="804"/>
      <c r="D50" s="804"/>
      <c r="E50" s="805"/>
      <c r="F50" s="299"/>
      <c r="G50" s="299"/>
      <c r="H50" s="299"/>
      <c r="I50" s="310"/>
      <c r="J50" s="299"/>
      <c r="K50" s="299"/>
      <c r="L50" s="299"/>
      <c r="M50" s="299">
        <v>0</v>
      </c>
      <c r="N50" s="29"/>
    </row>
    <row r="51" spans="1:48" ht="15" hidden="1" customHeight="1" x14ac:dyDescent="0.2">
      <c r="A51" s="292"/>
      <c r="B51" s="803"/>
      <c r="C51" s="804"/>
      <c r="D51" s="804"/>
      <c r="E51" s="805"/>
      <c r="F51" s="299"/>
      <c r="G51" s="299"/>
      <c r="H51" s="299"/>
      <c r="I51" s="527"/>
      <c r="J51" s="299"/>
      <c r="K51" s="394"/>
      <c r="L51" s="299"/>
      <c r="M51" s="299"/>
      <c r="N51" s="29"/>
    </row>
    <row r="52" spans="1:48" s="18" customFormat="1" hidden="1" x14ac:dyDescent="0.2">
      <c r="A52" s="292"/>
      <c r="B52" s="803"/>
      <c r="C52" s="804"/>
      <c r="D52" s="804"/>
      <c r="E52" s="805"/>
      <c r="F52" s="299"/>
      <c r="G52" s="299"/>
      <c r="H52" s="299"/>
      <c r="I52" s="299"/>
      <c r="J52" s="299"/>
      <c r="K52" s="394"/>
      <c r="L52" s="299"/>
      <c r="M52" s="299"/>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x14ac:dyDescent="0.2">
      <c r="A53" s="292" t="s">
        <v>350</v>
      </c>
      <c r="B53" s="576" t="s">
        <v>352</v>
      </c>
      <c r="C53" s="577"/>
      <c r="D53" s="577"/>
      <c r="E53" s="578"/>
      <c r="F53" s="299">
        <v>51000</v>
      </c>
      <c r="G53" s="299">
        <v>0</v>
      </c>
      <c r="H53" s="299">
        <v>51000</v>
      </c>
      <c r="I53" s="622"/>
      <c r="J53" s="316">
        <f>51000/12*12</f>
        <v>51000</v>
      </c>
      <c r="K53" s="394">
        <f>H53-J53</f>
        <v>0</v>
      </c>
      <c r="L53" s="299">
        <f>K53</f>
        <v>0</v>
      </c>
      <c r="M53" s="299"/>
      <c r="N53" s="29"/>
    </row>
    <row r="54" spans="1:48" s="18" customFormat="1" x14ac:dyDescent="0.2">
      <c r="A54" s="292" t="s">
        <v>351</v>
      </c>
      <c r="B54" s="803" t="s">
        <v>353</v>
      </c>
      <c r="C54" s="804"/>
      <c r="D54" s="804"/>
      <c r="E54" s="805"/>
      <c r="F54" s="299">
        <f>6500+3500+2000+3500+3500</f>
        <v>19000</v>
      </c>
      <c r="G54" s="299"/>
      <c r="H54" s="299">
        <v>19000</v>
      </c>
      <c r="I54" s="299"/>
      <c r="J54" s="316">
        <f>19000/12*12</f>
        <v>19000</v>
      </c>
      <c r="K54" s="394">
        <f>H54-J54</f>
        <v>0</v>
      </c>
      <c r="L54" s="299">
        <f>K54</f>
        <v>0</v>
      </c>
      <c r="M54" s="299"/>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18" customFormat="1" ht="15" x14ac:dyDescent="0.25">
      <c r="A55" s="292" t="s">
        <v>534</v>
      </c>
      <c r="B55" s="769" t="s">
        <v>488</v>
      </c>
      <c r="C55" s="770"/>
      <c r="D55" s="770"/>
      <c r="E55" s="771"/>
      <c r="F55" s="299">
        <v>51000</v>
      </c>
      <c r="G55" s="299"/>
      <c r="H55" s="299"/>
      <c r="I55" s="299"/>
      <c r="J55" s="316"/>
      <c r="K55" s="394"/>
      <c r="L55" s="299"/>
      <c r="M55" s="299"/>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s="18" customFormat="1" ht="15" x14ac:dyDescent="0.25">
      <c r="A56" s="292" t="s">
        <v>535</v>
      </c>
      <c r="B56" s="803" t="s">
        <v>489</v>
      </c>
      <c r="C56" s="804"/>
      <c r="D56" s="804"/>
      <c r="E56" s="805"/>
      <c r="F56" s="299">
        <v>19000</v>
      </c>
      <c r="G56" s="299"/>
      <c r="H56" s="299"/>
      <c r="I56" s="299"/>
      <c r="J56" s="316"/>
      <c r="K56" s="394"/>
      <c r="L56" s="299"/>
      <c r="M56" s="299"/>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s="18" customFormat="1" x14ac:dyDescent="0.2">
      <c r="A57" s="292" t="s">
        <v>372</v>
      </c>
      <c r="B57" s="718" t="s">
        <v>385</v>
      </c>
      <c r="C57" s="719"/>
      <c r="D57" s="719"/>
      <c r="E57" s="720"/>
      <c r="F57" s="299">
        <v>5000</v>
      </c>
      <c r="G57" s="299"/>
      <c r="H57" s="299">
        <f>J57-I57</f>
        <v>3750</v>
      </c>
      <c r="I57" s="299">
        <f>'December''19 AR Aging '!G64</f>
        <v>1250</v>
      </c>
      <c r="J57" s="316">
        <f>1250*4</f>
        <v>5000</v>
      </c>
      <c r="K57" s="394">
        <f>F57-J57</f>
        <v>0</v>
      </c>
      <c r="L57" s="299"/>
      <c r="M57" s="299"/>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x14ac:dyDescent="0.2">
      <c r="A58" s="292" t="s">
        <v>20</v>
      </c>
      <c r="B58" s="803" t="s">
        <v>145</v>
      </c>
      <c r="C58" s="804"/>
      <c r="D58" s="804"/>
      <c r="E58" s="805"/>
      <c r="F58" s="299"/>
      <c r="G58" s="299">
        <v>0</v>
      </c>
      <c r="H58" s="299">
        <f>J58</f>
        <v>13071.46</v>
      </c>
      <c r="I58" s="299"/>
      <c r="J58" s="316">
        <v>13071.46</v>
      </c>
      <c r="K58" s="394">
        <f>H58-J58</f>
        <v>0</v>
      </c>
      <c r="L58" s="299">
        <v>0</v>
      </c>
      <c r="M58" s="299">
        <v>0</v>
      </c>
      <c r="N58" s="29"/>
    </row>
    <row r="59" spans="1:48" x14ac:dyDescent="0.2">
      <c r="A59" s="292" t="s">
        <v>20</v>
      </c>
      <c r="B59" s="803" t="s">
        <v>6</v>
      </c>
      <c r="C59" s="804"/>
      <c r="D59" s="804"/>
      <c r="E59" s="805"/>
      <c r="F59" s="299"/>
      <c r="G59" s="299">
        <v>1100.82</v>
      </c>
      <c r="H59" s="299"/>
      <c r="I59" s="299"/>
      <c r="J59" s="316">
        <v>293.64</v>
      </c>
      <c r="K59" s="394">
        <f>G59+H59-J59</f>
        <v>807.18</v>
      </c>
      <c r="L59" s="299">
        <f>K59</f>
        <v>807.18</v>
      </c>
      <c r="M59" s="299">
        <v>0</v>
      </c>
      <c r="N59" s="29"/>
    </row>
    <row r="60" spans="1:48" x14ac:dyDescent="0.2">
      <c r="A60" s="292" t="s">
        <v>20</v>
      </c>
      <c r="B60" s="803" t="s">
        <v>7</v>
      </c>
      <c r="C60" s="804"/>
      <c r="D60" s="804"/>
      <c r="E60" s="805"/>
      <c r="F60" s="299"/>
      <c r="G60" s="299">
        <v>19828.46</v>
      </c>
      <c r="H60" s="299">
        <v>12442</v>
      </c>
      <c r="I60" s="299">
        <v>0</v>
      </c>
      <c r="J60" s="316">
        <v>16131.46</v>
      </c>
      <c r="K60" s="394">
        <f>G60+H60-J60</f>
        <v>16139</v>
      </c>
      <c r="L60" s="299">
        <f>K60</f>
        <v>16139</v>
      </c>
      <c r="M60" s="299">
        <v>0</v>
      </c>
      <c r="N60" s="29"/>
    </row>
    <row r="61" spans="1:48" x14ac:dyDescent="0.2">
      <c r="A61" s="292" t="s">
        <v>20</v>
      </c>
      <c r="B61" s="803" t="s">
        <v>8</v>
      </c>
      <c r="C61" s="804"/>
      <c r="D61" s="804"/>
      <c r="E61" s="805"/>
      <c r="F61" s="299"/>
      <c r="G61" s="299">
        <v>6830.65</v>
      </c>
      <c r="H61" s="299">
        <v>2720</v>
      </c>
      <c r="I61" s="299">
        <v>0</v>
      </c>
      <c r="J61" s="316">
        <v>88.83</v>
      </c>
      <c r="K61" s="394">
        <f>G61+H61-J61</f>
        <v>9461.82</v>
      </c>
      <c r="L61" s="299">
        <f>K61</f>
        <v>9461.82</v>
      </c>
      <c r="M61" s="299">
        <v>0</v>
      </c>
      <c r="N61" s="29"/>
    </row>
    <row r="62" spans="1:48" s="25" customFormat="1" ht="15" thickBot="1" x14ac:dyDescent="0.25">
      <c r="A62" s="292" t="s">
        <v>436</v>
      </c>
      <c r="B62" s="803" t="s">
        <v>416</v>
      </c>
      <c r="C62" s="804"/>
      <c r="D62" s="804"/>
      <c r="E62" s="805"/>
      <c r="F62" s="299"/>
      <c r="G62" s="299"/>
      <c r="H62" s="299">
        <v>1000</v>
      </c>
      <c r="I62" s="299"/>
      <c r="J62" s="299">
        <v>1000</v>
      </c>
      <c r="K62" s="299">
        <f>G62+H62-J62</f>
        <v>0</v>
      </c>
      <c r="L62" s="299">
        <f>K62</f>
        <v>0</v>
      </c>
      <c r="M62" s="299">
        <v>0</v>
      </c>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25" customFormat="1" ht="15" hidden="1" thickBot="1" x14ac:dyDescent="0.25">
      <c r="A63" s="292" t="s">
        <v>20</v>
      </c>
      <c r="B63" s="307" t="s">
        <v>81</v>
      </c>
      <c r="C63" s="283"/>
      <c r="D63" s="283"/>
      <c r="E63" s="308"/>
      <c r="F63" s="299"/>
      <c r="G63" s="299"/>
      <c r="H63" s="299"/>
      <c r="I63" s="299"/>
      <c r="J63" s="299"/>
      <c r="K63" s="299"/>
      <c r="L63" s="299"/>
      <c r="M63" s="299"/>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customHeight="1" thickBot="1" x14ac:dyDescent="0.25">
      <c r="A64" s="293"/>
      <c r="B64" s="803"/>
      <c r="C64" s="804"/>
      <c r="D64" s="804"/>
      <c r="E64" s="805"/>
      <c r="F64" s="300"/>
      <c r="G64" s="300">
        <v>0</v>
      </c>
      <c r="H64" s="300"/>
      <c r="I64" s="311"/>
      <c r="J64" s="300"/>
      <c r="K64" s="300"/>
      <c r="L64" s="300"/>
      <c r="M64" s="300">
        <v>0</v>
      </c>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256" customFormat="1" ht="15.75" thickBot="1" x14ac:dyDescent="0.3">
      <c r="A65" s="326" t="s">
        <v>38</v>
      </c>
      <c r="B65" s="327"/>
      <c r="C65" s="327"/>
      <c r="D65" s="327"/>
      <c r="E65" s="328"/>
      <c r="F65" s="387">
        <f t="shared" ref="F65:M65" si="6">SUM(F49:F64)</f>
        <v>145000</v>
      </c>
      <c r="G65" s="388">
        <f t="shared" si="6"/>
        <v>27759.93</v>
      </c>
      <c r="H65" s="388">
        <f>SUM(H49:H64)</f>
        <v>102983.45999999999</v>
      </c>
      <c r="I65" s="388">
        <f t="shared" si="6"/>
        <v>1250</v>
      </c>
      <c r="J65" s="388">
        <f t="shared" si="6"/>
        <v>105585.39</v>
      </c>
      <c r="K65" s="389">
        <f>SUM(K49:K64)</f>
        <v>26408</v>
      </c>
      <c r="L65" s="390">
        <f>SUM(L49:L64)</f>
        <v>26408</v>
      </c>
      <c r="M65" s="389">
        <f t="shared" si="6"/>
        <v>0</v>
      </c>
      <c r="N65" s="254"/>
      <c r="O65" s="254"/>
      <c r="P65" s="254"/>
      <c r="Q65" s="254"/>
      <c r="R65" s="254"/>
      <c r="S65" s="254"/>
      <c r="T65" s="254"/>
      <c r="U65" s="255"/>
      <c r="V65" s="254"/>
      <c r="W65" s="254"/>
      <c r="X65" s="254"/>
      <c r="Y65" s="254"/>
      <c r="Z65" s="254"/>
      <c r="AA65" s="254"/>
      <c r="AB65" s="254"/>
      <c r="AC65" s="254"/>
      <c r="AD65" s="254"/>
      <c r="AE65" s="254"/>
      <c r="AF65" s="254"/>
      <c r="AG65" s="254"/>
      <c r="AH65" s="254"/>
      <c r="AI65" s="254"/>
      <c r="AJ65" s="254"/>
      <c r="AK65" s="254"/>
      <c r="AL65" s="254"/>
      <c r="AM65" s="255"/>
      <c r="AN65" s="255"/>
      <c r="AO65" s="255"/>
      <c r="AP65" s="255"/>
      <c r="AQ65" s="255"/>
      <c r="AR65" s="255"/>
      <c r="AS65" s="255"/>
      <c r="AT65" s="255"/>
      <c r="AU65" s="255"/>
      <c r="AV65" s="255"/>
    </row>
    <row r="66" spans="1:48" ht="15" thickBot="1" x14ac:dyDescent="0.25">
      <c r="H66" s="28"/>
      <c r="L66" s="728" t="s">
        <v>386</v>
      </c>
      <c r="N66" s="29"/>
    </row>
    <row r="67" spans="1:48" s="48" customFormat="1" ht="16.5" thickBot="1" x14ac:dyDescent="0.3">
      <c r="A67" s="52"/>
      <c r="B67" s="53"/>
      <c r="C67" s="53"/>
      <c r="D67" s="53"/>
      <c r="E67" s="53"/>
      <c r="F67" s="53"/>
      <c r="G67" s="53"/>
      <c r="H67" s="53"/>
      <c r="I67" s="53"/>
      <c r="J67" s="53"/>
      <c r="K67" s="53"/>
      <c r="L67" s="507">
        <f>L65+J45</f>
        <v>29306.7</v>
      </c>
      <c r="M67" s="715"/>
      <c r="N67" s="29"/>
      <c r="O67" s="29"/>
      <c r="P67" s="29"/>
      <c r="Q67" s="29"/>
      <c r="R67" s="29"/>
      <c r="S67" s="29"/>
      <c r="T67" s="29"/>
      <c r="U67" s="29"/>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51" customFormat="1" ht="32.25" hidden="1" thickBot="1" x14ac:dyDescent="0.3">
      <c r="A68" s="54"/>
      <c r="B68" s="50"/>
      <c r="C68" s="50"/>
      <c r="D68" s="50"/>
      <c r="E68" s="50"/>
      <c r="F68" s="50"/>
      <c r="G68" s="150" t="s">
        <v>178</v>
      </c>
      <c r="H68" s="151" t="s">
        <v>170</v>
      </c>
      <c r="I68" s="151" t="s">
        <v>103</v>
      </c>
      <c r="J68" s="151" t="s">
        <v>58</v>
      </c>
      <c r="K68" s="152" t="s">
        <v>46</v>
      </c>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row>
    <row r="69" spans="1:48" s="43" customFormat="1" ht="20.25" hidden="1" customHeight="1" x14ac:dyDescent="0.2">
      <c r="A69" s="345" t="s">
        <v>76</v>
      </c>
      <c r="B69" s="812" t="s">
        <v>45</v>
      </c>
      <c r="C69" s="812"/>
      <c r="D69" s="812"/>
      <c r="E69" s="812"/>
      <c r="F69" s="346"/>
      <c r="G69" s="346">
        <f>104647.76-J52-1250-1250</f>
        <v>102147.76</v>
      </c>
      <c r="H69" s="346">
        <f>90450.47-J69-H72</f>
        <v>42635.51</v>
      </c>
      <c r="I69" s="346">
        <f>H58</f>
        <v>13071.46</v>
      </c>
      <c r="J69" s="346">
        <f>'December''19 AR Aging '!G43</f>
        <v>47814.96</v>
      </c>
      <c r="K69" s="347">
        <f>+I69+J69+H69-G69</f>
        <v>1374.1699999999983</v>
      </c>
      <c r="L69" s="46"/>
      <c r="M69" s="46"/>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 customFormat="1" hidden="1" x14ac:dyDescent="0.2">
      <c r="A70" s="348" t="s">
        <v>34</v>
      </c>
      <c r="B70" s="811" t="s">
        <v>29</v>
      </c>
      <c r="C70" s="811"/>
      <c r="D70" s="811"/>
      <c r="E70" s="811"/>
      <c r="F70" s="343"/>
      <c r="G70" s="343"/>
      <c r="H70" s="343">
        <v>0</v>
      </c>
      <c r="I70" s="344"/>
      <c r="J70" s="343">
        <v>0</v>
      </c>
      <c r="K70" s="349"/>
      <c r="L70" s="317"/>
      <c r="M70" s="317">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18" customFormat="1" hidden="1" x14ac:dyDescent="0.2">
      <c r="A71" s="348" t="s">
        <v>20</v>
      </c>
      <c r="B71" s="813" t="s">
        <v>154</v>
      </c>
      <c r="C71" s="814"/>
      <c r="D71" s="814"/>
      <c r="E71" s="815"/>
      <c r="F71" s="343"/>
      <c r="G71" s="343"/>
      <c r="H71" s="343"/>
      <c r="I71" s="344"/>
      <c r="J71" s="343"/>
      <c r="K71" s="349"/>
      <c r="L71" s="317"/>
      <c r="M71" s="317"/>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18" customFormat="1" ht="15" hidden="1" thickBot="1" x14ac:dyDescent="0.25">
      <c r="A72" s="350" t="s">
        <v>153</v>
      </c>
      <c r="B72" s="810" t="s">
        <v>45</v>
      </c>
      <c r="C72" s="810"/>
      <c r="D72" s="810"/>
      <c r="E72" s="810"/>
      <c r="F72" s="351"/>
      <c r="G72" s="351"/>
      <c r="H72" s="351">
        <v>0</v>
      </c>
      <c r="I72" s="351"/>
      <c r="J72" s="351"/>
      <c r="K72" s="352"/>
      <c r="L72" s="46"/>
      <c r="M72" s="46"/>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x14ac:dyDescent="0.2">
      <c r="F73" s="231"/>
      <c r="G73" s="232"/>
      <c r="H73" s="231"/>
      <c r="I73" s="231"/>
      <c r="J73" s="231">
        <f>J69+I65+H28+J72</f>
        <v>298233.70800000004</v>
      </c>
      <c r="K73" s="231" t="s">
        <v>51</v>
      </c>
      <c r="N73" s="29"/>
    </row>
    <row r="74" spans="1:48" x14ac:dyDescent="0.2">
      <c r="F74" s="231"/>
      <c r="G74" s="232"/>
      <c r="H74" s="231"/>
      <c r="I74" s="231"/>
      <c r="J74" s="752">
        <f>'December''19 AR Aging '!G68</f>
        <v>298881.25800000003</v>
      </c>
      <c r="K74" s="231" t="s">
        <v>490</v>
      </c>
      <c r="N74" s="29"/>
    </row>
    <row r="75" spans="1:48" ht="15" customHeight="1" thickBot="1" x14ac:dyDescent="0.25">
      <c r="F75" s="231"/>
      <c r="G75" s="232"/>
      <c r="H75" s="231"/>
      <c r="I75" s="231"/>
      <c r="J75" s="753">
        <f>J74-J73</f>
        <v>647.54999999998836</v>
      </c>
      <c r="K75" s="231" t="s">
        <v>491</v>
      </c>
      <c r="N75" s="29"/>
    </row>
    <row r="76" spans="1:48" ht="15" customHeight="1" thickTop="1" x14ac:dyDescent="0.2">
      <c r="C76" s="8"/>
      <c r="E76" s="9"/>
    </row>
    <row r="85" spans="1:12" x14ac:dyDescent="0.2">
      <c r="A85" s="10"/>
      <c r="B85" s="1"/>
      <c r="C85" s="6"/>
      <c r="D85" s="6"/>
      <c r="E85" s="7"/>
      <c r="F85" s="29"/>
      <c r="G85" s="29"/>
      <c r="I85" s="29"/>
      <c r="J85" s="29"/>
      <c r="K85" s="29"/>
      <c r="L85" s="29"/>
    </row>
  </sheetData>
  <mergeCells count="30">
    <mergeCell ref="B61:E61"/>
    <mergeCell ref="B36:C36"/>
    <mergeCell ref="B37:C37"/>
    <mergeCell ref="B39:C39"/>
    <mergeCell ref="B54:E54"/>
    <mergeCell ref="B40:C40"/>
    <mergeCell ref="B38:C38"/>
    <mergeCell ref="B56:E56"/>
    <mergeCell ref="B42:C42"/>
    <mergeCell ref="B72:E72"/>
    <mergeCell ref="B62:E62"/>
    <mergeCell ref="B70:E70"/>
    <mergeCell ref="B64:E64"/>
    <mergeCell ref="B69:E69"/>
    <mergeCell ref="B71:E71"/>
    <mergeCell ref="B32:C32"/>
    <mergeCell ref="B60:E60"/>
    <mergeCell ref="B48:E48"/>
    <mergeCell ref="B34:C34"/>
    <mergeCell ref="B43:C43"/>
    <mergeCell ref="B44:C44"/>
    <mergeCell ref="B49:E49"/>
    <mergeCell ref="B50:E50"/>
    <mergeCell ref="B58:E58"/>
    <mergeCell ref="B59:E59"/>
    <mergeCell ref="B33:C33"/>
    <mergeCell ref="B51:E51"/>
    <mergeCell ref="B52:E52"/>
    <mergeCell ref="B35:C35"/>
    <mergeCell ref="B41:C41"/>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47"/>
  <sheetViews>
    <sheetView zoomScale="75" zoomScaleNormal="75" workbookViewId="0"/>
  </sheetViews>
  <sheetFormatPr defaultRowHeight="14.25" x14ac:dyDescent="0.2"/>
  <cols>
    <col min="1" max="1" width="1.875" style="58" customWidth="1"/>
    <col min="2" max="2" width="55.875" style="58" customWidth="1"/>
    <col min="3" max="5" width="17.125" style="124" customWidth="1"/>
    <col min="6" max="6" width="18.75" style="124" customWidth="1"/>
    <col min="7" max="7" width="16.875" style="667" customWidth="1"/>
    <col min="8" max="8" width="11.75" style="1" customWidth="1"/>
    <col min="9" max="9" width="17.625" style="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66"/>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458</v>
      </c>
      <c r="B2" s="16"/>
      <c r="C2" s="13"/>
      <c r="D2" s="13"/>
      <c r="E2" s="26"/>
      <c r="F2" s="26"/>
      <c r="G2" s="666"/>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65"/>
      <c r="F3" s="93"/>
    </row>
    <row r="4" spans="1:2009" s="57" customFormat="1" ht="16.5" thickBot="1" x14ac:dyDescent="0.3">
      <c r="A4" s="56"/>
      <c r="B4" s="56"/>
      <c r="C4" s="93" t="s">
        <v>459</v>
      </c>
      <c r="D4" s="93" t="s">
        <v>462</v>
      </c>
      <c r="E4" s="93" t="s">
        <v>443</v>
      </c>
      <c r="F4" s="93" t="s">
        <v>467</v>
      </c>
      <c r="G4" s="668" t="s">
        <v>75</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16" t="s">
        <v>70</v>
      </c>
      <c r="B5" s="817"/>
      <c r="C5" s="148"/>
      <c r="D5" s="148"/>
      <c r="E5" s="156"/>
      <c r="F5" s="156"/>
      <c r="G5" s="669"/>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42" customFormat="1" ht="24.95" customHeight="1" x14ac:dyDescent="0.25">
      <c r="A6" s="338"/>
      <c r="B6" s="125" t="s">
        <v>470</v>
      </c>
      <c r="C6" s="535">
        <v>10616</v>
      </c>
      <c r="D6" s="163"/>
      <c r="E6" s="535"/>
      <c r="F6" s="339"/>
      <c r="G6" s="670">
        <f>SUM(C6:F6)</f>
        <v>10616</v>
      </c>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341"/>
      <c r="DL6" s="341"/>
      <c r="DM6" s="341"/>
      <c r="DN6" s="341"/>
      <c r="DO6" s="341"/>
      <c r="DP6" s="341"/>
      <c r="DQ6" s="341"/>
      <c r="DR6" s="341"/>
      <c r="DS6" s="341"/>
      <c r="DT6" s="341"/>
      <c r="DU6" s="341"/>
      <c r="DV6" s="341"/>
      <c r="DW6" s="341"/>
      <c r="DX6" s="341"/>
      <c r="DY6" s="341"/>
      <c r="DZ6" s="341"/>
      <c r="EA6" s="341"/>
      <c r="EB6" s="341"/>
      <c r="EC6" s="341"/>
      <c r="ED6" s="341"/>
      <c r="EE6" s="341"/>
      <c r="EF6" s="341"/>
      <c r="EG6" s="341"/>
      <c r="EH6" s="341"/>
      <c r="EI6" s="341"/>
      <c r="EJ6" s="341"/>
      <c r="EK6" s="341"/>
      <c r="EL6" s="341"/>
      <c r="EM6" s="341"/>
      <c r="EN6" s="341"/>
      <c r="EO6" s="341"/>
      <c r="EP6" s="341"/>
      <c r="EQ6" s="341"/>
      <c r="ER6" s="341"/>
      <c r="ES6" s="341"/>
      <c r="ET6" s="341"/>
      <c r="EU6" s="341"/>
      <c r="EV6" s="341"/>
      <c r="EW6" s="341"/>
      <c r="EX6" s="341"/>
      <c r="EY6" s="341"/>
      <c r="EZ6" s="341"/>
      <c r="FA6" s="341"/>
      <c r="FB6" s="341"/>
      <c r="FC6" s="341"/>
      <c r="FD6" s="341"/>
      <c r="FE6" s="341"/>
      <c r="FF6" s="341"/>
      <c r="FG6" s="341"/>
      <c r="FH6" s="341"/>
      <c r="FI6" s="341"/>
      <c r="FJ6" s="341"/>
      <c r="FK6" s="341"/>
      <c r="FL6" s="341"/>
      <c r="FM6" s="341"/>
      <c r="FN6" s="341"/>
      <c r="FO6" s="341"/>
      <c r="FP6" s="341"/>
      <c r="FQ6" s="341"/>
      <c r="FR6" s="341"/>
      <c r="FS6" s="341"/>
      <c r="FT6" s="341"/>
      <c r="FU6" s="341"/>
      <c r="FV6" s="341"/>
      <c r="FW6" s="341"/>
      <c r="FX6" s="341"/>
      <c r="FY6" s="341"/>
      <c r="FZ6" s="341"/>
      <c r="GA6" s="341"/>
      <c r="GB6" s="341"/>
      <c r="GC6" s="341"/>
      <c r="GD6" s="341"/>
      <c r="GE6" s="341"/>
      <c r="GF6" s="341"/>
      <c r="GG6" s="341"/>
      <c r="GH6" s="341"/>
      <c r="GI6" s="341"/>
      <c r="GJ6" s="341"/>
      <c r="GK6" s="341"/>
      <c r="GL6" s="341"/>
      <c r="GM6" s="341"/>
      <c r="GN6" s="341"/>
      <c r="GO6" s="341"/>
      <c r="GP6" s="341"/>
      <c r="GQ6" s="341"/>
      <c r="GR6" s="341"/>
      <c r="GS6" s="341"/>
      <c r="GT6" s="341"/>
      <c r="GU6" s="341"/>
      <c r="GV6" s="341"/>
      <c r="GW6" s="341"/>
      <c r="GX6" s="341"/>
      <c r="GY6" s="341"/>
      <c r="GZ6" s="341"/>
      <c r="HA6" s="341"/>
      <c r="HB6" s="341"/>
      <c r="HC6" s="341"/>
      <c r="HD6" s="341"/>
      <c r="HE6" s="341"/>
      <c r="HF6" s="341"/>
      <c r="HG6" s="341"/>
      <c r="HH6" s="341"/>
      <c r="HI6" s="341"/>
      <c r="HJ6" s="341"/>
      <c r="HK6" s="341"/>
      <c r="HL6" s="341"/>
      <c r="HM6" s="341"/>
      <c r="HN6" s="341"/>
      <c r="HO6" s="341"/>
      <c r="HP6" s="341"/>
      <c r="HQ6" s="341"/>
      <c r="HR6" s="341"/>
      <c r="HS6" s="341"/>
      <c r="HT6" s="341"/>
      <c r="HU6" s="341"/>
      <c r="HV6" s="341"/>
      <c r="HW6" s="341"/>
      <c r="HX6" s="341"/>
      <c r="HY6" s="341"/>
      <c r="HZ6" s="341"/>
      <c r="IA6" s="341"/>
      <c r="IB6" s="341"/>
      <c r="IC6" s="341"/>
      <c r="ID6" s="341"/>
      <c r="IE6" s="341"/>
      <c r="IF6" s="341"/>
      <c r="IG6" s="341"/>
      <c r="IH6" s="341"/>
      <c r="II6" s="341"/>
      <c r="IJ6" s="341"/>
      <c r="IK6" s="341"/>
      <c r="IL6" s="341"/>
      <c r="IM6" s="341"/>
      <c r="IN6" s="341"/>
      <c r="IO6" s="341"/>
      <c r="IP6" s="341"/>
      <c r="IQ6" s="341"/>
      <c r="IR6" s="341"/>
      <c r="IS6" s="341"/>
      <c r="IT6" s="341"/>
      <c r="IU6" s="341"/>
      <c r="IV6" s="341"/>
      <c r="IW6" s="341"/>
      <c r="IX6" s="341"/>
      <c r="IY6" s="341"/>
      <c r="IZ6" s="341"/>
      <c r="JA6" s="341"/>
      <c r="JB6" s="341"/>
      <c r="JC6" s="341"/>
      <c r="JD6" s="341"/>
      <c r="JE6" s="341"/>
      <c r="JF6" s="341"/>
      <c r="JG6" s="341"/>
      <c r="JH6" s="341"/>
      <c r="JI6" s="341"/>
      <c r="JJ6" s="341"/>
      <c r="JK6" s="341"/>
      <c r="JL6" s="341"/>
      <c r="JM6" s="341"/>
      <c r="JN6" s="341"/>
      <c r="JO6" s="341"/>
      <c r="JP6" s="341"/>
      <c r="JQ6" s="341"/>
      <c r="JR6" s="341"/>
      <c r="JS6" s="341"/>
      <c r="JT6" s="341"/>
      <c r="JU6" s="341"/>
      <c r="JV6" s="341"/>
      <c r="JW6" s="341"/>
      <c r="JX6" s="341"/>
      <c r="JY6" s="341"/>
      <c r="JZ6" s="341"/>
      <c r="KA6" s="341"/>
      <c r="KB6" s="341"/>
      <c r="KC6" s="341"/>
      <c r="KD6" s="341"/>
      <c r="KE6" s="341"/>
      <c r="KF6" s="341"/>
      <c r="KG6" s="341"/>
      <c r="KH6" s="341"/>
      <c r="KI6" s="341"/>
      <c r="KJ6" s="341"/>
      <c r="KK6" s="341"/>
      <c r="KL6" s="341"/>
      <c r="KM6" s="341"/>
      <c r="KN6" s="341"/>
      <c r="KO6" s="341"/>
      <c r="KP6" s="341"/>
      <c r="KQ6" s="341"/>
      <c r="KR6" s="341"/>
      <c r="KS6" s="341"/>
      <c r="KT6" s="341"/>
      <c r="KU6" s="341"/>
      <c r="KV6" s="341"/>
      <c r="KW6" s="341"/>
      <c r="KX6" s="341"/>
      <c r="KY6" s="341"/>
      <c r="KZ6" s="341"/>
      <c r="LA6" s="341"/>
      <c r="LB6" s="341"/>
      <c r="LC6" s="341"/>
      <c r="LD6" s="341"/>
      <c r="LE6" s="341"/>
      <c r="LF6" s="341"/>
      <c r="LG6" s="341"/>
      <c r="LH6" s="341"/>
      <c r="LI6" s="341"/>
      <c r="LJ6" s="341"/>
      <c r="LK6" s="341"/>
      <c r="LL6" s="341"/>
      <c r="LM6" s="341"/>
      <c r="LN6" s="341"/>
      <c r="LO6" s="341"/>
      <c r="LP6" s="341"/>
      <c r="LQ6" s="341"/>
      <c r="LR6" s="341"/>
      <c r="LS6" s="341"/>
      <c r="LT6" s="341"/>
      <c r="LU6" s="341"/>
      <c r="LV6" s="341"/>
      <c r="LW6" s="341"/>
      <c r="LX6" s="341"/>
      <c r="LY6" s="341"/>
      <c r="LZ6" s="341"/>
      <c r="MA6" s="341"/>
      <c r="MB6" s="341"/>
      <c r="MC6" s="341"/>
      <c r="MD6" s="341"/>
      <c r="ME6" s="341"/>
      <c r="MF6" s="341"/>
      <c r="MG6" s="341"/>
      <c r="MH6" s="341"/>
      <c r="MI6" s="341"/>
      <c r="MJ6" s="341"/>
      <c r="MK6" s="341"/>
      <c r="ML6" s="341"/>
      <c r="MM6" s="341"/>
      <c r="MN6" s="341"/>
      <c r="MO6" s="341"/>
      <c r="MP6" s="341"/>
      <c r="MQ6" s="341"/>
      <c r="MR6" s="341"/>
      <c r="MS6" s="341"/>
      <c r="MT6" s="341"/>
      <c r="MU6" s="341"/>
      <c r="MV6" s="341"/>
      <c r="MW6" s="341"/>
      <c r="MX6" s="341"/>
      <c r="MY6" s="341"/>
      <c r="MZ6" s="341"/>
      <c r="NA6" s="341"/>
      <c r="NB6" s="341"/>
      <c r="NC6" s="341"/>
      <c r="ND6" s="341"/>
      <c r="NE6" s="341"/>
      <c r="NF6" s="341"/>
      <c r="NG6" s="341"/>
      <c r="NH6" s="341"/>
      <c r="NI6" s="341"/>
      <c r="NJ6" s="341"/>
      <c r="NK6" s="341"/>
      <c r="NL6" s="341"/>
      <c r="NM6" s="341"/>
      <c r="NN6" s="341"/>
      <c r="NO6" s="341"/>
      <c r="NP6" s="341"/>
      <c r="NQ6" s="341"/>
      <c r="NR6" s="341"/>
      <c r="NS6" s="341"/>
      <c r="NT6" s="341"/>
      <c r="NU6" s="341"/>
      <c r="NV6" s="341"/>
      <c r="NW6" s="341"/>
      <c r="NX6" s="341"/>
      <c r="NY6" s="341"/>
      <c r="NZ6" s="341"/>
      <c r="OA6" s="341"/>
      <c r="OB6" s="341"/>
      <c r="OC6" s="341"/>
      <c r="OD6" s="341"/>
      <c r="OE6" s="341"/>
      <c r="OF6" s="341"/>
      <c r="OG6" s="341"/>
      <c r="OH6" s="341"/>
      <c r="OI6" s="341"/>
      <c r="OJ6" s="341"/>
      <c r="OK6" s="341"/>
      <c r="OL6" s="341"/>
      <c r="OM6" s="341"/>
      <c r="ON6" s="341"/>
      <c r="OO6" s="341"/>
      <c r="OP6" s="341"/>
      <c r="OQ6" s="341"/>
      <c r="OR6" s="341"/>
      <c r="OS6" s="341"/>
      <c r="OT6" s="341"/>
      <c r="OU6" s="341"/>
      <c r="OV6" s="341"/>
      <c r="OW6" s="341"/>
      <c r="OX6" s="341"/>
      <c r="OY6" s="341"/>
      <c r="OZ6" s="341"/>
      <c r="PA6" s="341"/>
      <c r="PB6" s="341"/>
      <c r="PC6" s="341"/>
      <c r="PD6" s="341"/>
      <c r="PE6" s="341"/>
      <c r="PF6" s="341"/>
      <c r="PG6" s="341"/>
      <c r="PH6" s="341"/>
      <c r="PI6" s="341"/>
      <c r="PJ6" s="341"/>
      <c r="PK6" s="341"/>
      <c r="PL6" s="341"/>
      <c r="PM6" s="341"/>
      <c r="PN6" s="341"/>
      <c r="PO6" s="341"/>
      <c r="PP6" s="341"/>
      <c r="PQ6" s="341"/>
      <c r="PR6" s="341"/>
      <c r="PS6" s="341"/>
      <c r="PT6" s="341"/>
      <c r="PU6" s="341"/>
      <c r="PV6" s="341"/>
      <c r="PW6" s="341"/>
      <c r="PX6" s="341"/>
      <c r="PY6" s="341"/>
      <c r="PZ6" s="341"/>
      <c r="QA6" s="341"/>
      <c r="QB6" s="341"/>
      <c r="QC6" s="341"/>
      <c r="QD6" s="341"/>
      <c r="QE6" s="341"/>
      <c r="QF6" s="341"/>
      <c r="QG6" s="341"/>
      <c r="QH6" s="341"/>
      <c r="QI6" s="341"/>
      <c r="QJ6" s="341"/>
      <c r="QK6" s="341"/>
      <c r="QL6" s="341"/>
      <c r="QM6" s="341"/>
      <c r="QN6" s="341"/>
      <c r="QO6" s="341"/>
      <c r="QP6" s="341"/>
      <c r="QQ6" s="341"/>
      <c r="QR6" s="341"/>
      <c r="QS6" s="341"/>
      <c r="QT6" s="341"/>
      <c r="QU6" s="341"/>
      <c r="QV6" s="341"/>
      <c r="QW6" s="341"/>
      <c r="QX6" s="341"/>
      <c r="QY6" s="341"/>
      <c r="QZ6" s="341"/>
      <c r="RA6" s="341"/>
      <c r="RB6" s="341"/>
      <c r="RC6" s="341"/>
      <c r="RD6" s="341"/>
      <c r="RE6" s="341"/>
      <c r="RF6" s="341"/>
      <c r="RG6" s="341"/>
      <c r="RH6" s="341"/>
      <c r="RI6" s="341"/>
      <c r="RJ6" s="341"/>
      <c r="RK6" s="341"/>
      <c r="RL6" s="341"/>
      <c r="RM6" s="341"/>
      <c r="RN6" s="341"/>
      <c r="RO6" s="341"/>
      <c r="RP6" s="341"/>
      <c r="RQ6" s="341"/>
      <c r="RR6" s="341"/>
      <c r="RS6" s="341"/>
      <c r="RT6" s="341"/>
      <c r="RU6" s="341"/>
      <c r="RV6" s="341"/>
      <c r="RW6" s="341"/>
      <c r="RX6" s="341"/>
      <c r="RY6" s="341"/>
      <c r="RZ6" s="341"/>
      <c r="SA6" s="341"/>
      <c r="SB6" s="341"/>
      <c r="SC6" s="341"/>
      <c r="SD6" s="341"/>
      <c r="SE6" s="341"/>
      <c r="SF6" s="341"/>
      <c r="SG6" s="341"/>
      <c r="SH6" s="341"/>
      <c r="SI6" s="341"/>
      <c r="SJ6" s="341"/>
      <c r="SK6" s="341"/>
      <c r="SL6" s="341"/>
      <c r="SM6" s="341"/>
      <c r="SN6" s="341"/>
      <c r="SO6" s="341"/>
      <c r="SP6" s="341"/>
      <c r="SQ6" s="341"/>
      <c r="SR6" s="341"/>
      <c r="SS6" s="341"/>
      <c r="ST6" s="341"/>
      <c r="SU6" s="341"/>
      <c r="SV6" s="341"/>
      <c r="SW6" s="341"/>
      <c r="SX6" s="341"/>
      <c r="SY6" s="341"/>
      <c r="SZ6" s="341"/>
      <c r="TA6" s="341"/>
      <c r="TB6" s="341"/>
      <c r="TC6" s="341"/>
      <c r="TD6" s="341"/>
      <c r="TE6" s="341"/>
      <c r="TF6" s="341"/>
      <c r="TG6" s="341"/>
      <c r="TH6" s="341"/>
      <c r="TI6" s="341"/>
      <c r="TJ6" s="341"/>
      <c r="TK6" s="341"/>
      <c r="TL6" s="341"/>
      <c r="TM6" s="341"/>
      <c r="TN6" s="341"/>
      <c r="TO6" s="341"/>
      <c r="TP6" s="341"/>
      <c r="TQ6" s="341"/>
      <c r="TR6" s="341"/>
      <c r="TS6" s="341"/>
      <c r="TT6" s="341"/>
      <c r="TU6" s="341"/>
      <c r="TV6" s="341"/>
      <c r="TW6" s="341"/>
      <c r="TX6" s="341"/>
      <c r="TY6" s="341"/>
      <c r="TZ6" s="341"/>
      <c r="UA6" s="341"/>
      <c r="UB6" s="341"/>
      <c r="UC6" s="341"/>
      <c r="UD6" s="341"/>
      <c r="UE6" s="341"/>
      <c r="UF6" s="341"/>
      <c r="UG6" s="341"/>
      <c r="UH6" s="341"/>
      <c r="UI6" s="341"/>
      <c r="UJ6" s="341"/>
      <c r="UK6" s="341"/>
      <c r="UL6" s="341"/>
      <c r="UM6" s="341"/>
      <c r="UN6" s="341"/>
      <c r="UO6" s="341"/>
      <c r="UP6" s="341"/>
      <c r="UQ6" s="341"/>
      <c r="UR6" s="341"/>
      <c r="US6" s="341"/>
      <c r="UT6" s="341"/>
      <c r="UU6" s="341"/>
      <c r="UV6" s="341"/>
      <c r="UW6" s="341"/>
      <c r="UX6" s="341"/>
      <c r="UY6" s="341"/>
      <c r="UZ6" s="341"/>
      <c r="VA6" s="341"/>
      <c r="VB6" s="341"/>
      <c r="VC6" s="341"/>
      <c r="VD6" s="341"/>
      <c r="VE6" s="341"/>
      <c r="VF6" s="341"/>
      <c r="VG6" s="341"/>
      <c r="VH6" s="341"/>
      <c r="VI6" s="341"/>
      <c r="VJ6" s="341"/>
      <c r="VK6" s="341"/>
      <c r="VL6" s="341"/>
      <c r="VM6" s="341"/>
      <c r="VN6" s="341"/>
      <c r="VO6" s="341"/>
      <c r="VP6" s="341"/>
      <c r="VQ6" s="341"/>
      <c r="VR6" s="341"/>
      <c r="VS6" s="341"/>
      <c r="VT6" s="341"/>
      <c r="VU6" s="341"/>
      <c r="VV6" s="341"/>
      <c r="VW6" s="341"/>
      <c r="VX6" s="341"/>
      <c r="VY6" s="341"/>
      <c r="VZ6" s="341"/>
      <c r="WA6" s="341"/>
      <c r="WB6" s="341"/>
      <c r="WC6" s="341"/>
      <c r="WD6" s="341"/>
      <c r="WE6" s="341"/>
      <c r="WF6" s="341"/>
      <c r="WG6" s="341"/>
      <c r="WH6" s="341"/>
      <c r="WI6" s="341"/>
      <c r="WJ6" s="341"/>
      <c r="WK6" s="341"/>
      <c r="WL6" s="341"/>
      <c r="WM6" s="341"/>
      <c r="WN6" s="341"/>
      <c r="WO6" s="341"/>
      <c r="WP6" s="341"/>
      <c r="WQ6" s="341"/>
      <c r="WR6" s="341"/>
      <c r="WS6" s="341"/>
      <c r="WT6" s="341"/>
      <c r="WU6" s="341"/>
      <c r="WV6" s="341"/>
      <c r="WW6" s="341"/>
      <c r="WX6" s="341"/>
      <c r="WY6" s="341"/>
      <c r="WZ6" s="341"/>
      <c r="XA6" s="341"/>
      <c r="XB6" s="341"/>
      <c r="XC6" s="341"/>
      <c r="XD6" s="341"/>
      <c r="XE6" s="341"/>
      <c r="XF6" s="341"/>
      <c r="XG6" s="341"/>
      <c r="XH6" s="341"/>
      <c r="XI6" s="341"/>
      <c r="XJ6" s="341"/>
      <c r="XK6" s="341"/>
      <c r="XL6" s="341"/>
      <c r="XM6" s="341"/>
      <c r="XN6" s="341"/>
      <c r="XO6" s="341"/>
      <c r="XP6" s="341"/>
      <c r="XQ6" s="341"/>
      <c r="XR6" s="341"/>
      <c r="XS6" s="341"/>
      <c r="XT6" s="341"/>
      <c r="XU6" s="341"/>
      <c r="XV6" s="341"/>
      <c r="XW6" s="341"/>
      <c r="XX6" s="341"/>
      <c r="XY6" s="341"/>
      <c r="XZ6" s="341"/>
      <c r="YA6" s="341"/>
      <c r="YB6" s="341"/>
      <c r="YC6" s="341"/>
      <c r="YD6" s="341"/>
      <c r="YE6" s="341"/>
      <c r="YF6" s="341"/>
      <c r="YG6" s="341"/>
      <c r="YH6" s="341"/>
      <c r="YI6" s="341"/>
      <c r="YJ6" s="341"/>
      <c r="YK6" s="341"/>
      <c r="YL6" s="341"/>
      <c r="YM6" s="341"/>
      <c r="YN6" s="341"/>
      <c r="YO6" s="341"/>
      <c r="YP6" s="341"/>
      <c r="YQ6" s="341"/>
      <c r="YR6" s="341"/>
      <c r="YS6" s="341"/>
      <c r="YT6" s="341"/>
      <c r="YU6" s="341"/>
      <c r="YV6" s="341"/>
      <c r="YW6" s="341"/>
      <c r="YX6" s="341"/>
      <c r="YY6" s="341"/>
      <c r="YZ6" s="341"/>
      <c r="ZA6" s="341"/>
      <c r="ZB6" s="341"/>
      <c r="ZC6" s="341"/>
      <c r="ZD6" s="341"/>
      <c r="ZE6" s="341"/>
      <c r="ZF6" s="341"/>
      <c r="ZG6" s="341"/>
      <c r="ZH6" s="341"/>
      <c r="ZI6" s="341"/>
      <c r="ZJ6" s="341"/>
      <c r="ZK6" s="341"/>
      <c r="ZL6" s="341"/>
      <c r="ZM6" s="341"/>
      <c r="ZN6" s="341"/>
      <c r="ZO6" s="341"/>
      <c r="ZP6" s="341"/>
      <c r="ZQ6" s="341"/>
      <c r="ZR6" s="341"/>
      <c r="ZS6" s="341"/>
      <c r="ZT6" s="341"/>
      <c r="ZU6" s="341"/>
      <c r="ZV6" s="341"/>
      <c r="ZW6" s="341"/>
      <c r="ZX6" s="341"/>
      <c r="ZY6" s="341"/>
      <c r="ZZ6" s="341"/>
      <c r="AAA6" s="341"/>
      <c r="AAB6" s="341"/>
      <c r="AAC6" s="341"/>
      <c r="AAD6" s="341"/>
      <c r="AAE6" s="341"/>
      <c r="AAF6" s="341"/>
      <c r="AAG6" s="341"/>
      <c r="AAH6" s="341"/>
      <c r="AAI6" s="341"/>
      <c r="AAJ6" s="341"/>
      <c r="AAK6" s="341"/>
      <c r="AAL6" s="341"/>
      <c r="AAM6" s="341"/>
      <c r="AAN6" s="341"/>
      <c r="AAO6" s="341"/>
      <c r="AAP6" s="341"/>
      <c r="AAQ6" s="341"/>
      <c r="AAR6" s="341"/>
      <c r="AAS6" s="341"/>
      <c r="AAT6" s="341"/>
      <c r="AAU6" s="341"/>
      <c r="AAV6" s="341"/>
      <c r="AAW6" s="341"/>
      <c r="AAX6" s="341"/>
      <c r="AAY6" s="341"/>
      <c r="AAZ6" s="341"/>
      <c r="ABA6" s="341"/>
      <c r="ABB6" s="341"/>
      <c r="ABC6" s="341"/>
      <c r="ABD6" s="341"/>
      <c r="ABE6" s="341"/>
      <c r="ABF6" s="341"/>
      <c r="ABG6" s="341"/>
      <c r="ABH6" s="341"/>
      <c r="ABI6" s="341"/>
      <c r="ABJ6" s="341"/>
      <c r="ABK6" s="341"/>
      <c r="ABL6" s="341"/>
      <c r="ABM6" s="341"/>
      <c r="ABN6" s="341"/>
      <c r="ABO6" s="341"/>
      <c r="ABP6" s="341"/>
      <c r="ABQ6" s="341"/>
      <c r="ABR6" s="341"/>
      <c r="ABS6" s="341"/>
      <c r="ABT6" s="341"/>
      <c r="ABU6" s="341"/>
      <c r="ABV6" s="341"/>
      <c r="ABW6" s="341"/>
      <c r="ABX6" s="341"/>
      <c r="ABY6" s="341"/>
      <c r="ABZ6" s="341"/>
      <c r="ACA6" s="341"/>
      <c r="ACB6" s="341"/>
      <c r="ACC6" s="341"/>
      <c r="ACD6" s="341"/>
      <c r="ACE6" s="341"/>
      <c r="ACF6" s="341"/>
      <c r="ACG6" s="341"/>
      <c r="ACH6" s="341"/>
      <c r="ACI6" s="341"/>
      <c r="ACJ6" s="341"/>
      <c r="ACK6" s="341"/>
      <c r="ACL6" s="341"/>
      <c r="ACM6" s="341"/>
      <c r="ACN6" s="341"/>
      <c r="ACO6" s="341"/>
      <c r="ACP6" s="341"/>
      <c r="ACQ6" s="341"/>
      <c r="ACR6" s="341"/>
      <c r="ACS6" s="341"/>
      <c r="ACT6" s="341"/>
      <c r="ACU6" s="341"/>
      <c r="ACV6" s="341"/>
      <c r="ACW6" s="341"/>
      <c r="ACX6" s="341"/>
      <c r="ACY6" s="341"/>
      <c r="ACZ6" s="341"/>
      <c r="ADA6" s="341"/>
      <c r="ADB6" s="341"/>
      <c r="ADC6" s="341"/>
      <c r="ADD6" s="341"/>
      <c r="ADE6" s="341"/>
      <c r="ADF6" s="341"/>
      <c r="ADG6" s="341"/>
      <c r="ADH6" s="341"/>
      <c r="ADI6" s="341"/>
      <c r="ADJ6" s="341"/>
      <c r="ADK6" s="341"/>
      <c r="ADL6" s="341"/>
      <c r="ADM6" s="341"/>
      <c r="ADN6" s="341"/>
      <c r="ADO6" s="341"/>
      <c r="ADP6" s="341"/>
      <c r="ADQ6" s="341"/>
      <c r="ADR6" s="341"/>
      <c r="ADS6" s="341"/>
      <c r="ADT6" s="341"/>
      <c r="ADU6" s="341"/>
      <c r="ADV6" s="341"/>
      <c r="ADW6" s="341"/>
      <c r="ADX6" s="341"/>
      <c r="ADY6" s="341"/>
      <c r="ADZ6" s="341"/>
      <c r="AEA6" s="341"/>
      <c r="AEB6" s="341"/>
      <c r="AEC6" s="341"/>
      <c r="AED6" s="341"/>
      <c r="AEE6" s="341"/>
      <c r="AEF6" s="341"/>
      <c r="AEG6" s="341"/>
      <c r="AEH6" s="341"/>
      <c r="AEI6" s="341"/>
      <c r="AEJ6" s="341"/>
      <c r="AEK6" s="341"/>
      <c r="AEL6" s="341"/>
      <c r="AEM6" s="341"/>
      <c r="AEN6" s="341"/>
      <c r="AEO6" s="341"/>
      <c r="AEP6" s="341"/>
      <c r="AEQ6" s="341"/>
      <c r="AER6" s="341"/>
      <c r="AES6" s="341"/>
      <c r="AET6" s="341"/>
      <c r="AEU6" s="341"/>
      <c r="AEV6" s="341"/>
      <c r="AEW6" s="341"/>
      <c r="AEX6" s="341"/>
      <c r="AEY6" s="341"/>
      <c r="AEZ6" s="341"/>
      <c r="AFA6" s="341"/>
      <c r="AFB6" s="341"/>
      <c r="AFC6" s="341"/>
      <c r="AFD6" s="341"/>
      <c r="AFE6" s="341"/>
      <c r="AFF6" s="341"/>
      <c r="AFG6" s="341"/>
      <c r="AFH6" s="341"/>
      <c r="AFI6" s="341"/>
      <c r="AFJ6" s="341"/>
      <c r="AFK6" s="341"/>
      <c r="AFL6" s="341"/>
      <c r="AFM6" s="341"/>
      <c r="AFN6" s="341"/>
      <c r="AFO6" s="341"/>
      <c r="AFP6" s="341"/>
      <c r="AFQ6" s="341"/>
      <c r="AFR6" s="341"/>
      <c r="AFS6" s="341"/>
      <c r="AFT6" s="341"/>
      <c r="AFU6" s="341"/>
      <c r="AFV6" s="341"/>
      <c r="AFW6" s="341"/>
      <c r="AFX6" s="341"/>
      <c r="AFY6" s="341"/>
      <c r="AFZ6" s="341"/>
      <c r="AGA6" s="341"/>
      <c r="AGB6" s="341"/>
      <c r="AGC6" s="341"/>
      <c r="AGD6" s="341"/>
      <c r="AGE6" s="341"/>
      <c r="AGF6" s="341"/>
      <c r="AGG6" s="341"/>
      <c r="AGH6" s="341"/>
      <c r="AGI6" s="341"/>
      <c r="AGJ6" s="341"/>
      <c r="AGK6" s="341"/>
      <c r="AGL6" s="341"/>
      <c r="AGM6" s="341"/>
      <c r="AGN6" s="341"/>
      <c r="AGO6" s="341"/>
      <c r="AGP6" s="341"/>
      <c r="AGQ6" s="341"/>
      <c r="AGR6" s="341"/>
      <c r="AGS6" s="341"/>
      <c r="AGT6" s="341"/>
      <c r="AGU6" s="341"/>
      <c r="AGV6" s="341"/>
      <c r="AGW6" s="341"/>
      <c r="AGX6" s="341"/>
      <c r="AGY6" s="341"/>
      <c r="AGZ6" s="341"/>
      <c r="AHA6" s="341"/>
      <c r="AHB6" s="341"/>
      <c r="AHC6" s="341"/>
      <c r="AHD6" s="341"/>
      <c r="AHE6" s="341"/>
      <c r="AHF6" s="341"/>
      <c r="AHG6" s="341"/>
      <c r="AHH6" s="341"/>
      <c r="AHI6" s="341"/>
      <c r="AHJ6" s="341"/>
      <c r="AHK6" s="341"/>
      <c r="AHL6" s="341"/>
      <c r="AHM6" s="341"/>
      <c r="AHN6" s="341"/>
      <c r="AHO6" s="341"/>
      <c r="AHP6" s="341"/>
      <c r="AHQ6" s="341"/>
      <c r="AHR6" s="341"/>
      <c r="AHS6" s="341"/>
      <c r="AHT6" s="341"/>
      <c r="AHU6" s="341"/>
      <c r="AHV6" s="341"/>
      <c r="AHW6" s="341"/>
      <c r="AHX6" s="341"/>
      <c r="AHY6" s="341"/>
      <c r="AHZ6" s="341"/>
      <c r="AIA6" s="341"/>
      <c r="AIB6" s="341"/>
      <c r="AIC6" s="341"/>
      <c r="AID6" s="341"/>
      <c r="AIE6" s="341"/>
      <c r="AIF6" s="341"/>
      <c r="AIG6" s="341"/>
      <c r="AIH6" s="341"/>
      <c r="AII6" s="341"/>
      <c r="AIJ6" s="341"/>
      <c r="AIK6" s="341"/>
      <c r="AIL6" s="341"/>
      <c r="AIM6" s="341"/>
      <c r="AIN6" s="341"/>
      <c r="AIO6" s="341"/>
      <c r="AIP6" s="341"/>
      <c r="AIQ6" s="341"/>
      <c r="AIR6" s="341"/>
      <c r="AIS6" s="341"/>
      <c r="AIT6" s="341"/>
      <c r="AIU6" s="341"/>
      <c r="AIV6" s="341"/>
      <c r="AIW6" s="341"/>
      <c r="AIX6" s="341"/>
      <c r="AIY6" s="341"/>
      <c r="AIZ6" s="341"/>
      <c r="AJA6" s="341"/>
      <c r="AJB6" s="341"/>
      <c r="AJC6" s="341"/>
      <c r="AJD6" s="341"/>
      <c r="AJE6" s="341"/>
      <c r="AJF6" s="341"/>
      <c r="AJG6" s="341"/>
      <c r="AJH6" s="341"/>
      <c r="AJI6" s="341"/>
      <c r="AJJ6" s="341"/>
      <c r="AJK6" s="341"/>
      <c r="AJL6" s="341"/>
      <c r="AJM6" s="341"/>
      <c r="AJN6" s="341"/>
      <c r="AJO6" s="341"/>
      <c r="AJP6" s="341"/>
      <c r="AJQ6" s="341"/>
      <c r="AJR6" s="341"/>
      <c r="AJS6" s="341"/>
      <c r="AJT6" s="341"/>
      <c r="AJU6" s="341"/>
      <c r="AJV6" s="341"/>
      <c r="AJW6" s="341"/>
      <c r="AJX6" s="341"/>
      <c r="AJY6" s="341"/>
      <c r="AJZ6" s="341"/>
      <c r="AKA6" s="341"/>
      <c r="AKB6" s="341"/>
      <c r="AKC6" s="341"/>
      <c r="AKD6" s="341"/>
      <c r="AKE6" s="341"/>
      <c r="AKF6" s="341"/>
      <c r="AKG6" s="341"/>
      <c r="AKH6" s="341"/>
      <c r="AKI6" s="341"/>
      <c r="AKJ6" s="341"/>
      <c r="AKK6" s="341"/>
      <c r="AKL6" s="341"/>
      <c r="AKM6" s="341"/>
      <c r="AKN6" s="341"/>
      <c r="AKO6" s="341"/>
      <c r="AKP6" s="341"/>
      <c r="AKQ6" s="341"/>
      <c r="AKR6" s="341"/>
      <c r="AKS6" s="341"/>
      <c r="AKT6" s="341"/>
      <c r="AKU6" s="341"/>
      <c r="AKV6" s="341"/>
      <c r="AKW6" s="341"/>
      <c r="AKX6" s="341"/>
      <c r="AKY6" s="341"/>
      <c r="AKZ6" s="341"/>
      <c r="ALA6" s="341"/>
      <c r="ALB6" s="341"/>
      <c r="ALC6" s="341"/>
      <c r="ALD6" s="341"/>
      <c r="ALE6" s="341"/>
      <c r="ALF6" s="341"/>
      <c r="ALG6" s="341"/>
      <c r="ALH6" s="341"/>
      <c r="ALI6" s="341"/>
      <c r="ALJ6" s="341"/>
      <c r="ALK6" s="341"/>
      <c r="ALL6" s="341"/>
      <c r="ALM6" s="341"/>
      <c r="ALN6" s="341"/>
      <c r="ALO6" s="341"/>
      <c r="ALP6" s="341"/>
      <c r="ALQ6" s="341"/>
      <c r="ALR6" s="341"/>
      <c r="ALS6" s="341"/>
      <c r="ALT6" s="341"/>
      <c r="ALU6" s="341"/>
      <c r="ALV6" s="341"/>
      <c r="ALW6" s="341"/>
      <c r="ALX6" s="341"/>
      <c r="ALY6" s="341"/>
      <c r="ALZ6" s="341"/>
      <c r="AMA6" s="341"/>
      <c r="AMB6" s="341"/>
      <c r="AMC6" s="341"/>
      <c r="AMD6" s="341"/>
      <c r="AME6" s="341"/>
      <c r="AMF6" s="341"/>
      <c r="AMG6" s="341"/>
      <c r="AMH6" s="341"/>
      <c r="AMI6" s="341"/>
      <c r="AMJ6" s="341"/>
      <c r="AMK6" s="341"/>
      <c r="AML6" s="341"/>
      <c r="AMM6" s="341"/>
      <c r="AMN6" s="341"/>
      <c r="AMO6" s="341"/>
      <c r="AMP6" s="341"/>
      <c r="AMQ6" s="341"/>
      <c r="AMR6" s="341"/>
      <c r="AMS6" s="341"/>
      <c r="AMT6" s="341"/>
      <c r="AMU6" s="341"/>
      <c r="AMV6" s="341"/>
      <c r="AMW6" s="341"/>
      <c r="AMX6" s="341"/>
      <c r="AMY6" s="341"/>
      <c r="AMZ6" s="341"/>
      <c r="ANA6" s="341"/>
      <c r="ANB6" s="341"/>
      <c r="ANC6" s="341"/>
      <c r="AND6" s="341"/>
      <c r="ANE6" s="341"/>
      <c r="ANF6" s="341"/>
      <c r="ANG6" s="341"/>
      <c r="ANH6" s="341"/>
      <c r="ANI6" s="341"/>
      <c r="ANJ6" s="341"/>
      <c r="ANK6" s="341"/>
      <c r="ANL6" s="341"/>
      <c r="ANM6" s="341"/>
      <c r="ANN6" s="341"/>
      <c r="ANO6" s="341"/>
      <c r="ANP6" s="341"/>
      <c r="ANQ6" s="341"/>
      <c r="ANR6" s="341"/>
      <c r="ANS6" s="341"/>
      <c r="ANT6" s="341"/>
      <c r="ANU6" s="341"/>
      <c r="ANV6" s="341"/>
      <c r="ANW6" s="341"/>
      <c r="ANX6" s="341"/>
      <c r="ANY6" s="341"/>
      <c r="ANZ6" s="341"/>
      <c r="AOA6" s="341"/>
      <c r="AOB6" s="341"/>
      <c r="AOC6" s="341"/>
      <c r="AOD6" s="341"/>
      <c r="AOE6" s="341"/>
      <c r="AOF6" s="341"/>
      <c r="AOG6" s="341"/>
      <c r="AOH6" s="341"/>
      <c r="AOI6" s="341"/>
      <c r="AOJ6" s="341"/>
      <c r="AOK6" s="341"/>
      <c r="AOL6" s="341"/>
      <c r="AOM6" s="341"/>
      <c r="AON6" s="341"/>
      <c r="AOO6" s="341"/>
      <c r="AOP6" s="341"/>
      <c r="AOQ6" s="341"/>
      <c r="AOR6" s="341"/>
      <c r="AOS6" s="341"/>
      <c r="AOT6" s="341"/>
      <c r="AOU6" s="341"/>
      <c r="AOV6" s="341"/>
      <c r="AOW6" s="341"/>
      <c r="AOX6" s="341"/>
      <c r="AOY6" s="341"/>
      <c r="AOZ6" s="341"/>
      <c r="APA6" s="341"/>
      <c r="APB6" s="341"/>
      <c r="APC6" s="341"/>
      <c r="APD6" s="341"/>
      <c r="APE6" s="341"/>
      <c r="APF6" s="341"/>
      <c r="APG6" s="341"/>
      <c r="APH6" s="341"/>
      <c r="API6" s="341"/>
      <c r="APJ6" s="341"/>
      <c r="APK6" s="341"/>
      <c r="APL6" s="341"/>
      <c r="APM6" s="341"/>
      <c r="APN6" s="341"/>
      <c r="APO6" s="341"/>
      <c r="APP6" s="341"/>
      <c r="APQ6" s="341"/>
      <c r="APR6" s="341"/>
      <c r="APS6" s="341"/>
      <c r="APT6" s="341"/>
      <c r="APU6" s="341"/>
      <c r="APV6" s="341"/>
      <c r="APW6" s="341"/>
      <c r="APX6" s="341"/>
      <c r="APY6" s="341"/>
      <c r="APZ6" s="341"/>
      <c r="AQA6" s="341"/>
      <c r="AQB6" s="341"/>
      <c r="AQC6" s="341"/>
      <c r="AQD6" s="341"/>
      <c r="AQE6" s="341"/>
      <c r="AQF6" s="341"/>
      <c r="AQG6" s="341"/>
      <c r="AQH6" s="341"/>
      <c r="AQI6" s="341"/>
      <c r="AQJ6" s="341"/>
      <c r="AQK6" s="341"/>
      <c r="AQL6" s="341"/>
      <c r="AQM6" s="341"/>
      <c r="AQN6" s="341"/>
      <c r="AQO6" s="341"/>
      <c r="AQP6" s="341"/>
      <c r="AQQ6" s="341"/>
      <c r="AQR6" s="341"/>
      <c r="AQS6" s="341"/>
      <c r="AQT6" s="341"/>
      <c r="AQU6" s="341"/>
      <c r="AQV6" s="341"/>
      <c r="AQW6" s="341"/>
      <c r="AQX6" s="341"/>
      <c r="AQY6" s="341"/>
      <c r="AQZ6" s="341"/>
      <c r="ARA6" s="341"/>
      <c r="ARB6" s="341"/>
      <c r="ARC6" s="341"/>
      <c r="ARD6" s="341"/>
      <c r="ARE6" s="341"/>
      <c r="ARF6" s="341"/>
      <c r="ARG6" s="341"/>
      <c r="ARH6" s="341"/>
      <c r="ARI6" s="341"/>
      <c r="ARJ6" s="341"/>
      <c r="ARK6" s="341"/>
      <c r="ARL6" s="341"/>
      <c r="ARM6" s="341"/>
      <c r="ARN6" s="341"/>
      <c r="ARO6" s="341"/>
      <c r="ARP6" s="341"/>
      <c r="ARQ6" s="341"/>
      <c r="ARR6" s="341"/>
      <c r="ARS6" s="341"/>
      <c r="ART6" s="341"/>
      <c r="ARU6" s="341"/>
      <c r="ARV6" s="341"/>
      <c r="ARW6" s="341"/>
      <c r="ARX6" s="341"/>
      <c r="ARY6" s="341"/>
      <c r="ARZ6" s="341"/>
      <c r="ASA6" s="341"/>
      <c r="ASB6" s="341"/>
      <c r="ASC6" s="341"/>
      <c r="ASD6" s="341"/>
      <c r="ASE6" s="341"/>
      <c r="ASF6" s="341"/>
      <c r="ASG6" s="341"/>
      <c r="ASH6" s="341"/>
      <c r="ASI6" s="341"/>
      <c r="ASJ6" s="341"/>
      <c r="ASK6" s="341"/>
      <c r="ASL6" s="341"/>
      <c r="ASM6" s="341"/>
      <c r="ASN6" s="341"/>
      <c r="ASO6" s="341"/>
      <c r="ASP6" s="341"/>
      <c r="ASQ6" s="341"/>
      <c r="ASR6" s="341"/>
      <c r="ASS6" s="341"/>
      <c r="AST6" s="341"/>
      <c r="ASU6" s="341"/>
      <c r="ASV6" s="341"/>
      <c r="ASW6" s="341"/>
      <c r="ASX6" s="341"/>
      <c r="ASY6" s="341"/>
      <c r="ASZ6" s="341"/>
      <c r="ATA6" s="341"/>
      <c r="ATB6" s="341"/>
      <c r="ATC6" s="341"/>
      <c r="ATD6" s="341"/>
      <c r="ATE6" s="341"/>
      <c r="ATF6" s="341"/>
      <c r="ATG6" s="341"/>
      <c r="ATH6" s="341"/>
      <c r="ATI6" s="341"/>
      <c r="ATJ6" s="341"/>
      <c r="ATK6" s="341"/>
      <c r="ATL6" s="341"/>
      <c r="ATM6" s="341"/>
      <c r="ATN6" s="341"/>
      <c r="ATO6" s="341"/>
      <c r="ATP6" s="341"/>
      <c r="ATQ6" s="341"/>
      <c r="ATR6" s="341"/>
      <c r="ATS6" s="341"/>
      <c r="ATT6" s="341"/>
      <c r="ATU6" s="341"/>
      <c r="ATV6" s="341"/>
      <c r="ATW6" s="341"/>
      <c r="ATX6" s="341"/>
      <c r="ATY6" s="341"/>
      <c r="ATZ6" s="341"/>
      <c r="AUA6" s="341"/>
      <c r="AUB6" s="341"/>
      <c r="AUC6" s="341"/>
      <c r="AUD6" s="341"/>
      <c r="AUE6" s="341"/>
      <c r="AUF6" s="341"/>
      <c r="AUG6" s="341"/>
      <c r="AUH6" s="341"/>
      <c r="AUI6" s="341"/>
      <c r="AUJ6" s="341"/>
      <c r="AUK6" s="341"/>
      <c r="AUL6" s="341"/>
      <c r="AUM6" s="341"/>
      <c r="AUN6" s="341"/>
      <c r="AUO6" s="341"/>
      <c r="AUP6" s="341"/>
      <c r="AUQ6" s="341"/>
      <c r="AUR6" s="341"/>
      <c r="AUS6" s="341"/>
      <c r="AUT6" s="341"/>
      <c r="AUU6" s="341"/>
      <c r="AUV6" s="341"/>
      <c r="AUW6" s="341"/>
      <c r="AUX6" s="341"/>
      <c r="AUY6" s="341"/>
      <c r="AUZ6" s="341"/>
      <c r="AVA6" s="341"/>
      <c r="AVB6" s="341"/>
      <c r="AVC6" s="341"/>
      <c r="AVD6" s="341"/>
      <c r="AVE6" s="341"/>
      <c r="AVF6" s="341"/>
      <c r="AVG6" s="341"/>
      <c r="AVH6" s="341"/>
      <c r="AVI6" s="341"/>
      <c r="AVJ6" s="341"/>
      <c r="AVK6" s="341"/>
      <c r="AVL6" s="341"/>
      <c r="AVM6" s="341"/>
      <c r="AVN6" s="341"/>
      <c r="AVO6" s="341"/>
      <c r="AVP6" s="341"/>
      <c r="AVQ6" s="341"/>
      <c r="AVR6" s="341"/>
      <c r="AVS6" s="341"/>
      <c r="AVT6" s="341"/>
      <c r="AVU6" s="341"/>
      <c r="AVV6" s="341"/>
      <c r="AVW6" s="341"/>
      <c r="AVX6" s="341"/>
      <c r="AVY6" s="341"/>
      <c r="AVZ6" s="341"/>
      <c r="AWA6" s="341"/>
      <c r="AWB6" s="341"/>
      <c r="AWC6" s="341"/>
      <c r="AWD6" s="341"/>
      <c r="AWE6" s="341"/>
      <c r="AWF6" s="341"/>
      <c r="AWG6" s="341"/>
      <c r="AWH6" s="341"/>
      <c r="AWI6" s="341"/>
      <c r="AWJ6" s="341"/>
      <c r="AWK6" s="341"/>
      <c r="AWL6" s="341"/>
      <c r="AWM6" s="341"/>
      <c r="AWN6" s="341"/>
      <c r="AWO6" s="341"/>
      <c r="AWP6" s="341"/>
      <c r="AWQ6" s="341"/>
      <c r="AWR6" s="341"/>
      <c r="AWS6" s="341"/>
      <c r="AWT6" s="341"/>
      <c r="AWU6" s="341"/>
      <c r="AWV6" s="341"/>
      <c r="AWW6" s="341"/>
      <c r="AWX6" s="341"/>
      <c r="AWY6" s="341"/>
      <c r="AWZ6" s="341"/>
      <c r="AXA6" s="341"/>
      <c r="AXB6" s="341"/>
      <c r="AXC6" s="341"/>
      <c r="AXD6" s="341"/>
      <c r="AXE6" s="341"/>
      <c r="AXF6" s="341"/>
      <c r="AXG6" s="341"/>
      <c r="AXH6" s="341"/>
      <c r="AXI6" s="341"/>
      <c r="AXJ6" s="341"/>
      <c r="AXK6" s="341"/>
      <c r="AXL6" s="341"/>
      <c r="AXM6" s="341"/>
      <c r="AXN6" s="341"/>
      <c r="AXO6" s="341"/>
      <c r="AXP6" s="341"/>
      <c r="AXQ6" s="341"/>
      <c r="AXR6" s="341"/>
      <c r="AXS6" s="341"/>
      <c r="AXT6" s="341"/>
      <c r="AXU6" s="341"/>
      <c r="AXV6" s="341"/>
      <c r="AXW6" s="341"/>
      <c r="AXX6" s="341"/>
      <c r="AXY6" s="341"/>
      <c r="AXZ6" s="341"/>
      <c r="AYA6" s="341"/>
      <c r="AYB6" s="341"/>
      <c r="AYC6" s="341"/>
      <c r="AYD6" s="341"/>
      <c r="AYE6" s="341"/>
      <c r="AYF6" s="341"/>
      <c r="AYG6" s="341"/>
      <c r="AYH6" s="341"/>
      <c r="AYI6" s="341"/>
      <c r="AYJ6" s="341"/>
      <c r="AYK6" s="341"/>
      <c r="AYL6" s="341"/>
      <c r="AYM6" s="341"/>
      <c r="AYN6" s="341"/>
      <c r="AYO6" s="341"/>
      <c r="AYP6" s="341"/>
      <c r="AYQ6" s="341"/>
      <c r="AYR6" s="341"/>
      <c r="AYS6" s="341"/>
      <c r="AYT6" s="341"/>
      <c r="AYU6" s="341"/>
      <c r="AYV6" s="341"/>
      <c r="AYW6" s="341"/>
      <c r="AYX6" s="341"/>
      <c r="AYY6" s="341"/>
      <c r="AYZ6" s="341"/>
      <c r="AZA6" s="341"/>
      <c r="AZB6" s="341"/>
      <c r="AZC6" s="341"/>
      <c r="AZD6" s="341"/>
      <c r="AZE6" s="341"/>
      <c r="AZF6" s="341"/>
      <c r="AZG6" s="341"/>
      <c r="AZH6" s="341"/>
      <c r="AZI6" s="341"/>
      <c r="AZJ6" s="341"/>
      <c r="AZK6" s="341"/>
      <c r="AZL6" s="341"/>
      <c r="AZM6" s="341"/>
      <c r="AZN6" s="341"/>
      <c r="AZO6" s="341"/>
      <c r="AZP6" s="341"/>
      <c r="AZQ6" s="341"/>
      <c r="AZR6" s="341"/>
      <c r="AZS6" s="341"/>
      <c r="AZT6" s="341"/>
      <c r="AZU6" s="341"/>
      <c r="AZV6" s="341"/>
      <c r="AZW6" s="341"/>
      <c r="AZX6" s="341"/>
      <c r="AZY6" s="341"/>
      <c r="AZZ6" s="341"/>
      <c r="BAA6" s="341"/>
      <c r="BAB6" s="341"/>
      <c r="BAC6" s="341"/>
      <c r="BAD6" s="341"/>
      <c r="BAE6" s="341"/>
      <c r="BAF6" s="341"/>
      <c r="BAG6" s="341"/>
      <c r="BAH6" s="341"/>
      <c r="BAI6" s="341"/>
      <c r="BAJ6" s="341"/>
      <c r="BAK6" s="341"/>
      <c r="BAL6" s="341"/>
      <c r="BAM6" s="341"/>
      <c r="BAN6" s="341"/>
      <c r="BAO6" s="341"/>
      <c r="BAP6" s="341"/>
      <c r="BAQ6" s="341"/>
      <c r="BAR6" s="341"/>
      <c r="BAS6" s="341"/>
      <c r="BAT6" s="341"/>
      <c r="BAU6" s="341"/>
      <c r="BAV6" s="341"/>
      <c r="BAW6" s="341"/>
      <c r="BAX6" s="341"/>
      <c r="BAY6" s="341"/>
      <c r="BAZ6" s="341"/>
      <c r="BBA6" s="341"/>
      <c r="BBB6" s="341"/>
      <c r="BBC6" s="341"/>
      <c r="BBD6" s="341"/>
      <c r="BBE6" s="341"/>
      <c r="BBF6" s="341"/>
      <c r="BBG6" s="341"/>
      <c r="BBH6" s="341"/>
      <c r="BBI6" s="341"/>
      <c r="BBJ6" s="341"/>
      <c r="BBK6" s="341"/>
      <c r="BBL6" s="341"/>
      <c r="BBM6" s="341"/>
      <c r="BBN6" s="341"/>
      <c r="BBO6" s="341"/>
      <c r="BBP6" s="341"/>
      <c r="BBQ6" s="341"/>
      <c r="BBR6" s="341"/>
      <c r="BBS6" s="341"/>
      <c r="BBT6" s="341"/>
      <c r="BBU6" s="341"/>
      <c r="BBV6" s="341"/>
      <c r="BBW6" s="341"/>
      <c r="BBX6" s="341"/>
      <c r="BBY6" s="341"/>
      <c r="BBZ6" s="341"/>
      <c r="BCA6" s="341"/>
      <c r="BCB6" s="341"/>
      <c r="BCC6" s="341"/>
      <c r="BCD6" s="341"/>
      <c r="BCE6" s="341"/>
      <c r="BCF6" s="341"/>
      <c r="BCG6" s="341"/>
      <c r="BCH6" s="341"/>
      <c r="BCI6" s="341"/>
      <c r="BCJ6" s="341"/>
      <c r="BCK6" s="341"/>
      <c r="BCL6" s="341"/>
      <c r="BCM6" s="341"/>
      <c r="BCN6" s="341"/>
      <c r="BCO6" s="341"/>
      <c r="BCP6" s="341"/>
      <c r="BCQ6" s="341"/>
      <c r="BCR6" s="341"/>
      <c r="BCS6" s="341"/>
      <c r="BCT6" s="341"/>
      <c r="BCU6" s="341"/>
      <c r="BCV6" s="341"/>
      <c r="BCW6" s="341"/>
      <c r="BCX6" s="341"/>
      <c r="BCY6" s="341"/>
      <c r="BCZ6" s="341"/>
      <c r="BDA6" s="341"/>
      <c r="BDB6" s="341"/>
      <c r="BDC6" s="341"/>
      <c r="BDD6" s="341"/>
      <c r="BDE6" s="341"/>
      <c r="BDF6" s="341"/>
      <c r="BDG6" s="341"/>
      <c r="BDH6" s="341"/>
      <c r="BDI6" s="341"/>
      <c r="BDJ6" s="341"/>
      <c r="BDK6" s="341"/>
      <c r="BDL6" s="341"/>
      <c r="BDM6" s="341"/>
      <c r="BDN6" s="341"/>
      <c r="BDO6" s="341"/>
      <c r="BDP6" s="341"/>
      <c r="BDQ6" s="341"/>
      <c r="BDR6" s="341"/>
      <c r="BDS6" s="341"/>
      <c r="BDT6" s="341"/>
      <c r="BDU6" s="341"/>
      <c r="BDV6" s="341"/>
      <c r="BDW6" s="341"/>
      <c r="BDX6" s="341"/>
      <c r="BDY6" s="341"/>
      <c r="BDZ6" s="341"/>
      <c r="BEA6" s="341"/>
      <c r="BEB6" s="341"/>
      <c r="BEC6" s="341"/>
      <c r="BED6" s="341"/>
      <c r="BEE6" s="341"/>
      <c r="BEF6" s="341"/>
      <c r="BEG6" s="341"/>
      <c r="BEH6" s="341"/>
      <c r="BEI6" s="341"/>
      <c r="BEJ6" s="341"/>
      <c r="BEK6" s="341"/>
      <c r="BEL6" s="341"/>
      <c r="BEM6" s="341"/>
      <c r="BEN6" s="341"/>
      <c r="BEO6" s="341"/>
      <c r="BEP6" s="341"/>
      <c r="BEQ6" s="341"/>
      <c r="BER6" s="341"/>
      <c r="BES6" s="341"/>
      <c r="BET6" s="341"/>
      <c r="BEU6" s="341"/>
      <c r="BEV6" s="341"/>
      <c r="BEW6" s="341"/>
      <c r="BEX6" s="341"/>
      <c r="BEY6" s="341"/>
      <c r="BEZ6" s="341"/>
      <c r="BFA6" s="341"/>
      <c r="BFB6" s="341"/>
      <c r="BFC6" s="341"/>
      <c r="BFD6" s="341"/>
      <c r="BFE6" s="341"/>
      <c r="BFF6" s="341"/>
      <c r="BFG6" s="341"/>
      <c r="BFH6" s="341"/>
      <c r="BFI6" s="341"/>
      <c r="BFJ6" s="341"/>
      <c r="BFK6" s="341"/>
      <c r="BFL6" s="341"/>
      <c r="BFM6" s="341"/>
      <c r="BFN6" s="341"/>
      <c r="BFO6" s="341"/>
      <c r="BFP6" s="341"/>
      <c r="BFQ6" s="341"/>
      <c r="BFR6" s="341"/>
      <c r="BFS6" s="341"/>
      <c r="BFT6" s="341"/>
      <c r="BFU6" s="341"/>
      <c r="BFV6" s="341"/>
      <c r="BFW6" s="341"/>
      <c r="BFX6" s="341"/>
      <c r="BFY6" s="341"/>
      <c r="BFZ6" s="341"/>
      <c r="BGA6" s="341"/>
      <c r="BGB6" s="341"/>
      <c r="BGC6" s="341"/>
      <c r="BGD6" s="341"/>
      <c r="BGE6" s="341"/>
      <c r="BGF6" s="341"/>
      <c r="BGG6" s="341"/>
      <c r="BGH6" s="341"/>
      <c r="BGI6" s="341"/>
      <c r="BGJ6" s="341"/>
      <c r="BGK6" s="341"/>
      <c r="BGL6" s="341"/>
      <c r="BGM6" s="341"/>
      <c r="BGN6" s="341"/>
      <c r="BGO6" s="341"/>
      <c r="BGP6" s="341"/>
      <c r="BGQ6" s="341"/>
      <c r="BGR6" s="341"/>
      <c r="BGS6" s="341"/>
      <c r="BGT6" s="341"/>
      <c r="BGU6" s="341"/>
      <c r="BGV6" s="341"/>
      <c r="BGW6" s="341"/>
      <c r="BGX6" s="341"/>
      <c r="BGY6" s="341"/>
      <c r="BGZ6" s="341"/>
      <c r="BHA6" s="341"/>
      <c r="BHB6" s="341"/>
      <c r="BHC6" s="341"/>
      <c r="BHD6" s="341"/>
      <c r="BHE6" s="341"/>
      <c r="BHF6" s="341"/>
      <c r="BHG6" s="341"/>
      <c r="BHH6" s="341"/>
      <c r="BHI6" s="341"/>
      <c r="BHJ6" s="341"/>
      <c r="BHK6" s="341"/>
      <c r="BHL6" s="341"/>
      <c r="BHM6" s="341"/>
      <c r="BHN6" s="341"/>
      <c r="BHO6" s="341"/>
      <c r="BHP6" s="341"/>
      <c r="BHQ6" s="341"/>
      <c r="BHR6" s="341"/>
      <c r="BHS6" s="341"/>
      <c r="BHT6" s="341"/>
      <c r="BHU6" s="341"/>
      <c r="BHV6" s="341"/>
      <c r="BHW6" s="341"/>
      <c r="BHX6" s="341"/>
      <c r="BHY6" s="341"/>
      <c r="BHZ6" s="341"/>
      <c r="BIA6" s="341"/>
      <c r="BIB6" s="341"/>
      <c r="BIC6" s="341"/>
      <c r="BID6" s="341"/>
      <c r="BIE6" s="341"/>
      <c r="BIF6" s="341"/>
      <c r="BIG6" s="341"/>
      <c r="BIH6" s="341"/>
      <c r="BII6" s="341"/>
      <c r="BIJ6" s="341"/>
      <c r="BIK6" s="341"/>
      <c r="BIL6" s="341"/>
      <c r="BIM6" s="341"/>
      <c r="BIN6" s="341"/>
      <c r="BIO6" s="341"/>
      <c r="BIP6" s="341"/>
      <c r="BIQ6" s="341"/>
      <c r="BIR6" s="341"/>
      <c r="BIS6" s="341"/>
      <c r="BIT6" s="341"/>
      <c r="BIU6" s="341"/>
      <c r="BIV6" s="341"/>
      <c r="BIW6" s="341"/>
      <c r="BIX6" s="341"/>
      <c r="BIY6" s="341"/>
      <c r="BIZ6" s="341"/>
      <c r="BJA6" s="341"/>
      <c r="BJB6" s="341"/>
      <c r="BJC6" s="341"/>
      <c r="BJD6" s="341"/>
      <c r="BJE6" s="341"/>
      <c r="BJF6" s="341"/>
      <c r="BJG6" s="341"/>
      <c r="BJH6" s="341"/>
      <c r="BJI6" s="341"/>
      <c r="BJJ6" s="341"/>
      <c r="BJK6" s="341"/>
      <c r="BJL6" s="341"/>
      <c r="BJM6" s="341"/>
      <c r="BJN6" s="341"/>
      <c r="BJO6" s="341"/>
      <c r="BJP6" s="341"/>
      <c r="BJQ6" s="341"/>
      <c r="BJR6" s="341"/>
      <c r="BJS6" s="341"/>
      <c r="BJT6" s="341"/>
      <c r="BJU6" s="341"/>
      <c r="BJV6" s="341"/>
      <c r="BJW6" s="341"/>
      <c r="BJX6" s="341"/>
      <c r="BJY6" s="341"/>
      <c r="BJZ6" s="341"/>
      <c r="BKA6" s="341"/>
      <c r="BKB6" s="341"/>
      <c r="BKC6" s="341"/>
      <c r="BKD6" s="341"/>
      <c r="BKE6" s="341"/>
      <c r="BKF6" s="341"/>
      <c r="BKG6" s="341"/>
      <c r="BKH6" s="341"/>
      <c r="BKI6" s="341"/>
      <c r="BKJ6" s="341"/>
      <c r="BKK6" s="341"/>
      <c r="BKL6" s="341"/>
      <c r="BKM6" s="341"/>
      <c r="BKN6" s="341"/>
      <c r="BKO6" s="341"/>
      <c r="BKP6" s="341"/>
      <c r="BKQ6" s="341"/>
      <c r="BKR6" s="341"/>
      <c r="BKS6" s="341"/>
      <c r="BKT6" s="341"/>
      <c r="BKU6" s="341"/>
      <c r="BKV6" s="341"/>
      <c r="BKW6" s="341"/>
      <c r="BKX6" s="341"/>
      <c r="BKY6" s="341"/>
      <c r="BKZ6" s="341"/>
      <c r="BLA6" s="341"/>
      <c r="BLB6" s="341"/>
      <c r="BLC6" s="341"/>
      <c r="BLD6" s="341"/>
      <c r="BLE6" s="341"/>
      <c r="BLF6" s="341"/>
      <c r="BLG6" s="341"/>
      <c r="BLH6" s="341"/>
      <c r="BLI6" s="341"/>
      <c r="BLJ6" s="341"/>
      <c r="BLK6" s="341"/>
      <c r="BLL6" s="341"/>
      <c r="BLM6" s="341"/>
      <c r="BLN6" s="341"/>
      <c r="BLO6" s="341"/>
      <c r="BLP6" s="341"/>
      <c r="BLQ6" s="341"/>
      <c r="BLR6" s="341"/>
      <c r="BLS6" s="341"/>
      <c r="BLT6" s="341"/>
      <c r="BLU6" s="341"/>
      <c r="BLV6" s="341"/>
      <c r="BLW6" s="341"/>
      <c r="BLX6" s="341"/>
      <c r="BLY6" s="341"/>
      <c r="BLZ6" s="341"/>
      <c r="BMA6" s="341"/>
      <c r="BMB6" s="341"/>
      <c r="BMC6" s="341"/>
      <c r="BMD6" s="341"/>
      <c r="BME6" s="341"/>
      <c r="BMF6" s="341"/>
      <c r="BMG6" s="341"/>
      <c r="BMH6" s="341"/>
      <c r="BMI6" s="341"/>
      <c r="BMJ6" s="341"/>
      <c r="BMK6" s="341"/>
      <c r="BML6" s="341"/>
      <c r="BMM6" s="341"/>
      <c r="BMN6" s="341"/>
      <c r="BMO6" s="341"/>
      <c r="BMP6" s="341"/>
      <c r="BMQ6" s="341"/>
      <c r="BMR6" s="341"/>
      <c r="BMS6" s="341"/>
      <c r="BMT6" s="341"/>
      <c r="BMU6" s="341"/>
      <c r="BMV6" s="341"/>
      <c r="BMW6" s="341"/>
      <c r="BMX6" s="341"/>
      <c r="BMY6" s="341"/>
      <c r="BMZ6" s="341"/>
      <c r="BNA6" s="341"/>
      <c r="BNB6" s="341"/>
      <c r="BNC6" s="341"/>
      <c r="BND6" s="341"/>
      <c r="BNE6" s="341"/>
      <c r="BNF6" s="341"/>
      <c r="BNG6" s="341"/>
      <c r="BNH6" s="341"/>
      <c r="BNI6" s="341"/>
      <c r="BNJ6" s="341"/>
      <c r="BNK6" s="341"/>
      <c r="BNL6" s="341"/>
      <c r="BNM6" s="341"/>
      <c r="BNN6" s="341"/>
      <c r="BNO6" s="341"/>
      <c r="BNP6" s="341"/>
      <c r="BNQ6" s="341"/>
      <c r="BNR6" s="341"/>
      <c r="BNS6" s="341"/>
      <c r="BNT6" s="341"/>
      <c r="BNU6" s="341"/>
      <c r="BNV6" s="341"/>
      <c r="BNW6" s="341"/>
      <c r="BNX6" s="341"/>
      <c r="BNY6" s="341"/>
      <c r="BNZ6" s="341"/>
      <c r="BOA6" s="341"/>
      <c r="BOB6" s="341"/>
      <c r="BOC6" s="341"/>
      <c r="BOD6" s="341"/>
      <c r="BOE6" s="341"/>
      <c r="BOF6" s="341"/>
      <c r="BOG6" s="341"/>
      <c r="BOH6" s="341"/>
      <c r="BOI6" s="341"/>
      <c r="BOJ6" s="341"/>
      <c r="BOK6" s="341"/>
      <c r="BOL6" s="341"/>
      <c r="BOM6" s="341"/>
      <c r="BON6" s="341"/>
      <c r="BOO6" s="341"/>
      <c r="BOP6" s="341"/>
      <c r="BOQ6" s="341"/>
      <c r="BOR6" s="341"/>
      <c r="BOS6" s="341"/>
      <c r="BOT6" s="341"/>
      <c r="BOU6" s="341"/>
      <c r="BOV6" s="341"/>
      <c r="BOW6" s="341"/>
      <c r="BOX6" s="341"/>
      <c r="BOY6" s="341"/>
      <c r="BOZ6" s="341"/>
      <c r="BPA6" s="341"/>
      <c r="BPB6" s="341"/>
      <c r="BPC6" s="341"/>
      <c r="BPD6" s="341"/>
      <c r="BPE6" s="341"/>
      <c r="BPF6" s="341"/>
      <c r="BPG6" s="341"/>
      <c r="BPH6" s="341"/>
      <c r="BPI6" s="341"/>
      <c r="BPJ6" s="341"/>
      <c r="BPK6" s="341"/>
      <c r="BPL6" s="341"/>
      <c r="BPM6" s="341"/>
      <c r="BPN6" s="341"/>
      <c r="BPO6" s="341"/>
      <c r="BPP6" s="341"/>
      <c r="BPQ6" s="341"/>
      <c r="BPR6" s="341"/>
      <c r="BPS6" s="341"/>
      <c r="BPT6" s="341"/>
      <c r="BPU6" s="341"/>
      <c r="BPV6" s="341"/>
      <c r="BPW6" s="341"/>
      <c r="BPX6" s="341"/>
      <c r="BPY6" s="341"/>
      <c r="BPZ6" s="341"/>
      <c r="BQA6" s="341"/>
      <c r="BQB6" s="341"/>
      <c r="BQC6" s="341"/>
      <c r="BQD6" s="341"/>
      <c r="BQE6" s="341"/>
      <c r="BQF6" s="341"/>
      <c r="BQG6" s="341"/>
      <c r="BQH6" s="341"/>
      <c r="BQI6" s="341"/>
      <c r="BQJ6" s="341"/>
      <c r="BQK6" s="341"/>
      <c r="BQL6" s="341"/>
      <c r="BQM6" s="341"/>
      <c r="BQN6" s="341"/>
      <c r="BQO6" s="341"/>
      <c r="BQP6" s="341"/>
      <c r="BQQ6" s="341"/>
      <c r="BQR6" s="341"/>
      <c r="BQS6" s="341"/>
      <c r="BQT6" s="341"/>
      <c r="BQU6" s="341"/>
      <c r="BQV6" s="341"/>
      <c r="BQW6" s="341"/>
      <c r="BQX6" s="341"/>
      <c r="BQY6" s="341"/>
      <c r="BQZ6" s="341"/>
      <c r="BRA6" s="341"/>
      <c r="BRB6" s="341"/>
      <c r="BRC6" s="341"/>
      <c r="BRD6" s="341"/>
      <c r="BRE6" s="341"/>
      <c r="BRF6" s="341"/>
      <c r="BRG6" s="341"/>
      <c r="BRH6" s="341"/>
      <c r="BRI6" s="341"/>
      <c r="BRJ6" s="341"/>
      <c r="BRK6" s="341"/>
      <c r="BRL6" s="341"/>
      <c r="BRM6" s="341"/>
      <c r="BRN6" s="341"/>
      <c r="BRO6" s="341"/>
      <c r="BRP6" s="341"/>
      <c r="BRQ6" s="341"/>
      <c r="BRR6" s="341"/>
      <c r="BRS6" s="341"/>
      <c r="BRT6" s="341"/>
      <c r="BRU6" s="341"/>
      <c r="BRV6" s="341"/>
      <c r="BRW6" s="341"/>
      <c r="BRX6" s="341"/>
      <c r="BRY6" s="341"/>
      <c r="BRZ6" s="341"/>
      <c r="BSA6" s="341"/>
      <c r="BSB6" s="341"/>
      <c r="BSC6" s="341"/>
      <c r="BSD6" s="341"/>
      <c r="BSE6" s="341"/>
      <c r="BSF6" s="341"/>
      <c r="BSG6" s="341"/>
      <c r="BSH6" s="341"/>
      <c r="BSI6" s="341"/>
      <c r="BSJ6" s="341"/>
      <c r="BSK6" s="341"/>
      <c r="BSL6" s="341"/>
      <c r="BSM6" s="341"/>
      <c r="BSN6" s="341"/>
      <c r="BSO6" s="341"/>
      <c r="BSP6" s="341"/>
      <c r="BSQ6" s="341"/>
      <c r="BSR6" s="341"/>
      <c r="BSS6" s="341"/>
      <c r="BST6" s="341"/>
      <c r="BSU6" s="341"/>
      <c r="BSV6" s="341"/>
      <c r="BSW6" s="341"/>
      <c r="BSX6" s="341"/>
      <c r="BSY6" s="341"/>
      <c r="BSZ6" s="341"/>
      <c r="BTA6" s="341"/>
      <c r="BTB6" s="341"/>
      <c r="BTC6" s="341"/>
      <c r="BTD6" s="341"/>
      <c r="BTE6" s="341"/>
      <c r="BTF6" s="341"/>
      <c r="BTG6" s="341"/>
      <c r="BTH6" s="341"/>
      <c r="BTI6" s="341"/>
      <c r="BTJ6" s="341"/>
      <c r="BTK6" s="341"/>
      <c r="BTL6" s="341"/>
      <c r="BTM6" s="341"/>
      <c r="BTN6" s="341"/>
      <c r="BTO6" s="341"/>
      <c r="BTP6" s="341"/>
      <c r="BTQ6" s="341"/>
      <c r="BTR6" s="341"/>
      <c r="BTS6" s="341"/>
      <c r="BTT6" s="341"/>
      <c r="BTU6" s="341"/>
      <c r="BTV6" s="341"/>
      <c r="BTW6" s="341"/>
      <c r="BTX6" s="341"/>
      <c r="BTY6" s="341"/>
      <c r="BTZ6" s="341"/>
      <c r="BUA6" s="341"/>
      <c r="BUB6" s="341"/>
      <c r="BUC6" s="341"/>
      <c r="BUD6" s="341"/>
      <c r="BUE6" s="341"/>
      <c r="BUF6" s="341"/>
      <c r="BUG6" s="341"/>
      <c r="BUH6" s="341"/>
      <c r="BUI6" s="341"/>
      <c r="BUJ6" s="341"/>
      <c r="BUK6" s="341"/>
      <c r="BUL6" s="341"/>
      <c r="BUM6" s="341"/>
      <c r="BUN6" s="341"/>
      <c r="BUO6" s="341"/>
      <c r="BUP6" s="341"/>
      <c r="BUQ6" s="341"/>
      <c r="BUR6" s="341"/>
      <c r="BUS6" s="341"/>
      <c r="BUT6" s="341"/>
      <c r="BUU6" s="341"/>
      <c r="BUV6" s="341"/>
      <c r="BUW6" s="341"/>
      <c r="BUX6" s="341"/>
      <c r="BUY6" s="341"/>
      <c r="BUZ6" s="341"/>
      <c r="BVA6" s="341"/>
      <c r="BVB6" s="341"/>
      <c r="BVC6" s="341"/>
      <c r="BVD6" s="341"/>
      <c r="BVE6" s="341"/>
      <c r="BVF6" s="341"/>
      <c r="BVG6" s="341"/>
      <c r="BVH6" s="341"/>
      <c r="BVI6" s="341"/>
      <c r="BVJ6" s="341"/>
      <c r="BVK6" s="341"/>
      <c r="BVL6" s="341"/>
      <c r="BVM6" s="341"/>
      <c r="BVN6" s="341"/>
      <c r="BVO6" s="341"/>
      <c r="BVP6" s="341"/>
      <c r="BVQ6" s="341"/>
      <c r="BVR6" s="341"/>
      <c r="BVS6" s="341"/>
      <c r="BVT6" s="341"/>
      <c r="BVU6" s="341"/>
      <c r="BVV6" s="341"/>
      <c r="BVW6" s="341"/>
      <c r="BVX6" s="341"/>
      <c r="BVY6" s="341"/>
      <c r="BVZ6" s="341"/>
      <c r="BWA6" s="341"/>
      <c r="BWB6" s="341"/>
      <c r="BWC6" s="341"/>
      <c r="BWD6" s="341"/>
      <c r="BWE6" s="341"/>
      <c r="BWF6" s="341"/>
      <c r="BWG6" s="341"/>
      <c r="BWH6" s="341"/>
      <c r="BWI6" s="341"/>
      <c r="BWJ6" s="341"/>
      <c r="BWK6" s="341"/>
      <c r="BWL6" s="341"/>
      <c r="BWM6" s="341"/>
      <c r="BWN6" s="341"/>
      <c r="BWO6" s="341"/>
      <c r="BWP6" s="341"/>
      <c r="BWQ6" s="341"/>
      <c r="BWR6" s="341"/>
      <c r="BWS6" s="341"/>
      <c r="BWT6" s="341"/>
      <c r="BWU6" s="341"/>
      <c r="BWV6" s="341"/>
      <c r="BWW6" s="341"/>
      <c r="BWX6" s="341"/>
      <c r="BWY6" s="341"/>
      <c r="BWZ6" s="341"/>
      <c r="BXA6" s="341"/>
      <c r="BXB6" s="341"/>
      <c r="BXC6" s="341"/>
      <c r="BXD6" s="341"/>
      <c r="BXE6" s="341"/>
      <c r="BXF6" s="341"/>
      <c r="BXG6" s="341"/>
      <c r="BXH6" s="341"/>
      <c r="BXI6" s="341"/>
      <c r="BXJ6" s="341"/>
      <c r="BXK6" s="341"/>
      <c r="BXL6" s="341"/>
      <c r="BXM6" s="341"/>
      <c r="BXN6" s="341"/>
      <c r="BXO6" s="341"/>
      <c r="BXP6" s="341"/>
      <c r="BXQ6" s="341"/>
      <c r="BXR6" s="341"/>
      <c r="BXS6" s="341"/>
      <c r="BXT6" s="341"/>
      <c r="BXU6" s="341"/>
      <c r="BXV6" s="341"/>
      <c r="BXW6" s="341"/>
      <c r="BXX6" s="341"/>
      <c r="BXY6" s="341"/>
      <c r="BXZ6" s="341"/>
      <c r="BYA6" s="341"/>
      <c r="BYB6" s="341"/>
      <c r="BYC6" s="341"/>
      <c r="BYD6" s="341"/>
      <c r="BYE6" s="341"/>
      <c r="BYF6" s="341"/>
      <c r="BYG6" s="341"/>
    </row>
    <row r="7" spans="1:2009" s="97" customFormat="1" ht="24.95" customHeight="1" x14ac:dyDescent="0.25">
      <c r="A7" s="130"/>
      <c r="B7" s="125" t="s">
        <v>358</v>
      </c>
      <c r="C7" s="163">
        <v>63352.34</v>
      </c>
      <c r="D7" s="163"/>
      <c r="E7" s="163"/>
      <c r="F7" s="164"/>
      <c r="G7" s="670">
        <f>ROUND(SUM(C7:F7),5)</f>
        <v>63352.34</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199" customFormat="1" ht="24.95" customHeight="1" thickBot="1" x14ac:dyDescent="0.3">
      <c r="A8" s="194"/>
      <c r="B8" s="195" t="s">
        <v>161</v>
      </c>
      <c r="C8" s="832">
        <f>SUM(C5:C7)</f>
        <v>73968.34</v>
      </c>
      <c r="D8" s="196"/>
      <c r="E8" s="196"/>
      <c r="F8" s="196"/>
      <c r="G8" s="671">
        <f>ROUND(SUM(G3:G7),5)</f>
        <v>73968.34</v>
      </c>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8"/>
      <c r="NA8" s="198"/>
      <c r="NB8" s="198"/>
      <c r="NC8" s="198"/>
      <c r="ND8" s="198"/>
      <c r="NE8" s="198"/>
      <c r="NF8" s="198"/>
      <c r="NG8" s="198"/>
      <c r="NH8" s="198"/>
      <c r="NI8" s="198"/>
      <c r="NJ8" s="198"/>
      <c r="NK8" s="198"/>
      <c r="NL8" s="198"/>
      <c r="NM8" s="198"/>
      <c r="NN8" s="198"/>
      <c r="NO8" s="198"/>
      <c r="NP8" s="198"/>
      <c r="NQ8" s="198"/>
      <c r="NR8" s="198"/>
      <c r="NS8" s="198"/>
      <c r="NT8" s="198"/>
      <c r="NU8" s="198"/>
      <c r="NV8" s="198"/>
      <c r="NW8" s="198"/>
      <c r="NX8" s="198"/>
      <c r="NY8" s="198"/>
      <c r="NZ8" s="198"/>
      <c r="OA8" s="198"/>
      <c r="OB8" s="198"/>
      <c r="OC8" s="198"/>
      <c r="OD8" s="198"/>
      <c r="OE8" s="198"/>
      <c r="OF8" s="198"/>
      <c r="OG8" s="198"/>
      <c r="OH8" s="198"/>
      <c r="OI8" s="198"/>
      <c r="OJ8" s="198"/>
      <c r="OK8" s="198"/>
      <c r="OL8" s="198"/>
      <c r="OM8" s="198"/>
      <c r="ON8" s="198"/>
      <c r="OO8" s="198"/>
      <c r="OP8" s="198"/>
      <c r="OQ8" s="198"/>
      <c r="OR8" s="198"/>
      <c r="OS8" s="198"/>
      <c r="OT8" s="198"/>
      <c r="OU8" s="198"/>
      <c r="OV8" s="198"/>
      <c r="OW8" s="198"/>
      <c r="OX8" s="198"/>
      <c r="OY8" s="198"/>
      <c r="OZ8" s="198"/>
      <c r="PA8" s="198"/>
      <c r="PB8" s="198"/>
      <c r="PC8" s="198"/>
      <c r="PD8" s="198"/>
      <c r="PE8" s="198"/>
      <c r="PF8" s="198"/>
      <c r="PG8" s="198"/>
      <c r="PH8" s="198"/>
      <c r="PI8" s="198"/>
      <c r="PJ8" s="198"/>
      <c r="PK8" s="198"/>
      <c r="PL8" s="198"/>
      <c r="PM8" s="198"/>
      <c r="PN8" s="198"/>
      <c r="PO8" s="198"/>
      <c r="PP8" s="198"/>
      <c r="PQ8" s="198"/>
      <c r="PR8" s="198"/>
      <c r="PS8" s="198"/>
      <c r="PT8" s="198"/>
      <c r="PU8" s="198"/>
      <c r="PV8" s="198"/>
      <c r="PW8" s="198"/>
      <c r="PX8" s="198"/>
      <c r="PY8" s="198"/>
      <c r="PZ8" s="198"/>
      <c r="QA8" s="198"/>
      <c r="QB8" s="198"/>
      <c r="QC8" s="198"/>
      <c r="QD8" s="198"/>
      <c r="QE8" s="198"/>
      <c r="QF8" s="198"/>
      <c r="QG8" s="198"/>
      <c r="QH8" s="198"/>
      <c r="QI8" s="198"/>
      <c r="QJ8" s="198"/>
      <c r="QK8" s="198"/>
      <c r="QL8" s="198"/>
      <c r="QM8" s="198"/>
      <c r="QN8" s="198"/>
      <c r="QO8" s="198"/>
      <c r="QP8" s="198"/>
      <c r="QQ8" s="198"/>
      <c r="QR8" s="198"/>
      <c r="QS8" s="198"/>
      <c r="QT8" s="198"/>
      <c r="QU8" s="198"/>
      <c r="QV8" s="198"/>
      <c r="QW8" s="198"/>
      <c r="QX8" s="198"/>
      <c r="QY8" s="198"/>
      <c r="QZ8" s="198"/>
      <c r="RA8" s="198"/>
      <c r="RB8" s="198"/>
      <c r="RC8" s="198"/>
      <c r="RD8" s="198"/>
      <c r="RE8" s="198"/>
      <c r="RF8" s="198"/>
      <c r="RG8" s="198"/>
      <c r="RH8" s="198"/>
      <c r="RI8" s="198"/>
      <c r="RJ8" s="198"/>
      <c r="RK8" s="198"/>
      <c r="RL8" s="198"/>
      <c r="RM8" s="198"/>
      <c r="RN8" s="198"/>
      <c r="RO8" s="198"/>
      <c r="RP8" s="198"/>
      <c r="RQ8" s="198"/>
      <c r="RR8" s="198"/>
      <c r="RS8" s="198"/>
      <c r="RT8" s="198"/>
      <c r="RU8" s="198"/>
      <c r="RV8" s="198"/>
      <c r="RW8" s="198"/>
      <c r="RX8" s="198"/>
      <c r="RY8" s="198"/>
      <c r="RZ8" s="198"/>
      <c r="SA8" s="198"/>
      <c r="SB8" s="198"/>
      <c r="SC8" s="198"/>
      <c r="SD8" s="198"/>
      <c r="SE8" s="198"/>
      <c r="SF8" s="198"/>
      <c r="SG8" s="198"/>
      <c r="SH8" s="198"/>
      <c r="SI8" s="198"/>
      <c r="SJ8" s="198"/>
      <c r="SK8" s="198"/>
      <c r="SL8" s="198"/>
      <c r="SM8" s="198"/>
      <c r="SN8" s="198"/>
      <c r="SO8" s="198"/>
      <c r="SP8" s="198"/>
      <c r="SQ8" s="198"/>
      <c r="SR8" s="198"/>
      <c r="SS8" s="198"/>
      <c r="ST8" s="198"/>
      <c r="SU8" s="198"/>
      <c r="SV8" s="198"/>
      <c r="SW8" s="198"/>
      <c r="SX8" s="198"/>
      <c r="SY8" s="198"/>
      <c r="SZ8" s="198"/>
      <c r="TA8" s="198"/>
      <c r="TB8" s="198"/>
      <c r="TC8" s="198"/>
      <c r="TD8" s="198"/>
      <c r="TE8" s="198"/>
      <c r="TF8" s="198"/>
      <c r="TG8" s="198"/>
      <c r="TH8" s="198"/>
      <c r="TI8" s="198"/>
      <c r="TJ8" s="198"/>
      <c r="TK8" s="198"/>
      <c r="TL8" s="198"/>
      <c r="TM8" s="198"/>
      <c r="TN8" s="198"/>
      <c r="TO8" s="198"/>
      <c r="TP8" s="198"/>
      <c r="TQ8" s="198"/>
      <c r="TR8" s="198"/>
      <c r="TS8" s="198"/>
      <c r="TT8" s="198"/>
      <c r="TU8" s="198"/>
      <c r="TV8" s="198"/>
      <c r="TW8" s="198"/>
      <c r="TX8" s="198"/>
      <c r="TY8" s="198"/>
      <c r="TZ8" s="198"/>
      <c r="UA8" s="198"/>
      <c r="UB8" s="198"/>
      <c r="UC8" s="198"/>
      <c r="UD8" s="198"/>
      <c r="UE8" s="198"/>
      <c r="UF8" s="198"/>
      <c r="UG8" s="198"/>
      <c r="UH8" s="198"/>
      <c r="UI8" s="198"/>
      <c r="UJ8" s="198"/>
      <c r="UK8" s="198"/>
      <c r="UL8" s="198"/>
      <c r="UM8" s="198"/>
      <c r="UN8" s="198"/>
      <c r="UO8" s="198"/>
      <c r="UP8" s="198"/>
      <c r="UQ8" s="198"/>
      <c r="UR8" s="198"/>
      <c r="US8" s="198"/>
      <c r="UT8" s="198"/>
      <c r="UU8" s="198"/>
      <c r="UV8" s="198"/>
      <c r="UW8" s="198"/>
      <c r="UX8" s="198"/>
      <c r="UY8" s="198"/>
      <c r="UZ8" s="198"/>
      <c r="VA8" s="198"/>
      <c r="VB8" s="198"/>
      <c r="VC8" s="198"/>
      <c r="VD8" s="198"/>
      <c r="VE8" s="198"/>
      <c r="VF8" s="198"/>
      <c r="VG8" s="198"/>
      <c r="VH8" s="198"/>
      <c r="VI8" s="198"/>
      <c r="VJ8" s="198"/>
      <c r="VK8" s="198"/>
      <c r="VL8" s="198"/>
      <c r="VM8" s="198"/>
      <c r="VN8" s="198"/>
      <c r="VO8" s="198"/>
      <c r="VP8" s="198"/>
      <c r="VQ8" s="198"/>
      <c r="VR8" s="198"/>
      <c r="VS8" s="198"/>
      <c r="VT8" s="198"/>
      <c r="VU8" s="198"/>
      <c r="VV8" s="198"/>
      <c r="VW8" s="198"/>
      <c r="VX8" s="198"/>
      <c r="VY8" s="198"/>
      <c r="VZ8" s="198"/>
      <c r="WA8" s="198"/>
      <c r="WB8" s="198"/>
      <c r="WC8" s="198"/>
      <c r="WD8" s="198"/>
      <c r="WE8" s="198"/>
      <c r="WF8" s="198"/>
      <c r="WG8" s="198"/>
      <c r="WH8" s="198"/>
      <c r="WI8" s="198"/>
      <c r="WJ8" s="198"/>
      <c r="WK8" s="198"/>
      <c r="WL8" s="198"/>
      <c r="WM8" s="198"/>
      <c r="WN8" s="198"/>
      <c r="WO8" s="198"/>
      <c r="WP8" s="198"/>
      <c r="WQ8" s="198"/>
      <c r="WR8" s="198"/>
      <c r="WS8" s="198"/>
      <c r="WT8" s="198"/>
      <c r="WU8" s="198"/>
      <c r="WV8" s="198"/>
      <c r="WW8" s="198"/>
      <c r="WX8" s="198"/>
      <c r="WY8" s="198"/>
      <c r="WZ8" s="198"/>
      <c r="XA8" s="198"/>
      <c r="XB8" s="198"/>
      <c r="XC8" s="198"/>
      <c r="XD8" s="198"/>
      <c r="XE8" s="198"/>
      <c r="XF8" s="198"/>
      <c r="XG8" s="198"/>
      <c r="XH8" s="198"/>
      <c r="XI8" s="198"/>
      <c r="XJ8" s="198"/>
      <c r="XK8" s="198"/>
      <c r="XL8" s="198"/>
      <c r="XM8" s="198"/>
      <c r="XN8" s="198"/>
      <c r="XO8" s="198"/>
      <c r="XP8" s="198"/>
      <c r="XQ8" s="198"/>
      <c r="XR8" s="198"/>
      <c r="XS8" s="198"/>
      <c r="XT8" s="198"/>
      <c r="XU8" s="198"/>
      <c r="XV8" s="198"/>
      <c r="XW8" s="198"/>
      <c r="XX8" s="198"/>
      <c r="XY8" s="198"/>
      <c r="XZ8" s="198"/>
      <c r="YA8" s="198"/>
      <c r="YB8" s="198"/>
      <c r="YC8" s="198"/>
      <c r="YD8" s="198"/>
      <c r="YE8" s="198"/>
      <c r="YF8" s="198"/>
      <c r="YG8" s="198"/>
      <c r="YH8" s="198"/>
      <c r="YI8" s="198"/>
      <c r="YJ8" s="198"/>
      <c r="YK8" s="198"/>
      <c r="YL8" s="198"/>
      <c r="YM8" s="198"/>
      <c r="YN8" s="198"/>
      <c r="YO8" s="198"/>
      <c r="YP8" s="198"/>
      <c r="YQ8" s="198"/>
      <c r="YR8" s="198"/>
      <c r="YS8" s="198"/>
      <c r="YT8" s="198"/>
      <c r="YU8" s="198"/>
      <c r="YV8" s="198"/>
      <c r="YW8" s="198"/>
      <c r="YX8" s="198"/>
      <c r="YY8" s="198"/>
      <c r="YZ8" s="198"/>
      <c r="ZA8" s="198"/>
      <c r="ZB8" s="198"/>
      <c r="ZC8" s="198"/>
      <c r="ZD8" s="198"/>
      <c r="ZE8" s="198"/>
      <c r="ZF8" s="198"/>
      <c r="ZG8" s="198"/>
      <c r="ZH8" s="198"/>
      <c r="ZI8" s="198"/>
      <c r="ZJ8" s="198"/>
      <c r="ZK8" s="198"/>
      <c r="ZL8" s="198"/>
      <c r="ZM8" s="198"/>
      <c r="ZN8" s="198"/>
      <c r="ZO8" s="198"/>
      <c r="ZP8" s="198"/>
      <c r="ZQ8" s="198"/>
      <c r="ZR8" s="198"/>
      <c r="ZS8" s="198"/>
      <c r="ZT8" s="198"/>
      <c r="ZU8" s="198"/>
      <c r="ZV8" s="198"/>
      <c r="ZW8" s="198"/>
      <c r="ZX8" s="198"/>
      <c r="ZY8" s="198"/>
      <c r="ZZ8" s="198"/>
      <c r="AAA8" s="198"/>
      <c r="AAB8" s="198"/>
      <c r="AAC8" s="198"/>
      <c r="AAD8" s="198"/>
      <c r="AAE8" s="198"/>
      <c r="AAF8" s="198"/>
      <c r="AAG8" s="198"/>
      <c r="AAH8" s="198"/>
      <c r="AAI8" s="198"/>
      <c r="AAJ8" s="198"/>
      <c r="AAK8" s="198"/>
      <c r="AAL8" s="198"/>
      <c r="AAM8" s="198"/>
      <c r="AAN8" s="198"/>
      <c r="AAO8" s="198"/>
      <c r="AAP8" s="198"/>
      <c r="AAQ8" s="198"/>
      <c r="AAR8" s="198"/>
      <c r="AAS8" s="198"/>
      <c r="AAT8" s="198"/>
      <c r="AAU8" s="198"/>
      <c r="AAV8" s="198"/>
      <c r="AAW8" s="198"/>
      <c r="AAX8" s="198"/>
      <c r="AAY8" s="198"/>
      <c r="AAZ8" s="198"/>
      <c r="ABA8" s="198"/>
      <c r="ABB8" s="198"/>
      <c r="ABC8" s="198"/>
      <c r="ABD8" s="198"/>
      <c r="ABE8" s="198"/>
      <c r="ABF8" s="198"/>
      <c r="ABG8" s="198"/>
      <c r="ABH8" s="198"/>
      <c r="ABI8" s="198"/>
      <c r="ABJ8" s="198"/>
      <c r="ABK8" s="198"/>
      <c r="ABL8" s="198"/>
      <c r="ABM8" s="198"/>
      <c r="ABN8" s="198"/>
      <c r="ABO8" s="198"/>
      <c r="ABP8" s="198"/>
      <c r="ABQ8" s="198"/>
      <c r="ABR8" s="198"/>
      <c r="ABS8" s="198"/>
      <c r="ABT8" s="198"/>
      <c r="ABU8" s="198"/>
      <c r="ABV8" s="198"/>
      <c r="ABW8" s="198"/>
      <c r="ABX8" s="198"/>
      <c r="ABY8" s="198"/>
      <c r="ABZ8" s="198"/>
      <c r="ACA8" s="198"/>
      <c r="ACB8" s="198"/>
      <c r="ACC8" s="198"/>
      <c r="ACD8" s="198"/>
      <c r="ACE8" s="198"/>
      <c r="ACF8" s="198"/>
      <c r="ACG8" s="198"/>
      <c r="ACH8" s="198"/>
      <c r="ACI8" s="198"/>
      <c r="ACJ8" s="198"/>
      <c r="ACK8" s="198"/>
      <c r="ACL8" s="198"/>
      <c r="ACM8" s="198"/>
      <c r="ACN8" s="198"/>
      <c r="ACO8" s="198"/>
      <c r="ACP8" s="198"/>
      <c r="ACQ8" s="198"/>
      <c r="ACR8" s="198"/>
      <c r="ACS8" s="198"/>
      <c r="ACT8" s="198"/>
      <c r="ACU8" s="198"/>
      <c r="ACV8" s="198"/>
      <c r="ACW8" s="198"/>
      <c r="ACX8" s="198"/>
      <c r="ACY8" s="198"/>
      <c r="ACZ8" s="198"/>
      <c r="ADA8" s="198"/>
      <c r="ADB8" s="198"/>
      <c r="ADC8" s="198"/>
      <c r="ADD8" s="198"/>
      <c r="ADE8" s="198"/>
      <c r="ADF8" s="198"/>
      <c r="ADG8" s="198"/>
      <c r="ADH8" s="198"/>
      <c r="ADI8" s="198"/>
      <c r="ADJ8" s="198"/>
      <c r="ADK8" s="198"/>
      <c r="ADL8" s="198"/>
      <c r="ADM8" s="198"/>
      <c r="ADN8" s="198"/>
      <c r="ADO8" s="198"/>
      <c r="ADP8" s="198"/>
      <c r="ADQ8" s="198"/>
      <c r="ADR8" s="198"/>
      <c r="ADS8" s="198"/>
      <c r="ADT8" s="198"/>
      <c r="ADU8" s="198"/>
      <c r="ADV8" s="198"/>
      <c r="ADW8" s="198"/>
      <c r="ADX8" s="198"/>
      <c r="ADY8" s="198"/>
      <c r="ADZ8" s="198"/>
      <c r="AEA8" s="198"/>
      <c r="AEB8" s="198"/>
      <c r="AEC8" s="198"/>
      <c r="AED8" s="198"/>
      <c r="AEE8" s="198"/>
      <c r="AEF8" s="198"/>
      <c r="AEG8" s="198"/>
      <c r="AEH8" s="198"/>
      <c r="AEI8" s="198"/>
      <c r="AEJ8" s="198"/>
      <c r="AEK8" s="198"/>
      <c r="AEL8" s="198"/>
      <c r="AEM8" s="198"/>
      <c r="AEN8" s="198"/>
      <c r="AEO8" s="198"/>
      <c r="AEP8" s="198"/>
      <c r="AEQ8" s="198"/>
      <c r="AER8" s="198"/>
      <c r="AES8" s="198"/>
      <c r="AET8" s="198"/>
      <c r="AEU8" s="198"/>
      <c r="AEV8" s="198"/>
      <c r="AEW8" s="198"/>
      <c r="AEX8" s="198"/>
      <c r="AEY8" s="198"/>
      <c r="AEZ8" s="198"/>
      <c r="AFA8" s="198"/>
      <c r="AFB8" s="198"/>
      <c r="AFC8" s="198"/>
      <c r="AFD8" s="198"/>
      <c r="AFE8" s="198"/>
      <c r="AFF8" s="198"/>
      <c r="AFG8" s="198"/>
      <c r="AFH8" s="198"/>
      <c r="AFI8" s="198"/>
      <c r="AFJ8" s="198"/>
      <c r="AFK8" s="198"/>
      <c r="AFL8" s="198"/>
      <c r="AFM8" s="198"/>
      <c r="AFN8" s="198"/>
      <c r="AFO8" s="198"/>
      <c r="AFP8" s="198"/>
      <c r="AFQ8" s="198"/>
      <c r="AFR8" s="198"/>
      <c r="AFS8" s="198"/>
      <c r="AFT8" s="198"/>
      <c r="AFU8" s="198"/>
      <c r="AFV8" s="198"/>
      <c r="AFW8" s="198"/>
      <c r="AFX8" s="198"/>
      <c r="AFY8" s="198"/>
      <c r="AFZ8" s="198"/>
      <c r="AGA8" s="198"/>
      <c r="AGB8" s="198"/>
      <c r="AGC8" s="198"/>
      <c r="AGD8" s="198"/>
      <c r="AGE8" s="198"/>
      <c r="AGF8" s="198"/>
      <c r="AGG8" s="198"/>
      <c r="AGH8" s="198"/>
      <c r="AGI8" s="198"/>
      <c r="AGJ8" s="198"/>
      <c r="AGK8" s="198"/>
      <c r="AGL8" s="198"/>
      <c r="AGM8" s="198"/>
      <c r="AGN8" s="198"/>
      <c r="AGO8" s="198"/>
      <c r="AGP8" s="198"/>
      <c r="AGQ8" s="198"/>
      <c r="AGR8" s="198"/>
      <c r="AGS8" s="198"/>
      <c r="AGT8" s="198"/>
      <c r="AGU8" s="198"/>
      <c r="AGV8" s="198"/>
      <c r="AGW8" s="198"/>
      <c r="AGX8" s="198"/>
      <c r="AGY8" s="198"/>
      <c r="AGZ8" s="198"/>
      <c r="AHA8" s="198"/>
      <c r="AHB8" s="198"/>
      <c r="AHC8" s="198"/>
      <c r="AHD8" s="198"/>
      <c r="AHE8" s="198"/>
      <c r="AHF8" s="198"/>
      <c r="AHG8" s="198"/>
      <c r="AHH8" s="198"/>
      <c r="AHI8" s="198"/>
      <c r="AHJ8" s="198"/>
      <c r="AHK8" s="198"/>
      <c r="AHL8" s="198"/>
      <c r="AHM8" s="198"/>
      <c r="AHN8" s="198"/>
      <c r="AHO8" s="198"/>
      <c r="AHP8" s="198"/>
      <c r="AHQ8" s="198"/>
      <c r="AHR8" s="198"/>
      <c r="AHS8" s="198"/>
      <c r="AHT8" s="198"/>
      <c r="AHU8" s="198"/>
      <c r="AHV8" s="198"/>
      <c r="AHW8" s="198"/>
      <c r="AHX8" s="198"/>
      <c r="AHY8" s="198"/>
      <c r="AHZ8" s="198"/>
      <c r="AIA8" s="198"/>
      <c r="AIB8" s="198"/>
      <c r="AIC8" s="198"/>
      <c r="AID8" s="198"/>
      <c r="AIE8" s="198"/>
      <c r="AIF8" s="198"/>
      <c r="AIG8" s="198"/>
      <c r="AIH8" s="198"/>
      <c r="AII8" s="198"/>
      <c r="AIJ8" s="198"/>
      <c r="AIK8" s="198"/>
      <c r="AIL8" s="198"/>
      <c r="AIM8" s="198"/>
      <c r="AIN8" s="198"/>
      <c r="AIO8" s="198"/>
      <c r="AIP8" s="198"/>
      <c r="AIQ8" s="198"/>
      <c r="AIR8" s="198"/>
      <c r="AIS8" s="198"/>
      <c r="AIT8" s="198"/>
      <c r="AIU8" s="198"/>
      <c r="AIV8" s="198"/>
      <c r="AIW8" s="198"/>
      <c r="AIX8" s="198"/>
      <c r="AIY8" s="198"/>
      <c r="AIZ8" s="198"/>
      <c r="AJA8" s="198"/>
      <c r="AJB8" s="198"/>
      <c r="AJC8" s="198"/>
      <c r="AJD8" s="198"/>
      <c r="AJE8" s="198"/>
      <c r="AJF8" s="198"/>
      <c r="AJG8" s="198"/>
      <c r="AJH8" s="198"/>
      <c r="AJI8" s="198"/>
      <c r="AJJ8" s="198"/>
      <c r="AJK8" s="198"/>
      <c r="AJL8" s="198"/>
      <c r="AJM8" s="198"/>
      <c r="AJN8" s="198"/>
      <c r="AJO8" s="198"/>
      <c r="AJP8" s="198"/>
      <c r="AJQ8" s="198"/>
      <c r="AJR8" s="198"/>
      <c r="AJS8" s="198"/>
      <c r="AJT8" s="198"/>
      <c r="AJU8" s="198"/>
      <c r="AJV8" s="198"/>
      <c r="AJW8" s="198"/>
      <c r="AJX8" s="198"/>
      <c r="AJY8" s="198"/>
      <c r="AJZ8" s="198"/>
      <c r="AKA8" s="198"/>
      <c r="AKB8" s="198"/>
      <c r="AKC8" s="198"/>
      <c r="AKD8" s="198"/>
      <c r="AKE8" s="198"/>
      <c r="AKF8" s="198"/>
      <c r="AKG8" s="198"/>
      <c r="AKH8" s="198"/>
      <c r="AKI8" s="198"/>
      <c r="AKJ8" s="198"/>
      <c r="AKK8" s="198"/>
      <c r="AKL8" s="198"/>
      <c r="AKM8" s="198"/>
      <c r="AKN8" s="198"/>
      <c r="AKO8" s="198"/>
      <c r="AKP8" s="198"/>
      <c r="AKQ8" s="198"/>
      <c r="AKR8" s="198"/>
      <c r="AKS8" s="198"/>
      <c r="AKT8" s="198"/>
      <c r="AKU8" s="198"/>
      <c r="AKV8" s="198"/>
      <c r="AKW8" s="198"/>
      <c r="AKX8" s="198"/>
      <c r="AKY8" s="198"/>
      <c r="AKZ8" s="198"/>
      <c r="ALA8" s="198"/>
      <c r="ALB8" s="198"/>
      <c r="ALC8" s="198"/>
      <c r="ALD8" s="198"/>
      <c r="ALE8" s="198"/>
      <c r="ALF8" s="198"/>
      <c r="ALG8" s="198"/>
      <c r="ALH8" s="198"/>
      <c r="ALI8" s="198"/>
      <c r="ALJ8" s="198"/>
      <c r="ALK8" s="198"/>
      <c r="ALL8" s="198"/>
      <c r="ALM8" s="198"/>
      <c r="ALN8" s="198"/>
      <c r="ALO8" s="198"/>
      <c r="ALP8" s="198"/>
      <c r="ALQ8" s="198"/>
      <c r="ALR8" s="198"/>
      <c r="ALS8" s="198"/>
      <c r="ALT8" s="198"/>
      <c r="ALU8" s="198"/>
      <c r="ALV8" s="198"/>
      <c r="ALW8" s="198"/>
      <c r="ALX8" s="198"/>
      <c r="ALY8" s="198"/>
      <c r="ALZ8" s="198"/>
      <c r="AMA8" s="198"/>
      <c r="AMB8" s="198"/>
      <c r="AMC8" s="198"/>
      <c r="AMD8" s="198"/>
      <c r="AME8" s="198"/>
      <c r="AMF8" s="198"/>
      <c r="AMG8" s="198"/>
      <c r="AMH8" s="198"/>
      <c r="AMI8" s="198"/>
      <c r="AMJ8" s="198"/>
      <c r="AMK8" s="198"/>
      <c r="AML8" s="198"/>
      <c r="AMM8" s="198"/>
      <c r="AMN8" s="198"/>
      <c r="AMO8" s="198"/>
      <c r="AMP8" s="198"/>
      <c r="AMQ8" s="198"/>
      <c r="AMR8" s="198"/>
      <c r="AMS8" s="198"/>
      <c r="AMT8" s="198"/>
      <c r="AMU8" s="198"/>
      <c r="AMV8" s="198"/>
      <c r="AMW8" s="198"/>
      <c r="AMX8" s="198"/>
      <c r="AMY8" s="198"/>
      <c r="AMZ8" s="198"/>
      <c r="ANA8" s="198"/>
      <c r="ANB8" s="198"/>
      <c r="ANC8" s="198"/>
      <c r="AND8" s="198"/>
      <c r="ANE8" s="198"/>
      <c r="ANF8" s="198"/>
      <c r="ANG8" s="198"/>
      <c r="ANH8" s="198"/>
      <c r="ANI8" s="198"/>
      <c r="ANJ8" s="198"/>
      <c r="ANK8" s="198"/>
      <c r="ANL8" s="198"/>
      <c r="ANM8" s="198"/>
      <c r="ANN8" s="198"/>
      <c r="ANO8" s="198"/>
      <c r="ANP8" s="198"/>
      <c r="ANQ8" s="198"/>
      <c r="ANR8" s="198"/>
      <c r="ANS8" s="198"/>
      <c r="ANT8" s="198"/>
      <c r="ANU8" s="198"/>
      <c r="ANV8" s="198"/>
      <c r="ANW8" s="198"/>
      <c r="ANX8" s="198"/>
      <c r="ANY8" s="198"/>
      <c r="ANZ8" s="198"/>
      <c r="AOA8" s="198"/>
      <c r="AOB8" s="198"/>
      <c r="AOC8" s="198"/>
      <c r="AOD8" s="198"/>
      <c r="AOE8" s="198"/>
      <c r="AOF8" s="198"/>
      <c r="AOG8" s="198"/>
      <c r="AOH8" s="198"/>
      <c r="AOI8" s="198"/>
      <c r="AOJ8" s="198"/>
      <c r="AOK8" s="198"/>
      <c r="AOL8" s="198"/>
      <c r="AOM8" s="198"/>
      <c r="AON8" s="198"/>
      <c r="AOO8" s="198"/>
      <c r="AOP8" s="198"/>
      <c r="AOQ8" s="198"/>
      <c r="AOR8" s="198"/>
      <c r="AOS8" s="198"/>
      <c r="AOT8" s="198"/>
      <c r="AOU8" s="198"/>
      <c r="AOV8" s="198"/>
      <c r="AOW8" s="198"/>
      <c r="AOX8" s="198"/>
      <c r="AOY8" s="198"/>
      <c r="AOZ8" s="198"/>
      <c r="APA8" s="198"/>
      <c r="APB8" s="198"/>
      <c r="APC8" s="198"/>
      <c r="APD8" s="198"/>
      <c r="APE8" s="198"/>
      <c r="APF8" s="198"/>
      <c r="APG8" s="198"/>
      <c r="APH8" s="198"/>
      <c r="API8" s="198"/>
      <c r="APJ8" s="198"/>
      <c r="APK8" s="198"/>
      <c r="APL8" s="198"/>
      <c r="APM8" s="198"/>
      <c r="APN8" s="198"/>
      <c r="APO8" s="198"/>
      <c r="APP8" s="198"/>
      <c r="APQ8" s="198"/>
      <c r="APR8" s="198"/>
      <c r="APS8" s="198"/>
      <c r="APT8" s="198"/>
      <c r="APU8" s="198"/>
      <c r="APV8" s="198"/>
      <c r="APW8" s="198"/>
      <c r="APX8" s="198"/>
      <c r="APY8" s="198"/>
      <c r="APZ8" s="198"/>
      <c r="AQA8" s="198"/>
      <c r="AQB8" s="198"/>
      <c r="AQC8" s="198"/>
      <c r="AQD8" s="198"/>
      <c r="AQE8" s="198"/>
      <c r="AQF8" s="198"/>
      <c r="AQG8" s="198"/>
      <c r="AQH8" s="198"/>
      <c r="AQI8" s="198"/>
      <c r="AQJ8" s="198"/>
      <c r="AQK8" s="198"/>
      <c r="AQL8" s="198"/>
      <c r="AQM8" s="198"/>
      <c r="AQN8" s="198"/>
      <c r="AQO8" s="198"/>
      <c r="AQP8" s="198"/>
      <c r="AQQ8" s="198"/>
      <c r="AQR8" s="198"/>
      <c r="AQS8" s="198"/>
      <c r="AQT8" s="198"/>
      <c r="AQU8" s="198"/>
      <c r="AQV8" s="198"/>
      <c r="AQW8" s="198"/>
      <c r="AQX8" s="198"/>
      <c r="AQY8" s="198"/>
      <c r="AQZ8" s="198"/>
      <c r="ARA8" s="198"/>
      <c r="ARB8" s="198"/>
      <c r="ARC8" s="198"/>
      <c r="ARD8" s="198"/>
      <c r="ARE8" s="198"/>
      <c r="ARF8" s="198"/>
      <c r="ARG8" s="198"/>
      <c r="ARH8" s="198"/>
      <c r="ARI8" s="198"/>
      <c r="ARJ8" s="198"/>
      <c r="ARK8" s="198"/>
      <c r="ARL8" s="198"/>
      <c r="ARM8" s="198"/>
      <c r="ARN8" s="198"/>
      <c r="ARO8" s="198"/>
      <c r="ARP8" s="198"/>
      <c r="ARQ8" s="198"/>
      <c r="ARR8" s="198"/>
      <c r="ARS8" s="198"/>
      <c r="ART8" s="198"/>
      <c r="ARU8" s="198"/>
      <c r="ARV8" s="198"/>
      <c r="ARW8" s="198"/>
      <c r="ARX8" s="198"/>
      <c r="ARY8" s="198"/>
      <c r="ARZ8" s="198"/>
      <c r="ASA8" s="198"/>
      <c r="ASB8" s="198"/>
      <c r="ASC8" s="198"/>
      <c r="ASD8" s="198"/>
      <c r="ASE8" s="198"/>
      <c r="ASF8" s="198"/>
      <c r="ASG8" s="198"/>
      <c r="ASH8" s="198"/>
      <c r="ASI8" s="198"/>
      <c r="ASJ8" s="198"/>
      <c r="ASK8" s="198"/>
      <c r="ASL8" s="198"/>
      <c r="ASM8" s="198"/>
      <c r="ASN8" s="198"/>
      <c r="ASO8" s="198"/>
      <c r="ASP8" s="198"/>
      <c r="ASQ8" s="198"/>
      <c r="ASR8" s="198"/>
      <c r="ASS8" s="198"/>
      <c r="AST8" s="198"/>
      <c r="ASU8" s="198"/>
      <c r="ASV8" s="198"/>
      <c r="ASW8" s="198"/>
      <c r="ASX8" s="198"/>
      <c r="ASY8" s="198"/>
      <c r="ASZ8" s="198"/>
      <c r="ATA8" s="198"/>
      <c r="ATB8" s="198"/>
      <c r="ATC8" s="198"/>
      <c r="ATD8" s="198"/>
      <c r="ATE8" s="198"/>
      <c r="ATF8" s="198"/>
      <c r="ATG8" s="198"/>
      <c r="ATH8" s="198"/>
      <c r="ATI8" s="198"/>
      <c r="ATJ8" s="198"/>
      <c r="ATK8" s="198"/>
      <c r="ATL8" s="198"/>
      <c r="ATM8" s="198"/>
      <c r="ATN8" s="198"/>
      <c r="ATO8" s="198"/>
      <c r="ATP8" s="198"/>
      <c r="ATQ8" s="198"/>
      <c r="ATR8" s="198"/>
      <c r="ATS8" s="198"/>
      <c r="ATT8" s="198"/>
      <c r="ATU8" s="198"/>
      <c r="ATV8" s="198"/>
      <c r="ATW8" s="198"/>
      <c r="ATX8" s="198"/>
      <c r="ATY8" s="198"/>
      <c r="ATZ8" s="198"/>
      <c r="AUA8" s="198"/>
      <c r="AUB8" s="198"/>
      <c r="AUC8" s="198"/>
      <c r="AUD8" s="198"/>
      <c r="AUE8" s="198"/>
      <c r="AUF8" s="198"/>
      <c r="AUG8" s="198"/>
      <c r="AUH8" s="198"/>
      <c r="AUI8" s="198"/>
      <c r="AUJ8" s="198"/>
      <c r="AUK8" s="198"/>
      <c r="AUL8" s="198"/>
      <c r="AUM8" s="198"/>
      <c r="AUN8" s="198"/>
      <c r="AUO8" s="198"/>
      <c r="AUP8" s="198"/>
      <c r="AUQ8" s="198"/>
      <c r="AUR8" s="198"/>
      <c r="AUS8" s="198"/>
      <c r="AUT8" s="198"/>
      <c r="AUU8" s="198"/>
      <c r="AUV8" s="198"/>
      <c r="AUW8" s="198"/>
      <c r="AUX8" s="198"/>
      <c r="AUY8" s="198"/>
      <c r="AUZ8" s="198"/>
      <c r="AVA8" s="198"/>
      <c r="AVB8" s="198"/>
      <c r="AVC8" s="198"/>
      <c r="AVD8" s="198"/>
      <c r="AVE8" s="198"/>
      <c r="AVF8" s="198"/>
      <c r="AVG8" s="198"/>
      <c r="AVH8" s="198"/>
      <c r="AVI8" s="198"/>
      <c r="AVJ8" s="198"/>
      <c r="AVK8" s="198"/>
      <c r="AVL8" s="198"/>
      <c r="AVM8" s="198"/>
      <c r="AVN8" s="198"/>
      <c r="AVO8" s="198"/>
      <c r="AVP8" s="198"/>
      <c r="AVQ8" s="198"/>
      <c r="AVR8" s="198"/>
      <c r="AVS8" s="198"/>
      <c r="AVT8" s="198"/>
      <c r="AVU8" s="198"/>
      <c r="AVV8" s="198"/>
      <c r="AVW8" s="198"/>
      <c r="AVX8" s="198"/>
      <c r="AVY8" s="198"/>
      <c r="AVZ8" s="198"/>
      <c r="AWA8" s="198"/>
      <c r="AWB8" s="198"/>
      <c r="AWC8" s="198"/>
      <c r="AWD8" s="198"/>
      <c r="AWE8" s="198"/>
      <c r="AWF8" s="198"/>
      <c r="AWG8" s="198"/>
      <c r="AWH8" s="198"/>
      <c r="AWI8" s="198"/>
      <c r="AWJ8" s="198"/>
      <c r="AWK8" s="198"/>
      <c r="AWL8" s="198"/>
      <c r="AWM8" s="198"/>
      <c r="AWN8" s="198"/>
      <c r="AWO8" s="198"/>
      <c r="AWP8" s="198"/>
      <c r="AWQ8" s="198"/>
      <c r="AWR8" s="198"/>
      <c r="AWS8" s="198"/>
      <c r="AWT8" s="198"/>
      <c r="AWU8" s="198"/>
      <c r="AWV8" s="198"/>
      <c r="AWW8" s="198"/>
      <c r="AWX8" s="198"/>
      <c r="AWY8" s="198"/>
      <c r="AWZ8" s="198"/>
      <c r="AXA8" s="198"/>
      <c r="AXB8" s="198"/>
      <c r="AXC8" s="198"/>
      <c r="AXD8" s="198"/>
      <c r="AXE8" s="198"/>
      <c r="AXF8" s="198"/>
      <c r="AXG8" s="198"/>
      <c r="AXH8" s="198"/>
      <c r="AXI8" s="198"/>
      <c r="AXJ8" s="198"/>
      <c r="AXK8" s="198"/>
      <c r="AXL8" s="198"/>
      <c r="AXM8" s="198"/>
      <c r="AXN8" s="198"/>
      <c r="AXO8" s="198"/>
      <c r="AXP8" s="198"/>
      <c r="AXQ8" s="198"/>
      <c r="AXR8" s="198"/>
      <c r="AXS8" s="198"/>
      <c r="AXT8" s="198"/>
      <c r="AXU8" s="198"/>
      <c r="AXV8" s="198"/>
      <c r="AXW8" s="198"/>
      <c r="AXX8" s="198"/>
      <c r="AXY8" s="198"/>
      <c r="AXZ8" s="198"/>
      <c r="AYA8" s="198"/>
      <c r="AYB8" s="198"/>
      <c r="AYC8" s="198"/>
      <c r="AYD8" s="198"/>
      <c r="AYE8" s="198"/>
      <c r="AYF8" s="198"/>
      <c r="AYG8" s="198"/>
      <c r="AYH8" s="198"/>
      <c r="AYI8" s="198"/>
      <c r="AYJ8" s="198"/>
      <c r="AYK8" s="198"/>
      <c r="AYL8" s="198"/>
      <c r="AYM8" s="198"/>
      <c r="AYN8" s="198"/>
      <c r="AYO8" s="198"/>
      <c r="AYP8" s="198"/>
      <c r="AYQ8" s="198"/>
      <c r="AYR8" s="198"/>
      <c r="AYS8" s="198"/>
      <c r="AYT8" s="198"/>
      <c r="AYU8" s="198"/>
      <c r="AYV8" s="198"/>
      <c r="AYW8" s="198"/>
      <c r="AYX8" s="198"/>
      <c r="AYY8" s="198"/>
      <c r="AYZ8" s="198"/>
      <c r="AZA8" s="198"/>
      <c r="AZB8" s="198"/>
      <c r="AZC8" s="198"/>
      <c r="AZD8" s="198"/>
      <c r="AZE8" s="198"/>
      <c r="AZF8" s="198"/>
      <c r="AZG8" s="198"/>
      <c r="AZH8" s="198"/>
      <c r="AZI8" s="198"/>
      <c r="AZJ8" s="198"/>
      <c r="AZK8" s="198"/>
      <c r="AZL8" s="198"/>
      <c r="AZM8" s="198"/>
      <c r="AZN8" s="198"/>
      <c r="AZO8" s="198"/>
      <c r="AZP8" s="198"/>
      <c r="AZQ8" s="198"/>
      <c r="AZR8" s="198"/>
      <c r="AZS8" s="198"/>
      <c r="AZT8" s="198"/>
      <c r="AZU8" s="198"/>
      <c r="AZV8" s="198"/>
      <c r="AZW8" s="198"/>
      <c r="AZX8" s="198"/>
      <c r="AZY8" s="198"/>
      <c r="AZZ8" s="198"/>
      <c r="BAA8" s="198"/>
      <c r="BAB8" s="198"/>
      <c r="BAC8" s="198"/>
      <c r="BAD8" s="198"/>
      <c r="BAE8" s="198"/>
      <c r="BAF8" s="198"/>
      <c r="BAG8" s="198"/>
      <c r="BAH8" s="198"/>
      <c r="BAI8" s="198"/>
      <c r="BAJ8" s="198"/>
      <c r="BAK8" s="198"/>
      <c r="BAL8" s="198"/>
      <c r="BAM8" s="198"/>
      <c r="BAN8" s="198"/>
      <c r="BAO8" s="198"/>
      <c r="BAP8" s="198"/>
      <c r="BAQ8" s="198"/>
      <c r="BAR8" s="198"/>
      <c r="BAS8" s="198"/>
      <c r="BAT8" s="198"/>
      <c r="BAU8" s="198"/>
      <c r="BAV8" s="198"/>
      <c r="BAW8" s="198"/>
      <c r="BAX8" s="198"/>
      <c r="BAY8" s="198"/>
      <c r="BAZ8" s="198"/>
      <c r="BBA8" s="198"/>
      <c r="BBB8" s="198"/>
      <c r="BBC8" s="198"/>
      <c r="BBD8" s="198"/>
      <c r="BBE8" s="198"/>
      <c r="BBF8" s="198"/>
      <c r="BBG8" s="198"/>
      <c r="BBH8" s="198"/>
      <c r="BBI8" s="198"/>
      <c r="BBJ8" s="198"/>
      <c r="BBK8" s="198"/>
      <c r="BBL8" s="198"/>
      <c r="BBM8" s="198"/>
      <c r="BBN8" s="198"/>
      <c r="BBO8" s="198"/>
      <c r="BBP8" s="198"/>
      <c r="BBQ8" s="198"/>
      <c r="BBR8" s="198"/>
      <c r="BBS8" s="198"/>
      <c r="BBT8" s="198"/>
      <c r="BBU8" s="198"/>
      <c r="BBV8" s="198"/>
      <c r="BBW8" s="198"/>
      <c r="BBX8" s="198"/>
      <c r="BBY8" s="198"/>
      <c r="BBZ8" s="198"/>
      <c r="BCA8" s="198"/>
      <c r="BCB8" s="198"/>
      <c r="BCC8" s="198"/>
      <c r="BCD8" s="198"/>
      <c r="BCE8" s="198"/>
      <c r="BCF8" s="198"/>
      <c r="BCG8" s="198"/>
      <c r="BCH8" s="198"/>
      <c r="BCI8" s="198"/>
      <c r="BCJ8" s="198"/>
      <c r="BCK8" s="198"/>
      <c r="BCL8" s="198"/>
      <c r="BCM8" s="198"/>
      <c r="BCN8" s="198"/>
      <c r="BCO8" s="198"/>
      <c r="BCP8" s="198"/>
      <c r="BCQ8" s="198"/>
      <c r="BCR8" s="198"/>
      <c r="BCS8" s="198"/>
      <c r="BCT8" s="198"/>
      <c r="BCU8" s="198"/>
      <c r="BCV8" s="198"/>
      <c r="BCW8" s="198"/>
      <c r="BCX8" s="198"/>
      <c r="BCY8" s="198"/>
      <c r="BCZ8" s="198"/>
      <c r="BDA8" s="198"/>
      <c r="BDB8" s="198"/>
      <c r="BDC8" s="198"/>
      <c r="BDD8" s="198"/>
      <c r="BDE8" s="198"/>
      <c r="BDF8" s="198"/>
      <c r="BDG8" s="198"/>
      <c r="BDH8" s="198"/>
      <c r="BDI8" s="198"/>
      <c r="BDJ8" s="198"/>
      <c r="BDK8" s="198"/>
      <c r="BDL8" s="198"/>
      <c r="BDM8" s="198"/>
      <c r="BDN8" s="198"/>
      <c r="BDO8" s="198"/>
      <c r="BDP8" s="198"/>
      <c r="BDQ8" s="198"/>
      <c r="BDR8" s="198"/>
      <c r="BDS8" s="198"/>
      <c r="BDT8" s="198"/>
      <c r="BDU8" s="198"/>
      <c r="BDV8" s="198"/>
      <c r="BDW8" s="198"/>
      <c r="BDX8" s="198"/>
      <c r="BDY8" s="198"/>
      <c r="BDZ8" s="198"/>
      <c r="BEA8" s="198"/>
      <c r="BEB8" s="198"/>
      <c r="BEC8" s="198"/>
      <c r="BED8" s="198"/>
      <c r="BEE8" s="198"/>
      <c r="BEF8" s="198"/>
      <c r="BEG8" s="198"/>
      <c r="BEH8" s="198"/>
      <c r="BEI8" s="198"/>
      <c r="BEJ8" s="198"/>
      <c r="BEK8" s="198"/>
      <c r="BEL8" s="198"/>
      <c r="BEM8" s="198"/>
      <c r="BEN8" s="198"/>
      <c r="BEO8" s="198"/>
      <c r="BEP8" s="198"/>
      <c r="BEQ8" s="198"/>
      <c r="BER8" s="198"/>
      <c r="BES8" s="198"/>
      <c r="BET8" s="198"/>
      <c r="BEU8" s="198"/>
      <c r="BEV8" s="198"/>
      <c r="BEW8" s="198"/>
      <c r="BEX8" s="198"/>
      <c r="BEY8" s="198"/>
      <c r="BEZ8" s="198"/>
      <c r="BFA8" s="198"/>
      <c r="BFB8" s="198"/>
      <c r="BFC8" s="198"/>
      <c r="BFD8" s="198"/>
      <c r="BFE8" s="198"/>
      <c r="BFF8" s="198"/>
      <c r="BFG8" s="198"/>
      <c r="BFH8" s="198"/>
      <c r="BFI8" s="198"/>
      <c r="BFJ8" s="198"/>
      <c r="BFK8" s="198"/>
      <c r="BFL8" s="198"/>
      <c r="BFM8" s="198"/>
      <c r="BFN8" s="198"/>
      <c r="BFO8" s="198"/>
      <c r="BFP8" s="198"/>
      <c r="BFQ8" s="198"/>
      <c r="BFR8" s="198"/>
      <c r="BFS8" s="198"/>
      <c r="BFT8" s="198"/>
      <c r="BFU8" s="198"/>
      <c r="BFV8" s="198"/>
      <c r="BFW8" s="198"/>
      <c r="BFX8" s="198"/>
      <c r="BFY8" s="198"/>
      <c r="BFZ8" s="198"/>
      <c r="BGA8" s="198"/>
      <c r="BGB8" s="198"/>
      <c r="BGC8" s="198"/>
      <c r="BGD8" s="198"/>
      <c r="BGE8" s="198"/>
      <c r="BGF8" s="198"/>
      <c r="BGG8" s="198"/>
      <c r="BGH8" s="198"/>
      <c r="BGI8" s="198"/>
      <c r="BGJ8" s="198"/>
      <c r="BGK8" s="198"/>
      <c r="BGL8" s="198"/>
      <c r="BGM8" s="198"/>
      <c r="BGN8" s="198"/>
      <c r="BGO8" s="198"/>
      <c r="BGP8" s="198"/>
      <c r="BGQ8" s="198"/>
      <c r="BGR8" s="198"/>
      <c r="BGS8" s="198"/>
      <c r="BGT8" s="198"/>
      <c r="BGU8" s="198"/>
      <c r="BGV8" s="198"/>
      <c r="BGW8" s="198"/>
      <c r="BGX8" s="198"/>
      <c r="BGY8" s="198"/>
      <c r="BGZ8" s="198"/>
      <c r="BHA8" s="198"/>
      <c r="BHB8" s="198"/>
      <c r="BHC8" s="198"/>
      <c r="BHD8" s="198"/>
      <c r="BHE8" s="198"/>
      <c r="BHF8" s="198"/>
      <c r="BHG8" s="198"/>
      <c r="BHH8" s="198"/>
      <c r="BHI8" s="198"/>
      <c r="BHJ8" s="198"/>
      <c r="BHK8" s="198"/>
      <c r="BHL8" s="198"/>
      <c r="BHM8" s="198"/>
      <c r="BHN8" s="198"/>
      <c r="BHO8" s="198"/>
      <c r="BHP8" s="198"/>
      <c r="BHQ8" s="198"/>
      <c r="BHR8" s="198"/>
      <c r="BHS8" s="198"/>
      <c r="BHT8" s="198"/>
      <c r="BHU8" s="198"/>
      <c r="BHV8" s="198"/>
      <c r="BHW8" s="198"/>
      <c r="BHX8" s="198"/>
      <c r="BHY8" s="198"/>
      <c r="BHZ8" s="198"/>
      <c r="BIA8" s="198"/>
      <c r="BIB8" s="198"/>
      <c r="BIC8" s="198"/>
      <c r="BID8" s="198"/>
      <c r="BIE8" s="198"/>
      <c r="BIF8" s="198"/>
      <c r="BIG8" s="198"/>
      <c r="BIH8" s="198"/>
      <c r="BII8" s="198"/>
      <c r="BIJ8" s="198"/>
      <c r="BIK8" s="198"/>
      <c r="BIL8" s="198"/>
      <c r="BIM8" s="198"/>
      <c r="BIN8" s="198"/>
      <c r="BIO8" s="198"/>
      <c r="BIP8" s="198"/>
      <c r="BIQ8" s="198"/>
      <c r="BIR8" s="198"/>
      <c r="BIS8" s="198"/>
      <c r="BIT8" s="198"/>
      <c r="BIU8" s="198"/>
      <c r="BIV8" s="198"/>
      <c r="BIW8" s="198"/>
      <c r="BIX8" s="198"/>
      <c r="BIY8" s="198"/>
      <c r="BIZ8" s="198"/>
      <c r="BJA8" s="198"/>
      <c r="BJB8" s="198"/>
      <c r="BJC8" s="198"/>
      <c r="BJD8" s="198"/>
      <c r="BJE8" s="198"/>
      <c r="BJF8" s="198"/>
      <c r="BJG8" s="198"/>
      <c r="BJH8" s="198"/>
      <c r="BJI8" s="198"/>
      <c r="BJJ8" s="198"/>
      <c r="BJK8" s="198"/>
      <c r="BJL8" s="198"/>
      <c r="BJM8" s="198"/>
      <c r="BJN8" s="198"/>
      <c r="BJO8" s="198"/>
      <c r="BJP8" s="198"/>
      <c r="BJQ8" s="198"/>
      <c r="BJR8" s="198"/>
      <c r="BJS8" s="198"/>
      <c r="BJT8" s="198"/>
      <c r="BJU8" s="198"/>
      <c r="BJV8" s="198"/>
      <c r="BJW8" s="198"/>
      <c r="BJX8" s="198"/>
      <c r="BJY8" s="198"/>
      <c r="BJZ8" s="198"/>
      <c r="BKA8" s="198"/>
      <c r="BKB8" s="198"/>
      <c r="BKC8" s="198"/>
      <c r="BKD8" s="198"/>
      <c r="BKE8" s="198"/>
      <c r="BKF8" s="198"/>
      <c r="BKG8" s="198"/>
      <c r="BKH8" s="198"/>
      <c r="BKI8" s="198"/>
      <c r="BKJ8" s="198"/>
      <c r="BKK8" s="198"/>
      <c r="BKL8" s="198"/>
      <c r="BKM8" s="198"/>
      <c r="BKN8" s="198"/>
      <c r="BKO8" s="198"/>
      <c r="BKP8" s="198"/>
      <c r="BKQ8" s="198"/>
      <c r="BKR8" s="198"/>
      <c r="BKS8" s="198"/>
      <c r="BKT8" s="198"/>
      <c r="BKU8" s="198"/>
      <c r="BKV8" s="198"/>
      <c r="BKW8" s="198"/>
      <c r="BKX8" s="198"/>
      <c r="BKY8" s="198"/>
      <c r="BKZ8" s="198"/>
      <c r="BLA8" s="198"/>
      <c r="BLB8" s="198"/>
      <c r="BLC8" s="198"/>
      <c r="BLD8" s="198"/>
      <c r="BLE8" s="198"/>
      <c r="BLF8" s="198"/>
      <c r="BLG8" s="198"/>
      <c r="BLH8" s="198"/>
      <c r="BLI8" s="198"/>
      <c r="BLJ8" s="198"/>
      <c r="BLK8" s="198"/>
      <c r="BLL8" s="198"/>
      <c r="BLM8" s="198"/>
      <c r="BLN8" s="198"/>
      <c r="BLO8" s="198"/>
      <c r="BLP8" s="198"/>
      <c r="BLQ8" s="198"/>
      <c r="BLR8" s="198"/>
      <c r="BLS8" s="198"/>
      <c r="BLT8" s="198"/>
      <c r="BLU8" s="198"/>
      <c r="BLV8" s="198"/>
      <c r="BLW8" s="198"/>
      <c r="BLX8" s="198"/>
      <c r="BLY8" s="198"/>
      <c r="BLZ8" s="198"/>
      <c r="BMA8" s="198"/>
      <c r="BMB8" s="198"/>
      <c r="BMC8" s="198"/>
      <c r="BMD8" s="198"/>
      <c r="BME8" s="198"/>
      <c r="BMF8" s="198"/>
      <c r="BMG8" s="198"/>
      <c r="BMH8" s="198"/>
      <c r="BMI8" s="198"/>
      <c r="BMJ8" s="198"/>
      <c r="BMK8" s="198"/>
      <c r="BML8" s="198"/>
      <c r="BMM8" s="198"/>
      <c r="BMN8" s="198"/>
      <c r="BMO8" s="198"/>
      <c r="BMP8" s="198"/>
      <c r="BMQ8" s="198"/>
      <c r="BMR8" s="198"/>
      <c r="BMS8" s="198"/>
      <c r="BMT8" s="198"/>
      <c r="BMU8" s="198"/>
      <c r="BMV8" s="198"/>
      <c r="BMW8" s="198"/>
      <c r="BMX8" s="198"/>
      <c r="BMY8" s="198"/>
      <c r="BMZ8" s="198"/>
      <c r="BNA8" s="198"/>
      <c r="BNB8" s="198"/>
      <c r="BNC8" s="198"/>
      <c r="BND8" s="198"/>
      <c r="BNE8" s="198"/>
      <c r="BNF8" s="198"/>
      <c r="BNG8" s="198"/>
      <c r="BNH8" s="198"/>
      <c r="BNI8" s="198"/>
      <c r="BNJ8" s="198"/>
      <c r="BNK8" s="198"/>
      <c r="BNL8" s="198"/>
      <c r="BNM8" s="198"/>
      <c r="BNN8" s="198"/>
      <c r="BNO8" s="198"/>
      <c r="BNP8" s="198"/>
      <c r="BNQ8" s="198"/>
      <c r="BNR8" s="198"/>
      <c r="BNS8" s="198"/>
      <c r="BNT8" s="198"/>
      <c r="BNU8" s="198"/>
      <c r="BNV8" s="198"/>
      <c r="BNW8" s="198"/>
      <c r="BNX8" s="198"/>
      <c r="BNY8" s="198"/>
      <c r="BNZ8" s="198"/>
      <c r="BOA8" s="198"/>
      <c r="BOB8" s="198"/>
      <c r="BOC8" s="198"/>
      <c r="BOD8" s="198"/>
      <c r="BOE8" s="198"/>
      <c r="BOF8" s="198"/>
      <c r="BOG8" s="198"/>
      <c r="BOH8" s="198"/>
      <c r="BOI8" s="198"/>
      <c r="BOJ8" s="198"/>
      <c r="BOK8" s="198"/>
      <c r="BOL8" s="198"/>
      <c r="BOM8" s="198"/>
      <c r="BON8" s="198"/>
      <c r="BOO8" s="198"/>
      <c r="BOP8" s="198"/>
      <c r="BOQ8" s="198"/>
      <c r="BOR8" s="198"/>
      <c r="BOS8" s="198"/>
      <c r="BOT8" s="198"/>
      <c r="BOU8" s="198"/>
      <c r="BOV8" s="198"/>
      <c r="BOW8" s="198"/>
      <c r="BOX8" s="198"/>
      <c r="BOY8" s="198"/>
      <c r="BOZ8" s="198"/>
      <c r="BPA8" s="198"/>
      <c r="BPB8" s="198"/>
      <c r="BPC8" s="198"/>
      <c r="BPD8" s="198"/>
      <c r="BPE8" s="198"/>
      <c r="BPF8" s="198"/>
      <c r="BPG8" s="198"/>
      <c r="BPH8" s="198"/>
      <c r="BPI8" s="198"/>
      <c r="BPJ8" s="198"/>
      <c r="BPK8" s="198"/>
      <c r="BPL8" s="198"/>
      <c r="BPM8" s="198"/>
      <c r="BPN8" s="198"/>
      <c r="BPO8" s="198"/>
      <c r="BPP8" s="198"/>
      <c r="BPQ8" s="198"/>
      <c r="BPR8" s="198"/>
      <c r="BPS8" s="198"/>
      <c r="BPT8" s="198"/>
      <c r="BPU8" s="198"/>
      <c r="BPV8" s="198"/>
      <c r="BPW8" s="198"/>
      <c r="BPX8" s="198"/>
      <c r="BPY8" s="198"/>
      <c r="BPZ8" s="198"/>
      <c r="BQA8" s="198"/>
      <c r="BQB8" s="198"/>
      <c r="BQC8" s="198"/>
      <c r="BQD8" s="198"/>
      <c r="BQE8" s="198"/>
      <c r="BQF8" s="198"/>
      <c r="BQG8" s="198"/>
      <c r="BQH8" s="198"/>
      <c r="BQI8" s="198"/>
      <c r="BQJ8" s="198"/>
      <c r="BQK8" s="198"/>
      <c r="BQL8" s="198"/>
      <c r="BQM8" s="198"/>
      <c r="BQN8" s="198"/>
      <c r="BQO8" s="198"/>
      <c r="BQP8" s="198"/>
      <c r="BQQ8" s="198"/>
      <c r="BQR8" s="198"/>
      <c r="BQS8" s="198"/>
      <c r="BQT8" s="198"/>
      <c r="BQU8" s="198"/>
      <c r="BQV8" s="198"/>
      <c r="BQW8" s="198"/>
      <c r="BQX8" s="198"/>
      <c r="BQY8" s="198"/>
      <c r="BQZ8" s="198"/>
      <c r="BRA8" s="198"/>
      <c r="BRB8" s="198"/>
      <c r="BRC8" s="198"/>
      <c r="BRD8" s="198"/>
      <c r="BRE8" s="198"/>
      <c r="BRF8" s="198"/>
      <c r="BRG8" s="198"/>
      <c r="BRH8" s="198"/>
      <c r="BRI8" s="198"/>
      <c r="BRJ8" s="198"/>
      <c r="BRK8" s="198"/>
      <c r="BRL8" s="198"/>
      <c r="BRM8" s="198"/>
      <c r="BRN8" s="198"/>
      <c r="BRO8" s="198"/>
      <c r="BRP8" s="198"/>
      <c r="BRQ8" s="198"/>
      <c r="BRR8" s="198"/>
      <c r="BRS8" s="198"/>
      <c r="BRT8" s="198"/>
      <c r="BRU8" s="198"/>
      <c r="BRV8" s="198"/>
      <c r="BRW8" s="198"/>
      <c r="BRX8" s="198"/>
      <c r="BRY8" s="198"/>
      <c r="BRZ8" s="198"/>
      <c r="BSA8" s="198"/>
      <c r="BSB8" s="198"/>
      <c r="BSC8" s="198"/>
      <c r="BSD8" s="198"/>
      <c r="BSE8" s="198"/>
      <c r="BSF8" s="198"/>
      <c r="BSG8" s="198"/>
      <c r="BSH8" s="198"/>
      <c r="BSI8" s="198"/>
      <c r="BSJ8" s="198"/>
      <c r="BSK8" s="198"/>
      <c r="BSL8" s="198"/>
      <c r="BSM8" s="198"/>
      <c r="BSN8" s="198"/>
      <c r="BSO8" s="198"/>
      <c r="BSP8" s="198"/>
      <c r="BSQ8" s="198"/>
      <c r="BSR8" s="198"/>
      <c r="BSS8" s="198"/>
      <c r="BST8" s="198"/>
      <c r="BSU8" s="198"/>
      <c r="BSV8" s="198"/>
      <c r="BSW8" s="198"/>
      <c r="BSX8" s="198"/>
      <c r="BSY8" s="198"/>
      <c r="BSZ8" s="198"/>
      <c r="BTA8" s="198"/>
      <c r="BTB8" s="198"/>
      <c r="BTC8" s="198"/>
      <c r="BTD8" s="198"/>
      <c r="BTE8" s="198"/>
      <c r="BTF8" s="198"/>
      <c r="BTG8" s="198"/>
      <c r="BTH8" s="198"/>
      <c r="BTI8" s="198"/>
      <c r="BTJ8" s="198"/>
      <c r="BTK8" s="198"/>
      <c r="BTL8" s="198"/>
      <c r="BTM8" s="198"/>
      <c r="BTN8" s="198"/>
      <c r="BTO8" s="198"/>
      <c r="BTP8" s="198"/>
      <c r="BTQ8" s="198"/>
      <c r="BTR8" s="198"/>
      <c r="BTS8" s="198"/>
      <c r="BTT8" s="198"/>
      <c r="BTU8" s="198"/>
      <c r="BTV8" s="198"/>
      <c r="BTW8" s="198"/>
      <c r="BTX8" s="198"/>
      <c r="BTY8" s="198"/>
      <c r="BTZ8" s="198"/>
      <c r="BUA8" s="198"/>
      <c r="BUB8" s="198"/>
      <c r="BUC8" s="198"/>
      <c r="BUD8" s="198"/>
      <c r="BUE8" s="198"/>
      <c r="BUF8" s="198"/>
      <c r="BUG8" s="198"/>
      <c r="BUH8" s="198"/>
      <c r="BUI8" s="198"/>
      <c r="BUJ8" s="198"/>
      <c r="BUK8" s="198"/>
      <c r="BUL8" s="198"/>
      <c r="BUM8" s="198"/>
      <c r="BUN8" s="198"/>
      <c r="BUO8" s="198"/>
      <c r="BUP8" s="198"/>
      <c r="BUQ8" s="198"/>
      <c r="BUR8" s="198"/>
      <c r="BUS8" s="198"/>
      <c r="BUT8" s="198"/>
      <c r="BUU8" s="198"/>
      <c r="BUV8" s="198"/>
      <c r="BUW8" s="198"/>
      <c r="BUX8" s="198"/>
      <c r="BUY8" s="198"/>
      <c r="BUZ8" s="198"/>
      <c r="BVA8" s="198"/>
      <c r="BVB8" s="198"/>
      <c r="BVC8" s="198"/>
      <c r="BVD8" s="198"/>
      <c r="BVE8" s="198"/>
      <c r="BVF8" s="198"/>
      <c r="BVG8" s="198"/>
      <c r="BVH8" s="198"/>
      <c r="BVI8" s="198"/>
      <c r="BVJ8" s="198"/>
      <c r="BVK8" s="198"/>
      <c r="BVL8" s="198"/>
      <c r="BVM8" s="198"/>
      <c r="BVN8" s="198"/>
      <c r="BVO8" s="198"/>
      <c r="BVP8" s="198"/>
      <c r="BVQ8" s="198"/>
      <c r="BVR8" s="198"/>
      <c r="BVS8" s="198"/>
      <c r="BVT8" s="198"/>
      <c r="BVU8" s="198"/>
      <c r="BVV8" s="198"/>
      <c r="BVW8" s="198"/>
      <c r="BVX8" s="198"/>
      <c r="BVY8" s="198"/>
      <c r="BVZ8" s="198"/>
      <c r="BWA8" s="198"/>
      <c r="BWB8" s="198"/>
      <c r="BWC8" s="198"/>
      <c r="BWD8" s="198"/>
      <c r="BWE8" s="198"/>
      <c r="BWF8" s="198"/>
      <c r="BWG8" s="198"/>
      <c r="BWH8" s="198"/>
      <c r="BWI8" s="198"/>
      <c r="BWJ8" s="198"/>
      <c r="BWK8" s="198"/>
      <c r="BWL8" s="198"/>
      <c r="BWM8" s="198"/>
      <c r="BWN8" s="198"/>
      <c r="BWO8" s="198"/>
      <c r="BWP8" s="198"/>
      <c r="BWQ8" s="198"/>
      <c r="BWR8" s="198"/>
      <c r="BWS8" s="198"/>
      <c r="BWT8" s="198"/>
      <c r="BWU8" s="198"/>
      <c r="BWV8" s="198"/>
      <c r="BWW8" s="198"/>
      <c r="BWX8" s="198"/>
      <c r="BWY8" s="198"/>
      <c r="BWZ8" s="198"/>
      <c r="BXA8" s="198"/>
      <c r="BXB8" s="198"/>
      <c r="BXC8" s="198"/>
      <c r="BXD8" s="198"/>
      <c r="BXE8" s="198"/>
      <c r="BXF8" s="198"/>
      <c r="BXG8" s="198"/>
      <c r="BXH8" s="198"/>
      <c r="BXI8" s="198"/>
      <c r="BXJ8" s="198"/>
      <c r="BXK8" s="198"/>
      <c r="BXL8" s="198"/>
      <c r="BXM8" s="198"/>
      <c r="BXN8" s="198"/>
      <c r="BXO8" s="198"/>
      <c r="BXP8" s="198"/>
      <c r="BXQ8" s="198"/>
      <c r="BXR8" s="198"/>
      <c r="BXS8" s="198"/>
      <c r="BXT8" s="198"/>
      <c r="BXU8" s="198"/>
      <c r="BXV8" s="198"/>
      <c r="BXW8" s="198"/>
      <c r="BXX8" s="198"/>
      <c r="BXY8" s="198"/>
      <c r="BXZ8" s="198"/>
      <c r="BYA8" s="198"/>
      <c r="BYB8" s="198"/>
      <c r="BYC8" s="198"/>
      <c r="BYD8" s="198"/>
      <c r="BYE8" s="198"/>
      <c r="BYF8" s="198"/>
      <c r="BYG8" s="198"/>
    </row>
    <row r="9" spans="1:2009" s="101" customFormat="1" ht="12.75" customHeight="1" thickBot="1" x14ac:dyDescent="0.3">
      <c r="A9" s="98"/>
      <c r="B9" s="98"/>
      <c r="C9" s="165"/>
      <c r="D9" s="165"/>
      <c r="E9" s="165"/>
      <c r="F9" s="165"/>
      <c r="G9" s="672"/>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71</v>
      </c>
      <c r="B10" s="132"/>
      <c r="C10" s="166"/>
      <c r="D10" s="166"/>
      <c r="E10" s="167"/>
      <c r="F10" s="167"/>
      <c r="G10" s="673"/>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47</v>
      </c>
      <c r="C11" s="168"/>
      <c r="D11" s="168"/>
      <c r="E11" s="169"/>
      <c r="F11" s="169"/>
      <c r="G11" s="674">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335</v>
      </c>
      <c r="C12" s="168"/>
      <c r="D12" s="168"/>
      <c r="E12" s="169"/>
      <c r="F12" s="169"/>
      <c r="G12" s="674">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414</v>
      </c>
      <c r="C13" s="168">
        <v>19696.34</v>
      </c>
      <c r="D13" s="168">
        <v>11832.89</v>
      </c>
      <c r="E13" s="169"/>
      <c r="F13" s="169"/>
      <c r="G13" s="674">
        <f>ROUND(SUM(C13:F13),5)</f>
        <v>31529.23</v>
      </c>
      <c r="H13" s="94"/>
      <c r="I13" s="570"/>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03" customFormat="1" ht="24.95" customHeight="1" thickBot="1" x14ac:dyDescent="0.3">
      <c r="A14" s="200"/>
      <c r="B14" s="201" t="s">
        <v>142</v>
      </c>
      <c r="C14" s="202">
        <f>ROUND(SUM(C10:C13),5)</f>
        <v>19696.34</v>
      </c>
      <c r="D14" s="202">
        <f>SUM(D11:D13)</f>
        <v>11832.89</v>
      </c>
      <c r="E14" s="202"/>
      <c r="F14" s="202"/>
      <c r="G14" s="675">
        <f>ROUND(SUM(G10:G13),5)</f>
        <v>31529.23</v>
      </c>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c r="IW14" s="198"/>
      <c r="IX14" s="198"/>
      <c r="IY14" s="198"/>
      <c r="IZ14" s="198"/>
      <c r="JA14" s="198"/>
      <c r="JB14" s="198"/>
      <c r="JC14" s="198"/>
      <c r="JD14" s="198"/>
      <c r="JE14" s="198"/>
      <c r="JF14" s="198"/>
      <c r="JG14" s="198"/>
      <c r="JH14" s="198"/>
      <c r="JI14" s="198"/>
      <c r="JJ14" s="198"/>
      <c r="JK14" s="198"/>
      <c r="JL14" s="198"/>
      <c r="JM14" s="198"/>
      <c r="JN14" s="198"/>
      <c r="JO14" s="198"/>
      <c r="JP14" s="198"/>
      <c r="JQ14" s="198"/>
      <c r="JR14" s="198"/>
      <c r="JS14" s="198"/>
      <c r="JT14" s="198"/>
      <c r="JU14" s="198"/>
      <c r="JV14" s="198"/>
      <c r="JW14" s="198"/>
      <c r="JX14" s="198"/>
      <c r="JY14" s="198"/>
      <c r="JZ14" s="198"/>
      <c r="KA14" s="198"/>
      <c r="KB14" s="198"/>
      <c r="KC14" s="198"/>
      <c r="KD14" s="198"/>
      <c r="KE14" s="198"/>
      <c r="KF14" s="198"/>
      <c r="KG14" s="198"/>
      <c r="KH14" s="198"/>
      <c r="KI14" s="198"/>
      <c r="KJ14" s="198"/>
      <c r="KK14" s="198"/>
      <c r="KL14" s="198"/>
      <c r="KM14" s="198"/>
      <c r="KN14" s="198"/>
      <c r="KO14" s="198"/>
      <c r="KP14" s="198"/>
      <c r="KQ14" s="198"/>
      <c r="KR14" s="198"/>
      <c r="KS14" s="198"/>
      <c r="KT14" s="198"/>
      <c r="KU14" s="198"/>
      <c r="KV14" s="198"/>
      <c r="KW14" s="198"/>
      <c r="KX14" s="198"/>
      <c r="KY14" s="198"/>
      <c r="KZ14" s="198"/>
      <c r="LA14" s="198"/>
      <c r="LB14" s="198"/>
      <c r="LC14" s="198"/>
      <c r="LD14" s="198"/>
      <c r="LE14" s="198"/>
      <c r="LF14" s="198"/>
      <c r="LG14" s="198"/>
      <c r="LH14" s="198"/>
      <c r="LI14" s="198"/>
      <c r="LJ14" s="198"/>
      <c r="LK14" s="198"/>
      <c r="LL14" s="198"/>
      <c r="LM14" s="198"/>
      <c r="LN14" s="198"/>
      <c r="LO14" s="198"/>
      <c r="LP14" s="198"/>
      <c r="LQ14" s="198"/>
      <c r="LR14" s="198"/>
      <c r="LS14" s="198"/>
      <c r="LT14" s="198"/>
      <c r="LU14" s="198"/>
      <c r="LV14" s="198"/>
      <c r="LW14" s="198"/>
      <c r="LX14" s="198"/>
      <c r="LY14" s="198"/>
      <c r="LZ14" s="198"/>
      <c r="MA14" s="198"/>
      <c r="MB14" s="198"/>
      <c r="MC14" s="198"/>
      <c r="MD14" s="198"/>
      <c r="ME14" s="198"/>
      <c r="MF14" s="198"/>
      <c r="MG14" s="198"/>
      <c r="MH14" s="198"/>
      <c r="MI14" s="198"/>
      <c r="MJ14" s="198"/>
      <c r="MK14" s="198"/>
      <c r="ML14" s="198"/>
      <c r="MM14" s="198"/>
      <c r="MN14" s="198"/>
      <c r="MO14" s="198"/>
      <c r="MP14" s="198"/>
      <c r="MQ14" s="198"/>
      <c r="MR14" s="198"/>
      <c r="MS14" s="198"/>
      <c r="MT14" s="198"/>
      <c r="MU14" s="198"/>
      <c r="MV14" s="198"/>
      <c r="MW14" s="198"/>
      <c r="MX14" s="198"/>
      <c r="MY14" s="198"/>
      <c r="MZ14" s="198"/>
      <c r="NA14" s="198"/>
      <c r="NB14" s="198"/>
      <c r="NC14" s="198"/>
      <c r="ND14" s="198"/>
      <c r="NE14" s="198"/>
      <c r="NF14" s="198"/>
      <c r="NG14" s="198"/>
      <c r="NH14" s="198"/>
      <c r="NI14" s="198"/>
      <c r="NJ14" s="198"/>
      <c r="NK14" s="198"/>
      <c r="NL14" s="198"/>
      <c r="NM14" s="198"/>
      <c r="NN14" s="198"/>
      <c r="NO14" s="198"/>
      <c r="NP14" s="198"/>
      <c r="NQ14" s="198"/>
      <c r="NR14" s="198"/>
      <c r="NS14" s="198"/>
      <c r="NT14" s="198"/>
      <c r="NU14" s="198"/>
      <c r="NV14" s="198"/>
      <c r="NW14" s="198"/>
      <c r="NX14" s="198"/>
      <c r="NY14" s="198"/>
      <c r="NZ14" s="198"/>
      <c r="OA14" s="198"/>
      <c r="OB14" s="198"/>
      <c r="OC14" s="198"/>
      <c r="OD14" s="198"/>
      <c r="OE14" s="198"/>
      <c r="OF14" s="198"/>
      <c r="OG14" s="198"/>
      <c r="OH14" s="198"/>
      <c r="OI14" s="198"/>
      <c r="OJ14" s="198"/>
      <c r="OK14" s="198"/>
      <c r="OL14" s="198"/>
      <c r="OM14" s="198"/>
      <c r="ON14" s="198"/>
      <c r="OO14" s="198"/>
      <c r="OP14" s="198"/>
      <c r="OQ14" s="198"/>
      <c r="OR14" s="198"/>
      <c r="OS14" s="198"/>
      <c r="OT14" s="198"/>
      <c r="OU14" s="198"/>
      <c r="OV14" s="198"/>
      <c r="OW14" s="198"/>
      <c r="OX14" s="198"/>
      <c r="OY14" s="198"/>
      <c r="OZ14" s="198"/>
      <c r="PA14" s="198"/>
      <c r="PB14" s="198"/>
      <c r="PC14" s="198"/>
      <c r="PD14" s="198"/>
      <c r="PE14" s="198"/>
      <c r="PF14" s="198"/>
      <c r="PG14" s="198"/>
      <c r="PH14" s="198"/>
      <c r="PI14" s="198"/>
      <c r="PJ14" s="198"/>
      <c r="PK14" s="198"/>
      <c r="PL14" s="198"/>
      <c r="PM14" s="198"/>
      <c r="PN14" s="198"/>
      <c r="PO14" s="198"/>
      <c r="PP14" s="198"/>
      <c r="PQ14" s="198"/>
      <c r="PR14" s="198"/>
      <c r="PS14" s="198"/>
      <c r="PT14" s="198"/>
      <c r="PU14" s="198"/>
      <c r="PV14" s="198"/>
      <c r="PW14" s="198"/>
      <c r="PX14" s="198"/>
      <c r="PY14" s="198"/>
      <c r="PZ14" s="198"/>
      <c r="QA14" s="198"/>
      <c r="QB14" s="198"/>
      <c r="QC14" s="198"/>
      <c r="QD14" s="198"/>
      <c r="QE14" s="198"/>
      <c r="QF14" s="198"/>
      <c r="QG14" s="198"/>
      <c r="QH14" s="198"/>
      <c r="QI14" s="198"/>
      <c r="QJ14" s="198"/>
      <c r="QK14" s="198"/>
      <c r="QL14" s="198"/>
      <c r="QM14" s="198"/>
      <c r="QN14" s="198"/>
      <c r="QO14" s="198"/>
      <c r="QP14" s="198"/>
      <c r="QQ14" s="198"/>
      <c r="QR14" s="198"/>
      <c r="QS14" s="198"/>
      <c r="QT14" s="198"/>
      <c r="QU14" s="198"/>
      <c r="QV14" s="198"/>
      <c r="QW14" s="198"/>
      <c r="QX14" s="198"/>
      <c r="QY14" s="198"/>
      <c r="QZ14" s="198"/>
      <c r="RA14" s="198"/>
      <c r="RB14" s="198"/>
      <c r="RC14" s="198"/>
      <c r="RD14" s="198"/>
      <c r="RE14" s="198"/>
      <c r="RF14" s="198"/>
      <c r="RG14" s="198"/>
      <c r="RH14" s="198"/>
      <c r="RI14" s="198"/>
      <c r="RJ14" s="198"/>
      <c r="RK14" s="198"/>
      <c r="RL14" s="198"/>
      <c r="RM14" s="198"/>
      <c r="RN14" s="198"/>
      <c r="RO14" s="198"/>
      <c r="RP14" s="198"/>
      <c r="RQ14" s="198"/>
      <c r="RR14" s="198"/>
      <c r="RS14" s="198"/>
      <c r="RT14" s="198"/>
      <c r="RU14" s="198"/>
      <c r="RV14" s="198"/>
      <c r="RW14" s="198"/>
      <c r="RX14" s="198"/>
      <c r="RY14" s="198"/>
      <c r="RZ14" s="198"/>
      <c r="SA14" s="198"/>
      <c r="SB14" s="198"/>
      <c r="SC14" s="198"/>
      <c r="SD14" s="198"/>
      <c r="SE14" s="198"/>
      <c r="SF14" s="198"/>
      <c r="SG14" s="198"/>
      <c r="SH14" s="198"/>
      <c r="SI14" s="198"/>
      <c r="SJ14" s="198"/>
      <c r="SK14" s="198"/>
      <c r="SL14" s="198"/>
      <c r="SM14" s="198"/>
      <c r="SN14" s="198"/>
      <c r="SO14" s="198"/>
      <c r="SP14" s="198"/>
      <c r="SQ14" s="198"/>
      <c r="SR14" s="198"/>
      <c r="SS14" s="198"/>
      <c r="ST14" s="198"/>
      <c r="SU14" s="198"/>
      <c r="SV14" s="198"/>
      <c r="SW14" s="198"/>
      <c r="SX14" s="198"/>
      <c r="SY14" s="198"/>
      <c r="SZ14" s="198"/>
      <c r="TA14" s="198"/>
      <c r="TB14" s="198"/>
      <c r="TC14" s="198"/>
      <c r="TD14" s="198"/>
      <c r="TE14" s="198"/>
      <c r="TF14" s="198"/>
      <c r="TG14" s="198"/>
      <c r="TH14" s="198"/>
      <c r="TI14" s="198"/>
      <c r="TJ14" s="198"/>
      <c r="TK14" s="198"/>
      <c r="TL14" s="198"/>
      <c r="TM14" s="198"/>
      <c r="TN14" s="198"/>
      <c r="TO14" s="198"/>
      <c r="TP14" s="198"/>
      <c r="TQ14" s="198"/>
      <c r="TR14" s="198"/>
      <c r="TS14" s="198"/>
      <c r="TT14" s="198"/>
      <c r="TU14" s="198"/>
      <c r="TV14" s="198"/>
      <c r="TW14" s="198"/>
      <c r="TX14" s="198"/>
      <c r="TY14" s="198"/>
      <c r="TZ14" s="198"/>
      <c r="UA14" s="198"/>
      <c r="UB14" s="198"/>
      <c r="UC14" s="198"/>
      <c r="UD14" s="198"/>
      <c r="UE14" s="198"/>
      <c r="UF14" s="198"/>
      <c r="UG14" s="198"/>
      <c r="UH14" s="198"/>
      <c r="UI14" s="198"/>
      <c r="UJ14" s="198"/>
      <c r="UK14" s="198"/>
      <c r="UL14" s="198"/>
      <c r="UM14" s="198"/>
      <c r="UN14" s="198"/>
      <c r="UO14" s="198"/>
      <c r="UP14" s="198"/>
      <c r="UQ14" s="198"/>
      <c r="UR14" s="198"/>
      <c r="US14" s="198"/>
      <c r="UT14" s="198"/>
      <c r="UU14" s="198"/>
      <c r="UV14" s="198"/>
      <c r="UW14" s="198"/>
      <c r="UX14" s="198"/>
      <c r="UY14" s="198"/>
      <c r="UZ14" s="198"/>
      <c r="VA14" s="198"/>
      <c r="VB14" s="198"/>
      <c r="VC14" s="198"/>
      <c r="VD14" s="198"/>
      <c r="VE14" s="198"/>
      <c r="VF14" s="198"/>
      <c r="VG14" s="198"/>
      <c r="VH14" s="198"/>
      <c r="VI14" s="198"/>
      <c r="VJ14" s="198"/>
      <c r="VK14" s="198"/>
      <c r="VL14" s="198"/>
      <c r="VM14" s="198"/>
      <c r="VN14" s="198"/>
      <c r="VO14" s="198"/>
      <c r="VP14" s="198"/>
      <c r="VQ14" s="198"/>
      <c r="VR14" s="198"/>
      <c r="VS14" s="198"/>
      <c r="VT14" s="198"/>
      <c r="VU14" s="198"/>
      <c r="VV14" s="198"/>
      <c r="VW14" s="198"/>
      <c r="VX14" s="198"/>
      <c r="VY14" s="198"/>
      <c r="VZ14" s="198"/>
      <c r="WA14" s="198"/>
      <c r="WB14" s="198"/>
      <c r="WC14" s="198"/>
      <c r="WD14" s="198"/>
      <c r="WE14" s="198"/>
      <c r="WF14" s="198"/>
      <c r="WG14" s="198"/>
      <c r="WH14" s="198"/>
      <c r="WI14" s="198"/>
      <c r="WJ14" s="198"/>
      <c r="WK14" s="198"/>
      <c r="WL14" s="198"/>
      <c r="WM14" s="198"/>
      <c r="WN14" s="198"/>
      <c r="WO14" s="198"/>
      <c r="WP14" s="198"/>
      <c r="WQ14" s="198"/>
      <c r="WR14" s="198"/>
      <c r="WS14" s="198"/>
      <c r="WT14" s="198"/>
      <c r="WU14" s="198"/>
      <c r="WV14" s="198"/>
      <c r="WW14" s="198"/>
      <c r="WX14" s="198"/>
      <c r="WY14" s="198"/>
      <c r="WZ14" s="198"/>
      <c r="XA14" s="198"/>
      <c r="XB14" s="198"/>
      <c r="XC14" s="198"/>
      <c r="XD14" s="198"/>
      <c r="XE14" s="198"/>
      <c r="XF14" s="198"/>
      <c r="XG14" s="198"/>
      <c r="XH14" s="198"/>
      <c r="XI14" s="198"/>
      <c r="XJ14" s="198"/>
      <c r="XK14" s="198"/>
      <c r="XL14" s="198"/>
      <c r="XM14" s="198"/>
      <c r="XN14" s="198"/>
      <c r="XO14" s="198"/>
      <c r="XP14" s="198"/>
      <c r="XQ14" s="198"/>
      <c r="XR14" s="198"/>
      <c r="XS14" s="198"/>
      <c r="XT14" s="198"/>
      <c r="XU14" s="198"/>
      <c r="XV14" s="198"/>
      <c r="XW14" s="198"/>
      <c r="XX14" s="198"/>
      <c r="XY14" s="198"/>
      <c r="XZ14" s="198"/>
      <c r="YA14" s="198"/>
      <c r="YB14" s="198"/>
      <c r="YC14" s="198"/>
      <c r="YD14" s="198"/>
      <c r="YE14" s="198"/>
      <c r="YF14" s="198"/>
      <c r="YG14" s="198"/>
      <c r="YH14" s="198"/>
      <c r="YI14" s="198"/>
      <c r="YJ14" s="198"/>
      <c r="YK14" s="198"/>
      <c r="YL14" s="198"/>
      <c r="YM14" s="198"/>
      <c r="YN14" s="198"/>
      <c r="YO14" s="198"/>
      <c r="YP14" s="198"/>
      <c r="YQ14" s="198"/>
      <c r="YR14" s="198"/>
      <c r="YS14" s="198"/>
      <c r="YT14" s="198"/>
      <c r="YU14" s="198"/>
      <c r="YV14" s="198"/>
      <c r="YW14" s="198"/>
      <c r="YX14" s="198"/>
      <c r="YY14" s="198"/>
      <c r="YZ14" s="198"/>
      <c r="ZA14" s="198"/>
      <c r="ZB14" s="198"/>
      <c r="ZC14" s="198"/>
      <c r="ZD14" s="198"/>
      <c r="ZE14" s="198"/>
      <c r="ZF14" s="198"/>
      <c r="ZG14" s="198"/>
      <c r="ZH14" s="198"/>
      <c r="ZI14" s="198"/>
      <c r="ZJ14" s="198"/>
      <c r="ZK14" s="198"/>
      <c r="ZL14" s="198"/>
      <c r="ZM14" s="198"/>
      <c r="ZN14" s="198"/>
      <c r="ZO14" s="198"/>
      <c r="ZP14" s="198"/>
      <c r="ZQ14" s="198"/>
      <c r="ZR14" s="198"/>
      <c r="ZS14" s="198"/>
      <c r="ZT14" s="198"/>
      <c r="ZU14" s="198"/>
      <c r="ZV14" s="198"/>
      <c r="ZW14" s="198"/>
      <c r="ZX14" s="198"/>
      <c r="ZY14" s="198"/>
      <c r="ZZ14" s="198"/>
      <c r="AAA14" s="198"/>
      <c r="AAB14" s="198"/>
      <c r="AAC14" s="198"/>
      <c r="AAD14" s="198"/>
      <c r="AAE14" s="198"/>
      <c r="AAF14" s="198"/>
      <c r="AAG14" s="198"/>
      <c r="AAH14" s="198"/>
      <c r="AAI14" s="198"/>
      <c r="AAJ14" s="198"/>
      <c r="AAK14" s="198"/>
      <c r="AAL14" s="198"/>
      <c r="AAM14" s="198"/>
      <c r="AAN14" s="198"/>
      <c r="AAO14" s="198"/>
      <c r="AAP14" s="198"/>
      <c r="AAQ14" s="198"/>
      <c r="AAR14" s="198"/>
      <c r="AAS14" s="198"/>
      <c r="AAT14" s="198"/>
      <c r="AAU14" s="198"/>
      <c r="AAV14" s="198"/>
      <c r="AAW14" s="198"/>
      <c r="AAX14" s="198"/>
      <c r="AAY14" s="198"/>
      <c r="AAZ14" s="198"/>
      <c r="ABA14" s="198"/>
      <c r="ABB14" s="198"/>
      <c r="ABC14" s="198"/>
      <c r="ABD14" s="198"/>
      <c r="ABE14" s="198"/>
      <c r="ABF14" s="198"/>
      <c r="ABG14" s="198"/>
      <c r="ABH14" s="198"/>
      <c r="ABI14" s="198"/>
      <c r="ABJ14" s="198"/>
      <c r="ABK14" s="198"/>
      <c r="ABL14" s="198"/>
      <c r="ABM14" s="198"/>
      <c r="ABN14" s="198"/>
      <c r="ABO14" s="198"/>
      <c r="ABP14" s="198"/>
      <c r="ABQ14" s="198"/>
      <c r="ABR14" s="198"/>
      <c r="ABS14" s="198"/>
      <c r="ABT14" s="198"/>
      <c r="ABU14" s="198"/>
      <c r="ABV14" s="198"/>
      <c r="ABW14" s="198"/>
      <c r="ABX14" s="198"/>
      <c r="ABY14" s="198"/>
      <c r="ABZ14" s="198"/>
      <c r="ACA14" s="198"/>
      <c r="ACB14" s="198"/>
      <c r="ACC14" s="198"/>
      <c r="ACD14" s="198"/>
      <c r="ACE14" s="198"/>
      <c r="ACF14" s="198"/>
      <c r="ACG14" s="198"/>
      <c r="ACH14" s="198"/>
      <c r="ACI14" s="198"/>
      <c r="ACJ14" s="198"/>
      <c r="ACK14" s="198"/>
      <c r="ACL14" s="198"/>
      <c r="ACM14" s="198"/>
      <c r="ACN14" s="198"/>
      <c r="ACO14" s="198"/>
      <c r="ACP14" s="198"/>
      <c r="ACQ14" s="198"/>
      <c r="ACR14" s="198"/>
      <c r="ACS14" s="198"/>
      <c r="ACT14" s="198"/>
      <c r="ACU14" s="198"/>
      <c r="ACV14" s="198"/>
      <c r="ACW14" s="198"/>
      <c r="ACX14" s="198"/>
      <c r="ACY14" s="198"/>
      <c r="ACZ14" s="198"/>
      <c r="ADA14" s="198"/>
      <c r="ADB14" s="198"/>
      <c r="ADC14" s="198"/>
      <c r="ADD14" s="198"/>
      <c r="ADE14" s="198"/>
      <c r="ADF14" s="198"/>
      <c r="ADG14" s="198"/>
      <c r="ADH14" s="198"/>
      <c r="ADI14" s="198"/>
      <c r="ADJ14" s="198"/>
      <c r="ADK14" s="198"/>
      <c r="ADL14" s="198"/>
      <c r="ADM14" s="198"/>
      <c r="ADN14" s="198"/>
      <c r="ADO14" s="198"/>
      <c r="ADP14" s="198"/>
      <c r="ADQ14" s="198"/>
      <c r="ADR14" s="198"/>
      <c r="ADS14" s="198"/>
      <c r="ADT14" s="198"/>
      <c r="ADU14" s="198"/>
      <c r="ADV14" s="198"/>
      <c r="ADW14" s="198"/>
      <c r="ADX14" s="198"/>
      <c r="ADY14" s="198"/>
      <c r="ADZ14" s="198"/>
      <c r="AEA14" s="198"/>
      <c r="AEB14" s="198"/>
      <c r="AEC14" s="198"/>
      <c r="AED14" s="198"/>
      <c r="AEE14" s="198"/>
      <c r="AEF14" s="198"/>
      <c r="AEG14" s="198"/>
      <c r="AEH14" s="198"/>
      <c r="AEI14" s="198"/>
      <c r="AEJ14" s="198"/>
      <c r="AEK14" s="198"/>
      <c r="AEL14" s="198"/>
      <c r="AEM14" s="198"/>
      <c r="AEN14" s="198"/>
      <c r="AEO14" s="198"/>
      <c r="AEP14" s="198"/>
      <c r="AEQ14" s="198"/>
      <c r="AER14" s="198"/>
      <c r="AES14" s="198"/>
      <c r="AET14" s="198"/>
      <c r="AEU14" s="198"/>
      <c r="AEV14" s="198"/>
      <c r="AEW14" s="198"/>
      <c r="AEX14" s="198"/>
      <c r="AEY14" s="198"/>
      <c r="AEZ14" s="198"/>
      <c r="AFA14" s="198"/>
      <c r="AFB14" s="198"/>
      <c r="AFC14" s="198"/>
      <c r="AFD14" s="198"/>
      <c r="AFE14" s="198"/>
      <c r="AFF14" s="198"/>
      <c r="AFG14" s="198"/>
      <c r="AFH14" s="198"/>
      <c r="AFI14" s="198"/>
      <c r="AFJ14" s="198"/>
      <c r="AFK14" s="198"/>
      <c r="AFL14" s="198"/>
      <c r="AFM14" s="198"/>
      <c r="AFN14" s="198"/>
      <c r="AFO14" s="198"/>
      <c r="AFP14" s="198"/>
      <c r="AFQ14" s="198"/>
      <c r="AFR14" s="198"/>
      <c r="AFS14" s="198"/>
      <c r="AFT14" s="198"/>
      <c r="AFU14" s="198"/>
      <c r="AFV14" s="198"/>
      <c r="AFW14" s="198"/>
      <c r="AFX14" s="198"/>
      <c r="AFY14" s="198"/>
      <c r="AFZ14" s="198"/>
      <c r="AGA14" s="198"/>
      <c r="AGB14" s="198"/>
      <c r="AGC14" s="198"/>
      <c r="AGD14" s="198"/>
      <c r="AGE14" s="198"/>
      <c r="AGF14" s="198"/>
      <c r="AGG14" s="198"/>
      <c r="AGH14" s="198"/>
      <c r="AGI14" s="198"/>
      <c r="AGJ14" s="198"/>
      <c r="AGK14" s="198"/>
      <c r="AGL14" s="198"/>
      <c r="AGM14" s="198"/>
      <c r="AGN14" s="198"/>
      <c r="AGO14" s="198"/>
      <c r="AGP14" s="198"/>
      <c r="AGQ14" s="198"/>
      <c r="AGR14" s="198"/>
      <c r="AGS14" s="198"/>
      <c r="AGT14" s="198"/>
      <c r="AGU14" s="198"/>
      <c r="AGV14" s="198"/>
      <c r="AGW14" s="198"/>
      <c r="AGX14" s="198"/>
      <c r="AGY14" s="198"/>
      <c r="AGZ14" s="198"/>
      <c r="AHA14" s="198"/>
      <c r="AHB14" s="198"/>
      <c r="AHC14" s="198"/>
      <c r="AHD14" s="198"/>
      <c r="AHE14" s="198"/>
      <c r="AHF14" s="198"/>
      <c r="AHG14" s="198"/>
      <c r="AHH14" s="198"/>
      <c r="AHI14" s="198"/>
      <c r="AHJ14" s="198"/>
      <c r="AHK14" s="198"/>
      <c r="AHL14" s="198"/>
      <c r="AHM14" s="198"/>
      <c r="AHN14" s="198"/>
      <c r="AHO14" s="198"/>
      <c r="AHP14" s="198"/>
      <c r="AHQ14" s="198"/>
      <c r="AHR14" s="198"/>
      <c r="AHS14" s="198"/>
      <c r="AHT14" s="198"/>
      <c r="AHU14" s="198"/>
      <c r="AHV14" s="198"/>
      <c r="AHW14" s="198"/>
      <c r="AHX14" s="198"/>
      <c r="AHY14" s="198"/>
      <c r="AHZ14" s="198"/>
      <c r="AIA14" s="198"/>
      <c r="AIB14" s="198"/>
      <c r="AIC14" s="198"/>
      <c r="AID14" s="198"/>
      <c r="AIE14" s="198"/>
      <c r="AIF14" s="198"/>
      <c r="AIG14" s="198"/>
      <c r="AIH14" s="198"/>
      <c r="AII14" s="198"/>
      <c r="AIJ14" s="198"/>
      <c r="AIK14" s="198"/>
      <c r="AIL14" s="198"/>
      <c r="AIM14" s="198"/>
      <c r="AIN14" s="198"/>
      <c r="AIO14" s="198"/>
      <c r="AIP14" s="198"/>
      <c r="AIQ14" s="198"/>
      <c r="AIR14" s="198"/>
      <c r="AIS14" s="198"/>
      <c r="AIT14" s="198"/>
      <c r="AIU14" s="198"/>
      <c r="AIV14" s="198"/>
      <c r="AIW14" s="198"/>
      <c r="AIX14" s="198"/>
      <c r="AIY14" s="198"/>
      <c r="AIZ14" s="198"/>
      <c r="AJA14" s="198"/>
      <c r="AJB14" s="198"/>
      <c r="AJC14" s="198"/>
      <c r="AJD14" s="198"/>
      <c r="AJE14" s="198"/>
      <c r="AJF14" s="198"/>
      <c r="AJG14" s="198"/>
      <c r="AJH14" s="198"/>
      <c r="AJI14" s="198"/>
      <c r="AJJ14" s="198"/>
      <c r="AJK14" s="198"/>
      <c r="AJL14" s="198"/>
      <c r="AJM14" s="198"/>
      <c r="AJN14" s="198"/>
      <c r="AJO14" s="198"/>
      <c r="AJP14" s="198"/>
      <c r="AJQ14" s="198"/>
      <c r="AJR14" s="198"/>
      <c r="AJS14" s="198"/>
      <c r="AJT14" s="198"/>
      <c r="AJU14" s="198"/>
      <c r="AJV14" s="198"/>
      <c r="AJW14" s="198"/>
      <c r="AJX14" s="198"/>
      <c r="AJY14" s="198"/>
      <c r="AJZ14" s="198"/>
      <c r="AKA14" s="198"/>
      <c r="AKB14" s="198"/>
      <c r="AKC14" s="198"/>
      <c r="AKD14" s="198"/>
      <c r="AKE14" s="198"/>
      <c r="AKF14" s="198"/>
      <c r="AKG14" s="198"/>
      <c r="AKH14" s="198"/>
      <c r="AKI14" s="198"/>
      <c r="AKJ14" s="198"/>
      <c r="AKK14" s="198"/>
      <c r="AKL14" s="198"/>
      <c r="AKM14" s="198"/>
      <c r="AKN14" s="198"/>
      <c r="AKO14" s="198"/>
      <c r="AKP14" s="198"/>
      <c r="AKQ14" s="198"/>
      <c r="AKR14" s="198"/>
      <c r="AKS14" s="198"/>
      <c r="AKT14" s="198"/>
      <c r="AKU14" s="198"/>
      <c r="AKV14" s="198"/>
      <c r="AKW14" s="198"/>
      <c r="AKX14" s="198"/>
      <c r="AKY14" s="198"/>
      <c r="AKZ14" s="198"/>
      <c r="ALA14" s="198"/>
      <c r="ALB14" s="198"/>
      <c r="ALC14" s="198"/>
      <c r="ALD14" s="198"/>
      <c r="ALE14" s="198"/>
      <c r="ALF14" s="198"/>
      <c r="ALG14" s="198"/>
      <c r="ALH14" s="198"/>
      <c r="ALI14" s="198"/>
      <c r="ALJ14" s="198"/>
      <c r="ALK14" s="198"/>
      <c r="ALL14" s="198"/>
      <c r="ALM14" s="198"/>
      <c r="ALN14" s="198"/>
      <c r="ALO14" s="198"/>
      <c r="ALP14" s="198"/>
      <c r="ALQ14" s="198"/>
      <c r="ALR14" s="198"/>
      <c r="ALS14" s="198"/>
      <c r="ALT14" s="198"/>
      <c r="ALU14" s="198"/>
      <c r="ALV14" s="198"/>
      <c r="ALW14" s="198"/>
      <c r="ALX14" s="198"/>
      <c r="ALY14" s="198"/>
      <c r="ALZ14" s="198"/>
      <c r="AMA14" s="198"/>
      <c r="AMB14" s="198"/>
      <c r="AMC14" s="198"/>
      <c r="AMD14" s="198"/>
      <c r="AME14" s="198"/>
      <c r="AMF14" s="198"/>
      <c r="AMG14" s="198"/>
      <c r="AMH14" s="198"/>
      <c r="AMI14" s="198"/>
      <c r="AMJ14" s="198"/>
      <c r="AMK14" s="198"/>
      <c r="AML14" s="198"/>
      <c r="AMM14" s="198"/>
      <c r="AMN14" s="198"/>
      <c r="AMO14" s="198"/>
      <c r="AMP14" s="198"/>
      <c r="AMQ14" s="198"/>
      <c r="AMR14" s="198"/>
      <c r="AMS14" s="198"/>
      <c r="AMT14" s="198"/>
      <c r="AMU14" s="198"/>
      <c r="AMV14" s="198"/>
      <c r="AMW14" s="198"/>
      <c r="AMX14" s="198"/>
      <c r="AMY14" s="198"/>
      <c r="AMZ14" s="198"/>
      <c r="ANA14" s="198"/>
      <c r="ANB14" s="198"/>
      <c r="ANC14" s="198"/>
      <c r="AND14" s="198"/>
      <c r="ANE14" s="198"/>
      <c r="ANF14" s="198"/>
      <c r="ANG14" s="198"/>
      <c r="ANH14" s="198"/>
      <c r="ANI14" s="198"/>
      <c r="ANJ14" s="198"/>
      <c r="ANK14" s="198"/>
      <c r="ANL14" s="198"/>
      <c r="ANM14" s="198"/>
      <c r="ANN14" s="198"/>
      <c r="ANO14" s="198"/>
      <c r="ANP14" s="198"/>
      <c r="ANQ14" s="198"/>
      <c r="ANR14" s="198"/>
      <c r="ANS14" s="198"/>
      <c r="ANT14" s="198"/>
      <c r="ANU14" s="198"/>
      <c r="ANV14" s="198"/>
      <c r="ANW14" s="198"/>
      <c r="ANX14" s="198"/>
      <c r="ANY14" s="198"/>
      <c r="ANZ14" s="198"/>
      <c r="AOA14" s="198"/>
      <c r="AOB14" s="198"/>
      <c r="AOC14" s="198"/>
      <c r="AOD14" s="198"/>
      <c r="AOE14" s="198"/>
      <c r="AOF14" s="198"/>
      <c r="AOG14" s="198"/>
      <c r="AOH14" s="198"/>
      <c r="AOI14" s="198"/>
      <c r="AOJ14" s="198"/>
      <c r="AOK14" s="198"/>
      <c r="AOL14" s="198"/>
      <c r="AOM14" s="198"/>
      <c r="AON14" s="198"/>
      <c r="AOO14" s="198"/>
      <c r="AOP14" s="198"/>
      <c r="AOQ14" s="198"/>
      <c r="AOR14" s="198"/>
      <c r="AOS14" s="198"/>
      <c r="AOT14" s="198"/>
      <c r="AOU14" s="198"/>
      <c r="AOV14" s="198"/>
      <c r="AOW14" s="198"/>
      <c r="AOX14" s="198"/>
      <c r="AOY14" s="198"/>
      <c r="AOZ14" s="198"/>
      <c r="APA14" s="198"/>
      <c r="APB14" s="198"/>
      <c r="APC14" s="198"/>
      <c r="APD14" s="198"/>
      <c r="APE14" s="198"/>
      <c r="APF14" s="198"/>
      <c r="APG14" s="198"/>
      <c r="APH14" s="198"/>
      <c r="API14" s="198"/>
      <c r="APJ14" s="198"/>
      <c r="APK14" s="198"/>
      <c r="APL14" s="198"/>
      <c r="APM14" s="198"/>
      <c r="APN14" s="198"/>
      <c r="APO14" s="198"/>
      <c r="APP14" s="198"/>
      <c r="APQ14" s="198"/>
      <c r="APR14" s="198"/>
      <c r="APS14" s="198"/>
      <c r="APT14" s="198"/>
      <c r="APU14" s="198"/>
      <c r="APV14" s="198"/>
      <c r="APW14" s="198"/>
      <c r="APX14" s="198"/>
      <c r="APY14" s="198"/>
      <c r="APZ14" s="198"/>
      <c r="AQA14" s="198"/>
      <c r="AQB14" s="198"/>
      <c r="AQC14" s="198"/>
      <c r="AQD14" s="198"/>
      <c r="AQE14" s="198"/>
      <c r="AQF14" s="198"/>
      <c r="AQG14" s="198"/>
      <c r="AQH14" s="198"/>
      <c r="AQI14" s="198"/>
      <c r="AQJ14" s="198"/>
      <c r="AQK14" s="198"/>
      <c r="AQL14" s="198"/>
      <c r="AQM14" s="198"/>
      <c r="AQN14" s="198"/>
      <c r="AQO14" s="198"/>
      <c r="AQP14" s="198"/>
      <c r="AQQ14" s="198"/>
      <c r="AQR14" s="198"/>
      <c r="AQS14" s="198"/>
      <c r="AQT14" s="198"/>
      <c r="AQU14" s="198"/>
      <c r="AQV14" s="198"/>
      <c r="AQW14" s="198"/>
      <c r="AQX14" s="198"/>
      <c r="AQY14" s="198"/>
      <c r="AQZ14" s="198"/>
      <c r="ARA14" s="198"/>
      <c r="ARB14" s="198"/>
      <c r="ARC14" s="198"/>
      <c r="ARD14" s="198"/>
      <c r="ARE14" s="198"/>
      <c r="ARF14" s="198"/>
      <c r="ARG14" s="198"/>
      <c r="ARH14" s="198"/>
      <c r="ARI14" s="198"/>
      <c r="ARJ14" s="198"/>
      <c r="ARK14" s="198"/>
      <c r="ARL14" s="198"/>
      <c r="ARM14" s="198"/>
      <c r="ARN14" s="198"/>
      <c r="ARO14" s="198"/>
      <c r="ARP14" s="198"/>
      <c r="ARQ14" s="198"/>
      <c r="ARR14" s="198"/>
      <c r="ARS14" s="198"/>
      <c r="ART14" s="198"/>
      <c r="ARU14" s="198"/>
      <c r="ARV14" s="198"/>
      <c r="ARW14" s="198"/>
      <c r="ARX14" s="198"/>
      <c r="ARY14" s="198"/>
      <c r="ARZ14" s="198"/>
      <c r="ASA14" s="198"/>
      <c r="ASB14" s="198"/>
      <c r="ASC14" s="198"/>
      <c r="ASD14" s="198"/>
      <c r="ASE14" s="198"/>
      <c r="ASF14" s="198"/>
      <c r="ASG14" s="198"/>
      <c r="ASH14" s="198"/>
      <c r="ASI14" s="198"/>
      <c r="ASJ14" s="198"/>
      <c r="ASK14" s="198"/>
      <c r="ASL14" s="198"/>
      <c r="ASM14" s="198"/>
      <c r="ASN14" s="198"/>
      <c r="ASO14" s="198"/>
      <c r="ASP14" s="198"/>
      <c r="ASQ14" s="198"/>
      <c r="ASR14" s="198"/>
      <c r="ASS14" s="198"/>
      <c r="AST14" s="198"/>
      <c r="ASU14" s="198"/>
      <c r="ASV14" s="198"/>
      <c r="ASW14" s="198"/>
      <c r="ASX14" s="198"/>
      <c r="ASY14" s="198"/>
      <c r="ASZ14" s="198"/>
      <c r="ATA14" s="198"/>
      <c r="ATB14" s="198"/>
      <c r="ATC14" s="198"/>
      <c r="ATD14" s="198"/>
      <c r="ATE14" s="198"/>
      <c r="ATF14" s="198"/>
      <c r="ATG14" s="198"/>
      <c r="ATH14" s="198"/>
      <c r="ATI14" s="198"/>
      <c r="ATJ14" s="198"/>
      <c r="ATK14" s="198"/>
      <c r="ATL14" s="198"/>
      <c r="ATM14" s="198"/>
      <c r="ATN14" s="198"/>
      <c r="ATO14" s="198"/>
      <c r="ATP14" s="198"/>
      <c r="ATQ14" s="198"/>
      <c r="ATR14" s="198"/>
      <c r="ATS14" s="198"/>
      <c r="ATT14" s="198"/>
      <c r="ATU14" s="198"/>
      <c r="ATV14" s="198"/>
      <c r="ATW14" s="198"/>
      <c r="ATX14" s="198"/>
      <c r="ATY14" s="198"/>
      <c r="ATZ14" s="198"/>
      <c r="AUA14" s="198"/>
      <c r="AUB14" s="198"/>
      <c r="AUC14" s="198"/>
      <c r="AUD14" s="198"/>
      <c r="AUE14" s="198"/>
      <c r="AUF14" s="198"/>
      <c r="AUG14" s="198"/>
      <c r="AUH14" s="198"/>
      <c r="AUI14" s="198"/>
      <c r="AUJ14" s="198"/>
      <c r="AUK14" s="198"/>
      <c r="AUL14" s="198"/>
      <c r="AUM14" s="198"/>
      <c r="AUN14" s="198"/>
      <c r="AUO14" s="198"/>
      <c r="AUP14" s="198"/>
      <c r="AUQ14" s="198"/>
      <c r="AUR14" s="198"/>
      <c r="AUS14" s="198"/>
      <c r="AUT14" s="198"/>
      <c r="AUU14" s="198"/>
      <c r="AUV14" s="198"/>
      <c r="AUW14" s="198"/>
      <c r="AUX14" s="198"/>
      <c r="AUY14" s="198"/>
      <c r="AUZ14" s="198"/>
      <c r="AVA14" s="198"/>
      <c r="AVB14" s="198"/>
      <c r="AVC14" s="198"/>
      <c r="AVD14" s="198"/>
      <c r="AVE14" s="198"/>
      <c r="AVF14" s="198"/>
      <c r="AVG14" s="198"/>
      <c r="AVH14" s="198"/>
      <c r="AVI14" s="198"/>
      <c r="AVJ14" s="198"/>
      <c r="AVK14" s="198"/>
      <c r="AVL14" s="198"/>
      <c r="AVM14" s="198"/>
      <c r="AVN14" s="198"/>
      <c r="AVO14" s="198"/>
      <c r="AVP14" s="198"/>
      <c r="AVQ14" s="198"/>
      <c r="AVR14" s="198"/>
      <c r="AVS14" s="198"/>
      <c r="AVT14" s="198"/>
      <c r="AVU14" s="198"/>
      <c r="AVV14" s="198"/>
      <c r="AVW14" s="198"/>
      <c r="AVX14" s="198"/>
      <c r="AVY14" s="198"/>
      <c r="AVZ14" s="198"/>
      <c r="AWA14" s="198"/>
      <c r="AWB14" s="198"/>
      <c r="AWC14" s="198"/>
      <c r="AWD14" s="198"/>
      <c r="AWE14" s="198"/>
      <c r="AWF14" s="198"/>
      <c r="AWG14" s="198"/>
      <c r="AWH14" s="198"/>
      <c r="AWI14" s="198"/>
      <c r="AWJ14" s="198"/>
      <c r="AWK14" s="198"/>
      <c r="AWL14" s="198"/>
      <c r="AWM14" s="198"/>
      <c r="AWN14" s="198"/>
      <c r="AWO14" s="198"/>
      <c r="AWP14" s="198"/>
      <c r="AWQ14" s="198"/>
      <c r="AWR14" s="198"/>
      <c r="AWS14" s="198"/>
      <c r="AWT14" s="198"/>
      <c r="AWU14" s="198"/>
      <c r="AWV14" s="198"/>
      <c r="AWW14" s="198"/>
      <c r="AWX14" s="198"/>
      <c r="AWY14" s="198"/>
      <c r="AWZ14" s="198"/>
      <c r="AXA14" s="198"/>
      <c r="AXB14" s="198"/>
      <c r="AXC14" s="198"/>
      <c r="AXD14" s="198"/>
      <c r="AXE14" s="198"/>
      <c r="AXF14" s="198"/>
      <c r="AXG14" s="198"/>
      <c r="AXH14" s="198"/>
      <c r="AXI14" s="198"/>
      <c r="AXJ14" s="198"/>
      <c r="AXK14" s="198"/>
      <c r="AXL14" s="198"/>
      <c r="AXM14" s="198"/>
      <c r="AXN14" s="198"/>
      <c r="AXO14" s="198"/>
      <c r="AXP14" s="198"/>
      <c r="AXQ14" s="198"/>
      <c r="AXR14" s="198"/>
      <c r="AXS14" s="198"/>
      <c r="AXT14" s="198"/>
      <c r="AXU14" s="198"/>
      <c r="AXV14" s="198"/>
      <c r="AXW14" s="198"/>
      <c r="AXX14" s="198"/>
      <c r="AXY14" s="198"/>
      <c r="AXZ14" s="198"/>
      <c r="AYA14" s="198"/>
      <c r="AYB14" s="198"/>
      <c r="AYC14" s="198"/>
      <c r="AYD14" s="198"/>
      <c r="AYE14" s="198"/>
      <c r="AYF14" s="198"/>
      <c r="AYG14" s="198"/>
      <c r="AYH14" s="198"/>
      <c r="AYI14" s="198"/>
      <c r="AYJ14" s="198"/>
      <c r="AYK14" s="198"/>
      <c r="AYL14" s="198"/>
      <c r="AYM14" s="198"/>
      <c r="AYN14" s="198"/>
      <c r="AYO14" s="198"/>
      <c r="AYP14" s="198"/>
      <c r="AYQ14" s="198"/>
      <c r="AYR14" s="198"/>
      <c r="AYS14" s="198"/>
      <c r="AYT14" s="198"/>
      <c r="AYU14" s="198"/>
      <c r="AYV14" s="198"/>
      <c r="AYW14" s="198"/>
      <c r="AYX14" s="198"/>
      <c r="AYY14" s="198"/>
      <c r="AYZ14" s="198"/>
      <c r="AZA14" s="198"/>
      <c r="AZB14" s="198"/>
      <c r="AZC14" s="198"/>
      <c r="AZD14" s="198"/>
      <c r="AZE14" s="198"/>
      <c r="AZF14" s="198"/>
      <c r="AZG14" s="198"/>
      <c r="AZH14" s="198"/>
      <c r="AZI14" s="198"/>
      <c r="AZJ14" s="198"/>
      <c r="AZK14" s="198"/>
      <c r="AZL14" s="198"/>
      <c r="AZM14" s="198"/>
      <c r="AZN14" s="198"/>
      <c r="AZO14" s="198"/>
      <c r="AZP14" s="198"/>
      <c r="AZQ14" s="198"/>
      <c r="AZR14" s="198"/>
      <c r="AZS14" s="198"/>
      <c r="AZT14" s="198"/>
      <c r="AZU14" s="198"/>
      <c r="AZV14" s="198"/>
      <c r="AZW14" s="198"/>
      <c r="AZX14" s="198"/>
      <c r="AZY14" s="198"/>
      <c r="AZZ14" s="198"/>
      <c r="BAA14" s="198"/>
      <c r="BAB14" s="198"/>
      <c r="BAC14" s="198"/>
      <c r="BAD14" s="198"/>
      <c r="BAE14" s="198"/>
      <c r="BAF14" s="198"/>
      <c r="BAG14" s="198"/>
      <c r="BAH14" s="198"/>
      <c r="BAI14" s="198"/>
      <c r="BAJ14" s="198"/>
      <c r="BAK14" s="198"/>
      <c r="BAL14" s="198"/>
      <c r="BAM14" s="198"/>
      <c r="BAN14" s="198"/>
      <c r="BAO14" s="198"/>
      <c r="BAP14" s="198"/>
      <c r="BAQ14" s="198"/>
      <c r="BAR14" s="198"/>
      <c r="BAS14" s="198"/>
      <c r="BAT14" s="198"/>
      <c r="BAU14" s="198"/>
      <c r="BAV14" s="198"/>
      <c r="BAW14" s="198"/>
      <c r="BAX14" s="198"/>
      <c r="BAY14" s="198"/>
      <c r="BAZ14" s="198"/>
      <c r="BBA14" s="198"/>
      <c r="BBB14" s="198"/>
      <c r="BBC14" s="198"/>
      <c r="BBD14" s="198"/>
      <c r="BBE14" s="198"/>
      <c r="BBF14" s="198"/>
      <c r="BBG14" s="198"/>
      <c r="BBH14" s="198"/>
      <c r="BBI14" s="198"/>
      <c r="BBJ14" s="198"/>
      <c r="BBK14" s="198"/>
      <c r="BBL14" s="198"/>
      <c r="BBM14" s="198"/>
      <c r="BBN14" s="198"/>
      <c r="BBO14" s="198"/>
      <c r="BBP14" s="198"/>
      <c r="BBQ14" s="198"/>
      <c r="BBR14" s="198"/>
      <c r="BBS14" s="198"/>
      <c r="BBT14" s="198"/>
      <c r="BBU14" s="198"/>
      <c r="BBV14" s="198"/>
      <c r="BBW14" s="198"/>
      <c r="BBX14" s="198"/>
      <c r="BBY14" s="198"/>
      <c r="BBZ14" s="198"/>
      <c r="BCA14" s="198"/>
      <c r="BCB14" s="198"/>
      <c r="BCC14" s="198"/>
      <c r="BCD14" s="198"/>
      <c r="BCE14" s="198"/>
      <c r="BCF14" s="198"/>
      <c r="BCG14" s="198"/>
      <c r="BCH14" s="198"/>
      <c r="BCI14" s="198"/>
      <c r="BCJ14" s="198"/>
      <c r="BCK14" s="198"/>
      <c r="BCL14" s="198"/>
      <c r="BCM14" s="198"/>
      <c r="BCN14" s="198"/>
      <c r="BCO14" s="198"/>
      <c r="BCP14" s="198"/>
      <c r="BCQ14" s="198"/>
      <c r="BCR14" s="198"/>
      <c r="BCS14" s="198"/>
      <c r="BCT14" s="198"/>
      <c r="BCU14" s="198"/>
      <c r="BCV14" s="198"/>
      <c r="BCW14" s="198"/>
      <c r="BCX14" s="198"/>
      <c r="BCY14" s="198"/>
      <c r="BCZ14" s="198"/>
      <c r="BDA14" s="198"/>
      <c r="BDB14" s="198"/>
      <c r="BDC14" s="198"/>
      <c r="BDD14" s="198"/>
      <c r="BDE14" s="198"/>
      <c r="BDF14" s="198"/>
      <c r="BDG14" s="198"/>
      <c r="BDH14" s="198"/>
      <c r="BDI14" s="198"/>
      <c r="BDJ14" s="198"/>
      <c r="BDK14" s="198"/>
      <c r="BDL14" s="198"/>
      <c r="BDM14" s="198"/>
      <c r="BDN14" s="198"/>
      <c r="BDO14" s="198"/>
      <c r="BDP14" s="198"/>
      <c r="BDQ14" s="198"/>
      <c r="BDR14" s="198"/>
      <c r="BDS14" s="198"/>
      <c r="BDT14" s="198"/>
      <c r="BDU14" s="198"/>
      <c r="BDV14" s="198"/>
      <c r="BDW14" s="198"/>
      <c r="BDX14" s="198"/>
      <c r="BDY14" s="198"/>
      <c r="BDZ14" s="198"/>
      <c r="BEA14" s="198"/>
      <c r="BEB14" s="198"/>
      <c r="BEC14" s="198"/>
      <c r="BED14" s="198"/>
      <c r="BEE14" s="198"/>
      <c r="BEF14" s="198"/>
      <c r="BEG14" s="198"/>
      <c r="BEH14" s="198"/>
      <c r="BEI14" s="198"/>
      <c r="BEJ14" s="198"/>
      <c r="BEK14" s="198"/>
      <c r="BEL14" s="198"/>
      <c r="BEM14" s="198"/>
      <c r="BEN14" s="198"/>
      <c r="BEO14" s="198"/>
      <c r="BEP14" s="198"/>
      <c r="BEQ14" s="198"/>
      <c r="BER14" s="198"/>
      <c r="BES14" s="198"/>
      <c r="BET14" s="198"/>
      <c r="BEU14" s="198"/>
      <c r="BEV14" s="198"/>
      <c r="BEW14" s="198"/>
      <c r="BEX14" s="198"/>
      <c r="BEY14" s="198"/>
      <c r="BEZ14" s="198"/>
      <c r="BFA14" s="198"/>
      <c r="BFB14" s="198"/>
      <c r="BFC14" s="198"/>
      <c r="BFD14" s="198"/>
      <c r="BFE14" s="198"/>
      <c r="BFF14" s="198"/>
      <c r="BFG14" s="198"/>
      <c r="BFH14" s="198"/>
      <c r="BFI14" s="198"/>
      <c r="BFJ14" s="198"/>
      <c r="BFK14" s="198"/>
      <c r="BFL14" s="198"/>
      <c r="BFM14" s="198"/>
      <c r="BFN14" s="198"/>
      <c r="BFO14" s="198"/>
      <c r="BFP14" s="198"/>
      <c r="BFQ14" s="198"/>
      <c r="BFR14" s="198"/>
      <c r="BFS14" s="198"/>
      <c r="BFT14" s="198"/>
      <c r="BFU14" s="198"/>
      <c r="BFV14" s="198"/>
      <c r="BFW14" s="198"/>
      <c r="BFX14" s="198"/>
      <c r="BFY14" s="198"/>
      <c r="BFZ14" s="198"/>
      <c r="BGA14" s="198"/>
      <c r="BGB14" s="198"/>
      <c r="BGC14" s="198"/>
      <c r="BGD14" s="198"/>
      <c r="BGE14" s="198"/>
      <c r="BGF14" s="198"/>
      <c r="BGG14" s="198"/>
      <c r="BGH14" s="198"/>
      <c r="BGI14" s="198"/>
      <c r="BGJ14" s="198"/>
      <c r="BGK14" s="198"/>
      <c r="BGL14" s="198"/>
      <c r="BGM14" s="198"/>
      <c r="BGN14" s="198"/>
      <c r="BGO14" s="198"/>
      <c r="BGP14" s="198"/>
      <c r="BGQ14" s="198"/>
      <c r="BGR14" s="198"/>
      <c r="BGS14" s="198"/>
      <c r="BGT14" s="198"/>
      <c r="BGU14" s="198"/>
      <c r="BGV14" s="198"/>
      <c r="BGW14" s="198"/>
      <c r="BGX14" s="198"/>
      <c r="BGY14" s="198"/>
      <c r="BGZ14" s="198"/>
      <c r="BHA14" s="198"/>
      <c r="BHB14" s="198"/>
      <c r="BHC14" s="198"/>
      <c r="BHD14" s="198"/>
      <c r="BHE14" s="198"/>
      <c r="BHF14" s="198"/>
      <c r="BHG14" s="198"/>
      <c r="BHH14" s="198"/>
      <c r="BHI14" s="198"/>
      <c r="BHJ14" s="198"/>
      <c r="BHK14" s="198"/>
      <c r="BHL14" s="198"/>
      <c r="BHM14" s="198"/>
      <c r="BHN14" s="198"/>
      <c r="BHO14" s="198"/>
      <c r="BHP14" s="198"/>
      <c r="BHQ14" s="198"/>
      <c r="BHR14" s="198"/>
      <c r="BHS14" s="198"/>
      <c r="BHT14" s="198"/>
      <c r="BHU14" s="198"/>
      <c r="BHV14" s="198"/>
      <c r="BHW14" s="198"/>
      <c r="BHX14" s="198"/>
      <c r="BHY14" s="198"/>
      <c r="BHZ14" s="198"/>
      <c r="BIA14" s="198"/>
      <c r="BIB14" s="198"/>
      <c r="BIC14" s="198"/>
      <c r="BID14" s="198"/>
      <c r="BIE14" s="198"/>
      <c r="BIF14" s="198"/>
      <c r="BIG14" s="198"/>
      <c r="BIH14" s="198"/>
      <c r="BII14" s="198"/>
      <c r="BIJ14" s="198"/>
      <c r="BIK14" s="198"/>
      <c r="BIL14" s="198"/>
      <c r="BIM14" s="198"/>
      <c r="BIN14" s="198"/>
      <c r="BIO14" s="198"/>
      <c r="BIP14" s="198"/>
      <c r="BIQ14" s="198"/>
      <c r="BIR14" s="198"/>
      <c r="BIS14" s="198"/>
      <c r="BIT14" s="198"/>
      <c r="BIU14" s="198"/>
      <c r="BIV14" s="198"/>
      <c r="BIW14" s="198"/>
      <c r="BIX14" s="198"/>
      <c r="BIY14" s="198"/>
      <c r="BIZ14" s="198"/>
      <c r="BJA14" s="198"/>
      <c r="BJB14" s="198"/>
      <c r="BJC14" s="198"/>
      <c r="BJD14" s="198"/>
      <c r="BJE14" s="198"/>
      <c r="BJF14" s="198"/>
      <c r="BJG14" s="198"/>
      <c r="BJH14" s="198"/>
      <c r="BJI14" s="198"/>
      <c r="BJJ14" s="198"/>
      <c r="BJK14" s="198"/>
      <c r="BJL14" s="198"/>
      <c r="BJM14" s="198"/>
      <c r="BJN14" s="198"/>
      <c r="BJO14" s="198"/>
      <c r="BJP14" s="198"/>
      <c r="BJQ14" s="198"/>
      <c r="BJR14" s="198"/>
      <c r="BJS14" s="198"/>
      <c r="BJT14" s="198"/>
      <c r="BJU14" s="198"/>
      <c r="BJV14" s="198"/>
      <c r="BJW14" s="198"/>
      <c r="BJX14" s="198"/>
      <c r="BJY14" s="198"/>
      <c r="BJZ14" s="198"/>
      <c r="BKA14" s="198"/>
      <c r="BKB14" s="198"/>
      <c r="BKC14" s="198"/>
      <c r="BKD14" s="198"/>
      <c r="BKE14" s="198"/>
      <c r="BKF14" s="198"/>
      <c r="BKG14" s="198"/>
      <c r="BKH14" s="198"/>
      <c r="BKI14" s="198"/>
      <c r="BKJ14" s="198"/>
      <c r="BKK14" s="198"/>
      <c r="BKL14" s="198"/>
      <c r="BKM14" s="198"/>
      <c r="BKN14" s="198"/>
      <c r="BKO14" s="198"/>
      <c r="BKP14" s="198"/>
      <c r="BKQ14" s="198"/>
      <c r="BKR14" s="198"/>
      <c r="BKS14" s="198"/>
      <c r="BKT14" s="198"/>
      <c r="BKU14" s="198"/>
      <c r="BKV14" s="198"/>
      <c r="BKW14" s="198"/>
      <c r="BKX14" s="198"/>
      <c r="BKY14" s="198"/>
      <c r="BKZ14" s="198"/>
      <c r="BLA14" s="198"/>
      <c r="BLB14" s="198"/>
      <c r="BLC14" s="198"/>
      <c r="BLD14" s="198"/>
      <c r="BLE14" s="198"/>
      <c r="BLF14" s="198"/>
      <c r="BLG14" s="198"/>
      <c r="BLH14" s="198"/>
      <c r="BLI14" s="198"/>
      <c r="BLJ14" s="198"/>
      <c r="BLK14" s="198"/>
      <c r="BLL14" s="198"/>
      <c r="BLM14" s="198"/>
      <c r="BLN14" s="198"/>
      <c r="BLO14" s="198"/>
      <c r="BLP14" s="198"/>
      <c r="BLQ14" s="198"/>
      <c r="BLR14" s="198"/>
      <c r="BLS14" s="198"/>
      <c r="BLT14" s="198"/>
      <c r="BLU14" s="198"/>
      <c r="BLV14" s="198"/>
      <c r="BLW14" s="198"/>
      <c r="BLX14" s="198"/>
      <c r="BLY14" s="198"/>
      <c r="BLZ14" s="198"/>
      <c r="BMA14" s="198"/>
      <c r="BMB14" s="198"/>
      <c r="BMC14" s="198"/>
      <c r="BMD14" s="198"/>
      <c r="BME14" s="198"/>
      <c r="BMF14" s="198"/>
      <c r="BMG14" s="198"/>
      <c r="BMH14" s="198"/>
      <c r="BMI14" s="198"/>
      <c r="BMJ14" s="198"/>
      <c r="BMK14" s="198"/>
      <c r="BML14" s="198"/>
      <c r="BMM14" s="198"/>
      <c r="BMN14" s="198"/>
      <c r="BMO14" s="198"/>
      <c r="BMP14" s="198"/>
      <c r="BMQ14" s="198"/>
      <c r="BMR14" s="198"/>
      <c r="BMS14" s="198"/>
      <c r="BMT14" s="198"/>
      <c r="BMU14" s="198"/>
      <c r="BMV14" s="198"/>
      <c r="BMW14" s="198"/>
      <c r="BMX14" s="198"/>
      <c r="BMY14" s="198"/>
      <c r="BMZ14" s="198"/>
      <c r="BNA14" s="198"/>
      <c r="BNB14" s="198"/>
      <c r="BNC14" s="198"/>
      <c r="BND14" s="198"/>
      <c r="BNE14" s="198"/>
      <c r="BNF14" s="198"/>
      <c r="BNG14" s="198"/>
      <c r="BNH14" s="198"/>
      <c r="BNI14" s="198"/>
      <c r="BNJ14" s="198"/>
      <c r="BNK14" s="198"/>
      <c r="BNL14" s="198"/>
      <c r="BNM14" s="198"/>
      <c r="BNN14" s="198"/>
      <c r="BNO14" s="198"/>
      <c r="BNP14" s="198"/>
      <c r="BNQ14" s="198"/>
      <c r="BNR14" s="198"/>
      <c r="BNS14" s="198"/>
      <c r="BNT14" s="198"/>
      <c r="BNU14" s="198"/>
      <c r="BNV14" s="198"/>
      <c r="BNW14" s="198"/>
      <c r="BNX14" s="198"/>
      <c r="BNY14" s="198"/>
      <c r="BNZ14" s="198"/>
      <c r="BOA14" s="198"/>
      <c r="BOB14" s="198"/>
      <c r="BOC14" s="198"/>
      <c r="BOD14" s="198"/>
      <c r="BOE14" s="198"/>
      <c r="BOF14" s="198"/>
      <c r="BOG14" s="198"/>
      <c r="BOH14" s="198"/>
      <c r="BOI14" s="198"/>
      <c r="BOJ14" s="198"/>
      <c r="BOK14" s="198"/>
      <c r="BOL14" s="198"/>
      <c r="BOM14" s="198"/>
      <c r="BON14" s="198"/>
      <c r="BOO14" s="198"/>
      <c r="BOP14" s="198"/>
      <c r="BOQ14" s="198"/>
      <c r="BOR14" s="198"/>
      <c r="BOS14" s="198"/>
      <c r="BOT14" s="198"/>
      <c r="BOU14" s="198"/>
      <c r="BOV14" s="198"/>
      <c r="BOW14" s="198"/>
      <c r="BOX14" s="198"/>
      <c r="BOY14" s="198"/>
      <c r="BOZ14" s="198"/>
      <c r="BPA14" s="198"/>
      <c r="BPB14" s="198"/>
      <c r="BPC14" s="198"/>
      <c r="BPD14" s="198"/>
      <c r="BPE14" s="198"/>
      <c r="BPF14" s="198"/>
      <c r="BPG14" s="198"/>
      <c r="BPH14" s="198"/>
      <c r="BPI14" s="198"/>
      <c r="BPJ14" s="198"/>
      <c r="BPK14" s="198"/>
      <c r="BPL14" s="198"/>
      <c r="BPM14" s="198"/>
      <c r="BPN14" s="198"/>
      <c r="BPO14" s="198"/>
      <c r="BPP14" s="198"/>
      <c r="BPQ14" s="198"/>
      <c r="BPR14" s="198"/>
      <c r="BPS14" s="198"/>
      <c r="BPT14" s="198"/>
      <c r="BPU14" s="198"/>
      <c r="BPV14" s="198"/>
      <c r="BPW14" s="198"/>
      <c r="BPX14" s="198"/>
      <c r="BPY14" s="198"/>
      <c r="BPZ14" s="198"/>
      <c r="BQA14" s="198"/>
      <c r="BQB14" s="198"/>
      <c r="BQC14" s="198"/>
      <c r="BQD14" s="198"/>
      <c r="BQE14" s="198"/>
      <c r="BQF14" s="198"/>
      <c r="BQG14" s="198"/>
      <c r="BQH14" s="198"/>
      <c r="BQI14" s="198"/>
      <c r="BQJ14" s="198"/>
      <c r="BQK14" s="198"/>
      <c r="BQL14" s="198"/>
      <c r="BQM14" s="198"/>
      <c r="BQN14" s="198"/>
      <c r="BQO14" s="198"/>
      <c r="BQP14" s="198"/>
      <c r="BQQ14" s="198"/>
      <c r="BQR14" s="198"/>
      <c r="BQS14" s="198"/>
      <c r="BQT14" s="198"/>
      <c r="BQU14" s="198"/>
      <c r="BQV14" s="198"/>
      <c r="BQW14" s="198"/>
      <c r="BQX14" s="198"/>
      <c r="BQY14" s="198"/>
      <c r="BQZ14" s="198"/>
      <c r="BRA14" s="198"/>
      <c r="BRB14" s="198"/>
      <c r="BRC14" s="198"/>
      <c r="BRD14" s="198"/>
      <c r="BRE14" s="198"/>
      <c r="BRF14" s="198"/>
      <c r="BRG14" s="198"/>
      <c r="BRH14" s="198"/>
      <c r="BRI14" s="198"/>
      <c r="BRJ14" s="198"/>
      <c r="BRK14" s="198"/>
      <c r="BRL14" s="198"/>
      <c r="BRM14" s="198"/>
      <c r="BRN14" s="198"/>
      <c r="BRO14" s="198"/>
      <c r="BRP14" s="198"/>
      <c r="BRQ14" s="198"/>
      <c r="BRR14" s="198"/>
      <c r="BRS14" s="198"/>
      <c r="BRT14" s="198"/>
      <c r="BRU14" s="198"/>
      <c r="BRV14" s="198"/>
      <c r="BRW14" s="198"/>
      <c r="BRX14" s="198"/>
      <c r="BRY14" s="198"/>
      <c r="BRZ14" s="198"/>
      <c r="BSA14" s="198"/>
      <c r="BSB14" s="198"/>
      <c r="BSC14" s="198"/>
      <c r="BSD14" s="198"/>
      <c r="BSE14" s="198"/>
      <c r="BSF14" s="198"/>
      <c r="BSG14" s="198"/>
      <c r="BSH14" s="198"/>
      <c r="BSI14" s="198"/>
      <c r="BSJ14" s="198"/>
      <c r="BSK14" s="198"/>
      <c r="BSL14" s="198"/>
      <c r="BSM14" s="198"/>
      <c r="BSN14" s="198"/>
      <c r="BSO14" s="198"/>
      <c r="BSP14" s="198"/>
      <c r="BSQ14" s="198"/>
      <c r="BSR14" s="198"/>
      <c r="BSS14" s="198"/>
      <c r="BST14" s="198"/>
      <c r="BSU14" s="198"/>
      <c r="BSV14" s="198"/>
      <c r="BSW14" s="198"/>
      <c r="BSX14" s="198"/>
      <c r="BSY14" s="198"/>
      <c r="BSZ14" s="198"/>
      <c r="BTA14" s="198"/>
      <c r="BTB14" s="198"/>
      <c r="BTC14" s="198"/>
      <c r="BTD14" s="198"/>
      <c r="BTE14" s="198"/>
      <c r="BTF14" s="198"/>
      <c r="BTG14" s="198"/>
      <c r="BTH14" s="198"/>
      <c r="BTI14" s="198"/>
      <c r="BTJ14" s="198"/>
      <c r="BTK14" s="198"/>
      <c r="BTL14" s="198"/>
      <c r="BTM14" s="198"/>
      <c r="BTN14" s="198"/>
      <c r="BTO14" s="198"/>
      <c r="BTP14" s="198"/>
      <c r="BTQ14" s="198"/>
      <c r="BTR14" s="198"/>
      <c r="BTS14" s="198"/>
      <c r="BTT14" s="198"/>
      <c r="BTU14" s="198"/>
      <c r="BTV14" s="198"/>
      <c r="BTW14" s="198"/>
      <c r="BTX14" s="198"/>
      <c r="BTY14" s="198"/>
      <c r="BTZ14" s="198"/>
      <c r="BUA14" s="198"/>
      <c r="BUB14" s="198"/>
      <c r="BUC14" s="198"/>
      <c r="BUD14" s="198"/>
      <c r="BUE14" s="198"/>
      <c r="BUF14" s="198"/>
      <c r="BUG14" s="198"/>
      <c r="BUH14" s="198"/>
      <c r="BUI14" s="198"/>
      <c r="BUJ14" s="198"/>
      <c r="BUK14" s="198"/>
      <c r="BUL14" s="198"/>
      <c r="BUM14" s="198"/>
      <c r="BUN14" s="198"/>
      <c r="BUO14" s="198"/>
      <c r="BUP14" s="198"/>
      <c r="BUQ14" s="198"/>
      <c r="BUR14" s="198"/>
      <c r="BUS14" s="198"/>
      <c r="BUT14" s="198"/>
      <c r="BUU14" s="198"/>
      <c r="BUV14" s="198"/>
      <c r="BUW14" s="198"/>
      <c r="BUX14" s="198"/>
      <c r="BUY14" s="198"/>
      <c r="BUZ14" s="198"/>
      <c r="BVA14" s="198"/>
      <c r="BVB14" s="198"/>
      <c r="BVC14" s="198"/>
      <c r="BVD14" s="198"/>
      <c r="BVE14" s="198"/>
      <c r="BVF14" s="198"/>
      <c r="BVG14" s="198"/>
      <c r="BVH14" s="198"/>
      <c r="BVI14" s="198"/>
      <c r="BVJ14" s="198"/>
      <c r="BVK14" s="198"/>
      <c r="BVL14" s="198"/>
      <c r="BVM14" s="198"/>
      <c r="BVN14" s="198"/>
      <c r="BVO14" s="198"/>
      <c r="BVP14" s="198"/>
      <c r="BVQ14" s="198"/>
      <c r="BVR14" s="198"/>
      <c r="BVS14" s="198"/>
      <c r="BVT14" s="198"/>
      <c r="BVU14" s="198"/>
      <c r="BVV14" s="198"/>
      <c r="BVW14" s="198"/>
      <c r="BVX14" s="198"/>
      <c r="BVY14" s="198"/>
      <c r="BVZ14" s="198"/>
      <c r="BWA14" s="198"/>
      <c r="BWB14" s="198"/>
      <c r="BWC14" s="198"/>
      <c r="BWD14" s="198"/>
      <c r="BWE14" s="198"/>
      <c r="BWF14" s="198"/>
      <c r="BWG14" s="198"/>
      <c r="BWH14" s="198"/>
      <c r="BWI14" s="198"/>
      <c r="BWJ14" s="198"/>
      <c r="BWK14" s="198"/>
      <c r="BWL14" s="198"/>
      <c r="BWM14" s="198"/>
      <c r="BWN14" s="198"/>
      <c r="BWO14" s="198"/>
      <c r="BWP14" s="198"/>
      <c r="BWQ14" s="198"/>
      <c r="BWR14" s="198"/>
      <c r="BWS14" s="198"/>
      <c r="BWT14" s="198"/>
      <c r="BWU14" s="198"/>
      <c r="BWV14" s="198"/>
      <c r="BWW14" s="198"/>
      <c r="BWX14" s="198"/>
      <c r="BWY14" s="198"/>
      <c r="BWZ14" s="198"/>
      <c r="BXA14" s="198"/>
      <c r="BXB14" s="198"/>
      <c r="BXC14" s="198"/>
      <c r="BXD14" s="198"/>
      <c r="BXE14" s="198"/>
      <c r="BXF14" s="198"/>
      <c r="BXG14" s="198"/>
      <c r="BXH14" s="198"/>
      <c r="BXI14" s="198"/>
      <c r="BXJ14" s="198"/>
      <c r="BXK14" s="198"/>
      <c r="BXL14" s="198"/>
      <c r="BXM14" s="198"/>
      <c r="BXN14" s="198"/>
      <c r="BXO14" s="198"/>
      <c r="BXP14" s="198"/>
      <c r="BXQ14" s="198"/>
      <c r="BXR14" s="198"/>
      <c r="BXS14" s="198"/>
      <c r="BXT14" s="198"/>
      <c r="BXU14" s="198"/>
      <c r="BXV14" s="198"/>
      <c r="BXW14" s="198"/>
      <c r="BXX14" s="198"/>
      <c r="BXY14" s="198"/>
      <c r="BXZ14" s="198"/>
      <c r="BYA14" s="198"/>
      <c r="BYB14" s="198"/>
      <c r="BYC14" s="198"/>
      <c r="BYD14" s="198"/>
      <c r="BYE14" s="198"/>
      <c r="BYF14" s="198"/>
      <c r="BYG14" s="198"/>
    </row>
    <row r="15" spans="1:2009" s="101" customFormat="1" ht="12.75" customHeight="1" thickBot="1" x14ac:dyDescent="0.3">
      <c r="A15" s="98"/>
      <c r="B15" s="98"/>
      <c r="C15" s="170"/>
      <c r="D15" s="170"/>
      <c r="E15" s="170"/>
      <c r="F15" s="170"/>
      <c r="G15" s="676"/>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72</v>
      </c>
      <c r="B16" s="135"/>
      <c r="C16" s="172"/>
      <c r="D16" s="172"/>
      <c r="E16" s="173"/>
      <c r="F16" s="173"/>
      <c r="G16" s="677"/>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207</v>
      </c>
      <c r="C17" s="174"/>
      <c r="D17" s="174"/>
      <c r="E17" s="175"/>
      <c r="F17" s="175"/>
      <c r="G17" s="678">
        <f t="shared" ref="G17:G20" si="0">ROUND(SUM(C17:F17),5)</f>
        <v>0</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281</v>
      </c>
      <c r="C18" s="174"/>
      <c r="D18" s="174"/>
      <c r="E18" s="175"/>
      <c r="F18" s="175"/>
      <c r="G18" s="678">
        <f t="shared" si="0"/>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327</v>
      </c>
      <c r="C19" s="174"/>
      <c r="D19" s="174"/>
      <c r="E19" s="175"/>
      <c r="F19" s="175"/>
      <c r="G19" s="678"/>
      <c r="H19" s="94"/>
      <c r="I19" s="616"/>
      <c r="J19" s="94"/>
      <c r="K19" s="616"/>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282</v>
      </c>
      <c r="C20" s="174"/>
      <c r="D20" s="174"/>
      <c r="E20" s="175"/>
      <c r="F20" s="175"/>
      <c r="G20" s="678">
        <f t="shared" si="0"/>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328</v>
      </c>
      <c r="C21" s="174"/>
      <c r="D21" s="174"/>
      <c r="E21" s="175"/>
      <c r="F21" s="175"/>
      <c r="G21" s="678"/>
      <c r="H21" s="94"/>
      <c r="I21" s="616"/>
      <c r="J21" s="94"/>
      <c r="K21" s="616"/>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336</v>
      </c>
      <c r="C22" s="174"/>
      <c r="D22" s="174"/>
      <c r="E22" s="175"/>
      <c r="F22" s="175"/>
      <c r="G22" s="678"/>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09" customFormat="1" ht="24.95" hidden="1" customHeight="1" thickBot="1" x14ac:dyDescent="0.3">
      <c r="A23" s="204"/>
      <c r="B23" s="205" t="s">
        <v>73</v>
      </c>
      <c r="C23" s="206"/>
      <c r="D23" s="206"/>
      <c r="E23" s="206"/>
      <c r="F23" s="206"/>
      <c r="G23" s="679"/>
      <c r="H23" s="207"/>
      <c r="I23" s="207"/>
      <c r="J23" s="207"/>
      <c r="K23" s="431"/>
      <c r="L23"/>
      <c r="M23"/>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c r="JS23" s="208"/>
      <c r="JT23" s="208"/>
      <c r="JU23" s="208"/>
      <c r="JV23" s="208"/>
      <c r="JW23" s="208"/>
      <c r="JX23" s="208"/>
      <c r="JY23" s="208"/>
      <c r="JZ23" s="208"/>
      <c r="KA23" s="208"/>
      <c r="KB23" s="208"/>
      <c r="KC23" s="208"/>
      <c r="KD23" s="208"/>
      <c r="KE23" s="208"/>
      <c r="KF23" s="208"/>
      <c r="KG23" s="208"/>
      <c r="KH23" s="208"/>
      <c r="KI23" s="208"/>
      <c r="KJ23" s="208"/>
      <c r="KK23" s="208"/>
      <c r="KL23" s="208"/>
      <c r="KM23" s="208"/>
      <c r="KN23" s="208"/>
      <c r="KO23" s="208"/>
      <c r="KP23" s="208"/>
      <c r="KQ23" s="208"/>
      <c r="KR23" s="208"/>
      <c r="KS23" s="208"/>
      <c r="KT23" s="208"/>
      <c r="KU23" s="208"/>
      <c r="KV23" s="208"/>
      <c r="KW23" s="208"/>
      <c r="KX23" s="208"/>
      <c r="KY23" s="208"/>
      <c r="KZ23" s="208"/>
      <c r="LA23" s="208"/>
      <c r="LB23" s="208"/>
      <c r="LC23" s="208"/>
      <c r="LD23" s="208"/>
      <c r="LE23" s="208"/>
      <c r="LF23" s="208"/>
      <c r="LG23" s="208"/>
      <c r="LH23" s="208"/>
      <c r="LI23" s="208"/>
      <c r="LJ23" s="208"/>
      <c r="LK23" s="208"/>
      <c r="LL23" s="208"/>
      <c r="LM23" s="208"/>
      <c r="LN23" s="208"/>
      <c r="LO23" s="208"/>
      <c r="LP23" s="208"/>
      <c r="LQ23" s="208"/>
      <c r="LR23" s="208"/>
      <c r="LS23" s="208"/>
      <c r="LT23" s="208"/>
      <c r="LU23" s="208"/>
      <c r="LV23" s="208"/>
      <c r="LW23" s="208"/>
      <c r="LX23" s="208"/>
      <c r="LY23" s="208"/>
      <c r="LZ23" s="208"/>
      <c r="MA23" s="208"/>
      <c r="MB23" s="208"/>
      <c r="MC23" s="208"/>
      <c r="MD23" s="208"/>
      <c r="ME23" s="208"/>
      <c r="MF23" s="208"/>
      <c r="MG23" s="208"/>
      <c r="MH23" s="208"/>
      <c r="MI23" s="208"/>
      <c r="MJ23" s="208"/>
      <c r="MK23" s="208"/>
      <c r="ML23" s="208"/>
      <c r="MM23" s="208"/>
      <c r="MN23" s="208"/>
      <c r="MO23" s="208"/>
      <c r="MP23" s="208"/>
      <c r="MQ23" s="208"/>
      <c r="MR23" s="208"/>
      <c r="MS23" s="208"/>
      <c r="MT23" s="208"/>
      <c r="MU23" s="208"/>
      <c r="MV23" s="208"/>
      <c r="MW23" s="208"/>
      <c r="MX23" s="208"/>
      <c r="MY23" s="208"/>
      <c r="MZ23" s="208"/>
      <c r="NA23" s="208"/>
      <c r="NB23" s="208"/>
      <c r="NC23" s="208"/>
      <c r="ND23" s="208"/>
      <c r="NE23" s="208"/>
      <c r="NF23" s="208"/>
      <c r="NG23" s="208"/>
      <c r="NH23" s="208"/>
      <c r="NI23" s="208"/>
      <c r="NJ23" s="208"/>
      <c r="NK23" s="208"/>
      <c r="NL23" s="208"/>
      <c r="NM23" s="208"/>
      <c r="NN23" s="208"/>
      <c r="NO23" s="208"/>
      <c r="NP23" s="208"/>
      <c r="NQ23" s="208"/>
      <c r="NR23" s="208"/>
      <c r="NS23" s="208"/>
      <c r="NT23" s="208"/>
      <c r="NU23" s="208"/>
      <c r="NV23" s="208"/>
      <c r="NW23" s="208"/>
      <c r="NX23" s="208"/>
      <c r="NY23" s="208"/>
      <c r="NZ23" s="208"/>
      <c r="OA23" s="208"/>
      <c r="OB23" s="208"/>
      <c r="OC23" s="208"/>
      <c r="OD23" s="208"/>
      <c r="OE23" s="208"/>
      <c r="OF23" s="208"/>
      <c r="OG23" s="208"/>
      <c r="OH23" s="208"/>
      <c r="OI23" s="208"/>
      <c r="OJ23" s="208"/>
      <c r="OK23" s="208"/>
      <c r="OL23" s="208"/>
      <c r="OM23" s="208"/>
      <c r="ON23" s="208"/>
      <c r="OO23" s="208"/>
      <c r="OP23" s="208"/>
      <c r="OQ23" s="208"/>
      <c r="OR23" s="208"/>
      <c r="OS23" s="208"/>
      <c r="OT23" s="208"/>
      <c r="OU23" s="208"/>
      <c r="OV23" s="208"/>
      <c r="OW23" s="208"/>
      <c r="OX23" s="208"/>
      <c r="OY23" s="208"/>
      <c r="OZ23" s="208"/>
      <c r="PA23" s="208"/>
      <c r="PB23" s="208"/>
      <c r="PC23" s="208"/>
      <c r="PD23" s="208"/>
      <c r="PE23" s="208"/>
      <c r="PF23" s="208"/>
      <c r="PG23" s="208"/>
      <c r="PH23" s="208"/>
      <c r="PI23" s="208"/>
      <c r="PJ23" s="208"/>
      <c r="PK23" s="208"/>
      <c r="PL23" s="208"/>
      <c r="PM23" s="208"/>
      <c r="PN23" s="208"/>
      <c r="PO23" s="208"/>
      <c r="PP23" s="208"/>
      <c r="PQ23" s="208"/>
      <c r="PR23" s="208"/>
      <c r="PS23" s="208"/>
      <c r="PT23" s="208"/>
      <c r="PU23" s="208"/>
      <c r="PV23" s="208"/>
      <c r="PW23" s="208"/>
      <c r="PX23" s="208"/>
      <c r="PY23" s="208"/>
      <c r="PZ23" s="208"/>
      <c r="QA23" s="208"/>
      <c r="QB23" s="208"/>
      <c r="QC23" s="208"/>
      <c r="QD23" s="208"/>
      <c r="QE23" s="208"/>
      <c r="QF23" s="208"/>
      <c r="QG23" s="208"/>
      <c r="QH23" s="208"/>
      <c r="QI23" s="208"/>
      <c r="QJ23" s="208"/>
      <c r="QK23" s="208"/>
      <c r="QL23" s="208"/>
      <c r="QM23" s="208"/>
      <c r="QN23" s="208"/>
      <c r="QO23" s="208"/>
      <c r="QP23" s="208"/>
      <c r="QQ23" s="208"/>
      <c r="QR23" s="208"/>
      <c r="QS23" s="208"/>
      <c r="QT23" s="208"/>
      <c r="QU23" s="208"/>
      <c r="QV23" s="208"/>
      <c r="QW23" s="208"/>
      <c r="QX23" s="208"/>
      <c r="QY23" s="208"/>
      <c r="QZ23" s="208"/>
      <c r="RA23" s="208"/>
      <c r="RB23" s="208"/>
      <c r="RC23" s="208"/>
      <c r="RD23" s="208"/>
      <c r="RE23" s="208"/>
      <c r="RF23" s="208"/>
      <c r="RG23" s="208"/>
      <c r="RH23" s="208"/>
      <c r="RI23" s="208"/>
      <c r="RJ23" s="208"/>
      <c r="RK23" s="208"/>
      <c r="RL23" s="208"/>
      <c r="RM23" s="208"/>
      <c r="RN23" s="208"/>
      <c r="RO23" s="208"/>
      <c r="RP23" s="208"/>
      <c r="RQ23" s="208"/>
      <c r="RR23" s="208"/>
      <c r="RS23" s="208"/>
      <c r="RT23" s="208"/>
      <c r="RU23" s="208"/>
      <c r="RV23" s="208"/>
      <c r="RW23" s="208"/>
      <c r="RX23" s="208"/>
      <c r="RY23" s="208"/>
      <c r="RZ23" s="208"/>
      <c r="SA23" s="208"/>
      <c r="SB23" s="208"/>
      <c r="SC23" s="208"/>
      <c r="SD23" s="208"/>
      <c r="SE23" s="208"/>
      <c r="SF23" s="208"/>
      <c r="SG23" s="208"/>
      <c r="SH23" s="208"/>
      <c r="SI23" s="208"/>
      <c r="SJ23" s="208"/>
      <c r="SK23" s="208"/>
      <c r="SL23" s="208"/>
      <c r="SM23" s="208"/>
      <c r="SN23" s="208"/>
      <c r="SO23" s="208"/>
      <c r="SP23" s="208"/>
      <c r="SQ23" s="208"/>
      <c r="SR23" s="208"/>
      <c r="SS23" s="208"/>
      <c r="ST23" s="208"/>
      <c r="SU23" s="208"/>
      <c r="SV23" s="208"/>
      <c r="SW23" s="208"/>
      <c r="SX23" s="208"/>
      <c r="SY23" s="208"/>
      <c r="SZ23" s="208"/>
      <c r="TA23" s="208"/>
      <c r="TB23" s="208"/>
      <c r="TC23" s="208"/>
      <c r="TD23" s="208"/>
      <c r="TE23" s="208"/>
      <c r="TF23" s="208"/>
      <c r="TG23" s="208"/>
      <c r="TH23" s="208"/>
      <c r="TI23" s="208"/>
      <c r="TJ23" s="208"/>
      <c r="TK23" s="208"/>
      <c r="TL23" s="208"/>
      <c r="TM23" s="208"/>
      <c r="TN23" s="208"/>
      <c r="TO23" s="208"/>
      <c r="TP23" s="208"/>
      <c r="TQ23" s="208"/>
      <c r="TR23" s="208"/>
      <c r="TS23" s="208"/>
      <c r="TT23" s="208"/>
      <c r="TU23" s="208"/>
      <c r="TV23" s="208"/>
      <c r="TW23" s="208"/>
      <c r="TX23" s="208"/>
      <c r="TY23" s="208"/>
      <c r="TZ23" s="208"/>
      <c r="UA23" s="208"/>
      <c r="UB23" s="208"/>
      <c r="UC23" s="208"/>
      <c r="UD23" s="208"/>
      <c r="UE23" s="208"/>
      <c r="UF23" s="208"/>
      <c r="UG23" s="208"/>
      <c r="UH23" s="208"/>
      <c r="UI23" s="208"/>
      <c r="UJ23" s="208"/>
      <c r="UK23" s="208"/>
      <c r="UL23" s="208"/>
      <c r="UM23" s="208"/>
      <c r="UN23" s="208"/>
      <c r="UO23" s="208"/>
      <c r="UP23" s="208"/>
      <c r="UQ23" s="208"/>
      <c r="UR23" s="208"/>
      <c r="US23" s="208"/>
      <c r="UT23" s="208"/>
      <c r="UU23" s="208"/>
      <c r="UV23" s="208"/>
      <c r="UW23" s="208"/>
      <c r="UX23" s="208"/>
      <c r="UY23" s="208"/>
      <c r="UZ23" s="208"/>
      <c r="VA23" s="208"/>
      <c r="VB23" s="208"/>
      <c r="VC23" s="208"/>
      <c r="VD23" s="208"/>
      <c r="VE23" s="208"/>
      <c r="VF23" s="208"/>
      <c r="VG23" s="208"/>
      <c r="VH23" s="208"/>
      <c r="VI23" s="208"/>
      <c r="VJ23" s="208"/>
      <c r="VK23" s="208"/>
      <c r="VL23" s="208"/>
      <c r="VM23" s="208"/>
      <c r="VN23" s="208"/>
      <c r="VO23" s="208"/>
      <c r="VP23" s="208"/>
      <c r="VQ23" s="208"/>
      <c r="VR23" s="208"/>
      <c r="VS23" s="208"/>
      <c r="VT23" s="208"/>
      <c r="VU23" s="208"/>
      <c r="VV23" s="208"/>
      <c r="VW23" s="208"/>
      <c r="VX23" s="208"/>
      <c r="VY23" s="208"/>
      <c r="VZ23" s="208"/>
      <c r="WA23" s="208"/>
      <c r="WB23" s="208"/>
      <c r="WC23" s="208"/>
      <c r="WD23" s="208"/>
      <c r="WE23" s="208"/>
      <c r="WF23" s="208"/>
      <c r="WG23" s="208"/>
      <c r="WH23" s="208"/>
      <c r="WI23" s="208"/>
      <c r="WJ23" s="208"/>
      <c r="WK23" s="208"/>
      <c r="WL23" s="208"/>
      <c r="WM23" s="208"/>
      <c r="WN23" s="208"/>
      <c r="WO23" s="208"/>
      <c r="WP23" s="208"/>
      <c r="WQ23" s="208"/>
      <c r="WR23" s="208"/>
      <c r="WS23" s="208"/>
      <c r="WT23" s="208"/>
      <c r="WU23" s="208"/>
      <c r="WV23" s="208"/>
      <c r="WW23" s="208"/>
      <c r="WX23" s="208"/>
      <c r="WY23" s="208"/>
      <c r="WZ23" s="208"/>
      <c r="XA23" s="208"/>
      <c r="XB23" s="208"/>
      <c r="XC23" s="208"/>
      <c r="XD23" s="208"/>
      <c r="XE23" s="208"/>
      <c r="XF23" s="208"/>
      <c r="XG23" s="208"/>
      <c r="XH23" s="208"/>
      <c r="XI23" s="208"/>
      <c r="XJ23" s="208"/>
      <c r="XK23" s="208"/>
      <c r="XL23" s="208"/>
      <c r="XM23" s="208"/>
      <c r="XN23" s="208"/>
      <c r="XO23" s="208"/>
      <c r="XP23" s="208"/>
      <c r="XQ23" s="208"/>
      <c r="XR23" s="208"/>
      <c r="XS23" s="208"/>
      <c r="XT23" s="208"/>
      <c r="XU23" s="208"/>
      <c r="XV23" s="208"/>
      <c r="XW23" s="208"/>
      <c r="XX23" s="208"/>
      <c r="XY23" s="208"/>
      <c r="XZ23" s="208"/>
      <c r="YA23" s="208"/>
      <c r="YB23" s="208"/>
      <c r="YC23" s="208"/>
      <c r="YD23" s="208"/>
      <c r="YE23" s="208"/>
      <c r="YF23" s="208"/>
      <c r="YG23" s="208"/>
      <c r="YH23" s="208"/>
      <c r="YI23" s="208"/>
      <c r="YJ23" s="208"/>
      <c r="YK23" s="208"/>
      <c r="YL23" s="208"/>
      <c r="YM23" s="208"/>
      <c r="YN23" s="208"/>
      <c r="YO23" s="208"/>
      <c r="YP23" s="208"/>
      <c r="YQ23" s="208"/>
      <c r="YR23" s="208"/>
      <c r="YS23" s="208"/>
      <c r="YT23" s="208"/>
      <c r="YU23" s="208"/>
      <c r="YV23" s="208"/>
      <c r="YW23" s="208"/>
      <c r="YX23" s="208"/>
      <c r="YY23" s="208"/>
      <c r="YZ23" s="208"/>
      <c r="ZA23" s="208"/>
      <c r="ZB23" s="208"/>
      <c r="ZC23" s="208"/>
      <c r="ZD23" s="208"/>
      <c r="ZE23" s="208"/>
      <c r="ZF23" s="208"/>
      <c r="ZG23" s="208"/>
      <c r="ZH23" s="208"/>
      <c r="ZI23" s="208"/>
      <c r="ZJ23" s="208"/>
      <c r="ZK23" s="208"/>
      <c r="ZL23" s="208"/>
      <c r="ZM23" s="208"/>
      <c r="ZN23" s="208"/>
      <c r="ZO23" s="208"/>
      <c r="ZP23" s="208"/>
      <c r="ZQ23" s="208"/>
      <c r="ZR23" s="208"/>
      <c r="ZS23" s="208"/>
      <c r="ZT23" s="208"/>
      <c r="ZU23" s="208"/>
      <c r="ZV23" s="208"/>
      <c r="ZW23" s="208"/>
      <c r="ZX23" s="208"/>
      <c r="ZY23" s="208"/>
      <c r="ZZ23" s="208"/>
      <c r="AAA23" s="208"/>
      <c r="AAB23" s="208"/>
      <c r="AAC23" s="208"/>
      <c r="AAD23" s="208"/>
      <c r="AAE23" s="208"/>
      <c r="AAF23" s="208"/>
      <c r="AAG23" s="208"/>
      <c r="AAH23" s="208"/>
      <c r="AAI23" s="208"/>
      <c r="AAJ23" s="208"/>
      <c r="AAK23" s="208"/>
      <c r="AAL23" s="208"/>
      <c r="AAM23" s="208"/>
      <c r="AAN23" s="208"/>
      <c r="AAO23" s="208"/>
      <c r="AAP23" s="208"/>
      <c r="AAQ23" s="208"/>
      <c r="AAR23" s="208"/>
      <c r="AAS23" s="208"/>
      <c r="AAT23" s="208"/>
      <c r="AAU23" s="208"/>
      <c r="AAV23" s="208"/>
      <c r="AAW23" s="208"/>
      <c r="AAX23" s="208"/>
      <c r="AAY23" s="208"/>
      <c r="AAZ23" s="208"/>
      <c r="ABA23" s="208"/>
      <c r="ABB23" s="208"/>
      <c r="ABC23" s="208"/>
      <c r="ABD23" s="208"/>
      <c r="ABE23" s="208"/>
      <c r="ABF23" s="208"/>
      <c r="ABG23" s="208"/>
      <c r="ABH23" s="208"/>
      <c r="ABI23" s="208"/>
      <c r="ABJ23" s="208"/>
      <c r="ABK23" s="208"/>
      <c r="ABL23" s="208"/>
      <c r="ABM23" s="208"/>
      <c r="ABN23" s="208"/>
      <c r="ABO23" s="208"/>
      <c r="ABP23" s="208"/>
      <c r="ABQ23" s="208"/>
      <c r="ABR23" s="208"/>
      <c r="ABS23" s="208"/>
      <c r="ABT23" s="208"/>
      <c r="ABU23" s="208"/>
      <c r="ABV23" s="208"/>
      <c r="ABW23" s="208"/>
      <c r="ABX23" s="208"/>
      <c r="ABY23" s="208"/>
      <c r="ABZ23" s="208"/>
      <c r="ACA23" s="208"/>
      <c r="ACB23" s="208"/>
      <c r="ACC23" s="208"/>
      <c r="ACD23" s="208"/>
      <c r="ACE23" s="208"/>
      <c r="ACF23" s="208"/>
      <c r="ACG23" s="208"/>
      <c r="ACH23" s="208"/>
      <c r="ACI23" s="208"/>
      <c r="ACJ23" s="208"/>
      <c r="ACK23" s="208"/>
      <c r="ACL23" s="208"/>
      <c r="ACM23" s="208"/>
      <c r="ACN23" s="208"/>
      <c r="ACO23" s="208"/>
      <c r="ACP23" s="208"/>
      <c r="ACQ23" s="208"/>
      <c r="ACR23" s="208"/>
      <c r="ACS23" s="208"/>
      <c r="ACT23" s="208"/>
      <c r="ACU23" s="208"/>
      <c r="ACV23" s="208"/>
      <c r="ACW23" s="208"/>
      <c r="ACX23" s="208"/>
      <c r="ACY23" s="208"/>
      <c r="ACZ23" s="208"/>
      <c r="ADA23" s="208"/>
      <c r="ADB23" s="208"/>
      <c r="ADC23" s="208"/>
      <c r="ADD23" s="208"/>
      <c r="ADE23" s="208"/>
      <c r="ADF23" s="208"/>
      <c r="ADG23" s="208"/>
      <c r="ADH23" s="208"/>
      <c r="ADI23" s="208"/>
      <c r="ADJ23" s="208"/>
      <c r="ADK23" s="208"/>
      <c r="ADL23" s="208"/>
      <c r="ADM23" s="208"/>
      <c r="ADN23" s="208"/>
      <c r="ADO23" s="208"/>
      <c r="ADP23" s="208"/>
      <c r="ADQ23" s="208"/>
      <c r="ADR23" s="208"/>
      <c r="ADS23" s="208"/>
      <c r="ADT23" s="208"/>
      <c r="ADU23" s="208"/>
      <c r="ADV23" s="208"/>
      <c r="ADW23" s="208"/>
      <c r="ADX23" s="208"/>
      <c r="ADY23" s="208"/>
      <c r="ADZ23" s="208"/>
      <c r="AEA23" s="208"/>
      <c r="AEB23" s="208"/>
      <c r="AEC23" s="208"/>
      <c r="AED23" s="208"/>
      <c r="AEE23" s="208"/>
      <c r="AEF23" s="208"/>
      <c r="AEG23" s="208"/>
      <c r="AEH23" s="208"/>
      <c r="AEI23" s="208"/>
      <c r="AEJ23" s="208"/>
      <c r="AEK23" s="208"/>
      <c r="AEL23" s="208"/>
      <c r="AEM23" s="208"/>
      <c r="AEN23" s="208"/>
      <c r="AEO23" s="208"/>
      <c r="AEP23" s="208"/>
      <c r="AEQ23" s="208"/>
      <c r="AER23" s="208"/>
      <c r="AES23" s="208"/>
      <c r="AET23" s="208"/>
      <c r="AEU23" s="208"/>
      <c r="AEV23" s="208"/>
      <c r="AEW23" s="208"/>
      <c r="AEX23" s="208"/>
      <c r="AEY23" s="208"/>
      <c r="AEZ23" s="208"/>
      <c r="AFA23" s="208"/>
      <c r="AFB23" s="208"/>
      <c r="AFC23" s="208"/>
      <c r="AFD23" s="208"/>
      <c r="AFE23" s="208"/>
      <c r="AFF23" s="208"/>
      <c r="AFG23" s="208"/>
      <c r="AFH23" s="208"/>
      <c r="AFI23" s="208"/>
      <c r="AFJ23" s="208"/>
      <c r="AFK23" s="208"/>
      <c r="AFL23" s="208"/>
      <c r="AFM23" s="208"/>
      <c r="AFN23" s="208"/>
      <c r="AFO23" s="208"/>
      <c r="AFP23" s="208"/>
      <c r="AFQ23" s="208"/>
      <c r="AFR23" s="208"/>
      <c r="AFS23" s="208"/>
      <c r="AFT23" s="208"/>
      <c r="AFU23" s="208"/>
      <c r="AFV23" s="208"/>
      <c r="AFW23" s="208"/>
      <c r="AFX23" s="208"/>
      <c r="AFY23" s="208"/>
      <c r="AFZ23" s="208"/>
      <c r="AGA23" s="208"/>
      <c r="AGB23" s="208"/>
      <c r="AGC23" s="208"/>
      <c r="AGD23" s="208"/>
      <c r="AGE23" s="208"/>
      <c r="AGF23" s="208"/>
      <c r="AGG23" s="208"/>
      <c r="AGH23" s="208"/>
      <c r="AGI23" s="208"/>
      <c r="AGJ23" s="208"/>
      <c r="AGK23" s="208"/>
      <c r="AGL23" s="208"/>
      <c r="AGM23" s="208"/>
      <c r="AGN23" s="208"/>
      <c r="AGO23" s="208"/>
      <c r="AGP23" s="208"/>
      <c r="AGQ23" s="208"/>
      <c r="AGR23" s="208"/>
      <c r="AGS23" s="208"/>
      <c r="AGT23" s="208"/>
      <c r="AGU23" s="208"/>
      <c r="AGV23" s="208"/>
      <c r="AGW23" s="208"/>
      <c r="AGX23" s="208"/>
      <c r="AGY23" s="208"/>
      <c r="AGZ23" s="208"/>
      <c r="AHA23" s="208"/>
      <c r="AHB23" s="208"/>
      <c r="AHC23" s="208"/>
      <c r="AHD23" s="208"/>
      <c r="AHE23" s="208"/>
      <c r="AHF23" s="208"/>
      <c r="AHG23" s="208"/>
      <c r="AHH23" s="208"/>
      <c r="AHI23" s="208"/>
      <c r="AHJ23" s="208"/>
      <c r="AHK23" s="208"/>
      <c r="AHL23" s="208"/>
      <c r="AHM23" s="208"/>
      <c r="AHN23" s="208"/>
      <c r="AHO23" s="208"/>
      <c r="AHP23" s="208"/>
      <c r="AHQ23" s="208"/>
      <c r="AHR23" s="208"/>
      <c r="AHS23" s="208"/>
      <c r="AHT23" s="208"/>
      <c r="AHU23" s="208"/>
      <c r="AHV23" s="208"/>
      <c r="AHW23" s="208"/>
      <c r="AHX23" s="208"/>
      <c r="AHY23" s="208"/>
      <c r="AHZ23" s="208"/>
      <c r="AIA23" s="208"/>
      <c r="AIB23" s="208"/>
      <c r="AIC23" s="208"/>
      <c r="AID23" s="208"/>
      <c r="AIE23" s="208"/>
      <c r="AIF23" s="208"/>
      <c r="AIG23" s="208"/>
      <c r="AIH23" s="208"/>
      <c r="AII23" s="208"/>
      <c r="AIJ23" s="208"/>
      <c r="AIK23" s="208"/>
      <c r="AIL23" s="208"/>
      <c r="AIM23" s="208"/>
      <c r="AIN23" s="208"/>
      <c r="AIO23" s="208"/>
      <c r="AIP23" s="208"/>
      <c r="AIQ23" s="208"/>
      <c r="AIR23" s="208"/>
      <c r="AIS23" s="208"/>
      <c r="AIT23" s="208"/>
      <c r="AIU23" s="208"/>
      <c r="AIV23" s="208"/>
      <c r="AIW23" s="208"/>
      <c r="AIX23" s="208"/>
      <c r="AIY23" s="208"/>
      <c r="AIZ23" s="208"/>
      <c r="AJA23" s="208"/>
      <c r="AJB23" s="208"/>
      <c r="AJC23" s="208"/>
      <c r="AJD23" s="208"/>
      <c r="AJE23" s="208"/>
      <c r="AJF23" s="208"/>
      <c r="AJG23" s="208"/>
      <c r="AJH23" s="208"/>
      <c r="AJI23" s="208"/>
      <c r="AJJ23" s="208"/>
      <c r="AJK23" s="208"/>
      <c r="AJL23" s="208"/>
      <c r="AJM23" s="208"/>
      <c r="AJN23" s="208"/>
      <c r="AJO23" s="208"/>
      <c r="AJP23" s="208"/>
      <c r="AJQ23" s="208"/>
      <c r="AJR23" s="208"/>
      <c r="AJS23" s="208"/>
      <c r="AJT23" s="208"/>
      <c r="AJU23" s="208"/>
      <c r="AJV23" s="208"/>
      <c r="AJW23" s="208"/>
      <c r="AJX23" s="208"/>
      <c r="AJY23" s="208"/>
      <c r="AJZ23" s="208"/>
      <c r="AKA23" s="208"/>
      <c r="AKB23" s="208"/>
      <c r="AKC23" s="208"/>
      <c r="AKD23" s="208"/>
      <c r="AKE23" s="208"/>
      <c r="AKF23" s="208"/>
      <c r="AKG23" s="208"/>
      <c r="AKH23" s="208"/>
      <c r="AKI23" s="208"/>
      <c r="AKJ23" s="208"/>
      <c r="AKK23" s="208"/>
      <c r="AKL23" s="208"/>
      <c r="AKM23" s="208"/>
      <c r="AKN23" s="208"/>
      <c r="AKO23" s="208"/>
      <c r="AKP23" s="208"/>
      <c r="AKQ23" s="208"/>
      <c r="AKR23" s="208"/>
      <c r="AKS23" s="208"/>
      <c r="AKT23" s="208"/>
      <c r="AKU23" s="208"/>
      <c r="AKV23" s="208"/>
      <c r="AKW23" s="208"/>
      <c r="AKX23" s="208"/>
      <c r="AKY23" s="208"/>
      <c r="AKZ23" s="208"/>
      <c r="ALA23" s="208"/>
      <c r="ALB23" s="208"/>
      <c r="ALC23" s="208"/>
      <c r="ALD23" s="208"/>
      <c r="ALE23" s="208"/>
      <c r="ALF23" s="208"/>
      <c r="ALG23" s="208"/>
      <c r="ALH23" s="208"/>
      <c r="ALI23" s="208"/>
      <c r="ALJ23" s="208"/>
      <c r="ALK23" s="208"/>
      <c r="ALL23" s="208"/>
      <c r="ALM23" s="208"/>
      <c r="ALN23" s="208"/>
      <c r="ALO23" s="208"/>
      <c r="ALP23" s="208"/>
      <c r="ALQ23" s="208"/>
      <c r="ALR23" s="208"/>
      <c r="ALS23" s="208"/>
      <c r="ALT23" s="208"/>
      <c r="ALU23" s="208"/>
      <c r="ALV23" s="208"/>
      <c r="ALW23" s="208"/>
      <c r="ALX23" s="208"/>
      <c r="ALY23" s="208"/>
      <c r="ALZ23" s="208"/>
      <c r="AMA23" s="208"/>
      <c r="AMB23" s="208"/>
      <c r="AMC23" s="208"/>
      <c r="AMD23" s="208"/>
      <c r="AME23" s="208"/>
      <c r="AMF23" s="208"/>
      <c r="AMG23" s="208"/>
      <c r="AMH23" s="208"/>
      <c r="AMI23" s="208"/>
      <c r="AMJ23" s="208"/>
      <c r="AMK23" s="208"/>
      <c r="AML23" s="208"/>
      <c r="AMM23" s="208"/>
      <c r="AMN23" s="208"/>
      <c r="AMO23" s="208"/>
      <c r="AMP23" s="208"/>
      <c r="AMQ23" s="208"/>
      <c r="AMR23" s="208"/>
      <c r="AMS23" s="208"/>
      <c r="AMT23" s="208"/>
      <c r="AMU23" s="208"/>
      <c r="AMV23" s="208"/>
      <c r="AMW23" s="208"/>
      <c r="AMX23" s="208"/>
      <c r="AMY23" s="208"/>
      <c r="AMZ23" s="208"/>
      <c r="ANA23" s="208"/>
      <c r="ANB23" s="208"/>
      <c r="ANC23" s="208"/>
      <c r="AND23" s="208"/>
      <c r="ANE23" s="208"/>
      <c r="ANF23" s="208"/>
      <c r="ANG23" s="208"/>
      <c r="ANH23" s="208"/>
      <c r="ANI23" s="208"/>
      <c r="ANJ23" s="208"/>
      <c r="ANK23" s="208"/>
      <c r="ANL23" s="208"/>
      <c r="ANM23" s="208"/>
      <c r="ANN23" s="208"/>
      <c r="ANO23" s="208"/>
      <c r="ANP23" s="208"/>
      <c r="ANQ23" s="208"/>
      <c r="ANR23" s="208"/>
      <c r="ANS23" s="208"/>
      <c r="ANT23" s="208"/>
      <c r="ANU23" s="208"/>
      <c r="ANV23" s="208"/>
      <c r="ANW23" s="208"/>
      <c r="ANX23" s="208"/>
      <c r="ANY23" s="208"/>
      <c r="ANZ23" s="208"/>
      <c r="AOA23" s="208"/>
      <c r="AOB23" s="208"/>
      <c r="AOC23" s="208"/>
      <c r="AOD23" s="208"/>
      <c r="AOE23" s="208"/>
      <c r="AOF23" s="208"/>
      <c r="AOG23" s="208"/>
      <c r="AOH23" s="208"/>
      <c r="AOI23" s="208"/>
      <c r="AOJ23" s="208"/>
      <c r="AOK23" s="208"/>
      <c r="AOL23" s="208"/>
      <c r="AOM23" s="208"/>
      <c r="AON23" s="208"/>
      <c r="AOO23" s="208"/>
      <c r="AOP23" s="208"/>
      <c r="AOQ23" s="208"/>
      <c r="AOR23" s="208"/>
      <c r="AOS23" s="208"/>
      <c r="AOT23" s="208"/>
      <c r="AOU23" s="208"/>
      <c r="AOV23" s="208"/>
      <c r="AOW23" s="208"/>
      <c r="AOX23" s="208"/>
      <c r="AOY23" s="208"/>
      <c r="AOZ23" s="208"/>
      <c r="APA23" s="208"/>
      <c r="APB23" s="208"/>
      <c r="APC23" s="208"/>
      <c r="APD23" s="208"/>
      <c r="APE23" s="208"/>
      <c r="APF23" s="208"/>
      <c r="APG23" s="208"/>
      <c r="APH23" s="208"/>
      <c r="API23" s="208"/>
      <c r="APJ23" s="208"/>
      <c r="APK23" s="208"/>
      <c r="APL23" s="208"/>
      <c r="APM23" s="208"/>
      <c r="APN23" s="208"/>
      <c r="APO23" s="208"/>
      <c r="APP23" s="208"/>
      <c r="APQ23" s="208"/>
      <c r="APR23" s="208"/>
      <c r="APS23" s="208"/>
      <c r="APT23" s="208"/>
      <c r="APU23" s="208"/>
      <c r="APV23" s="208"/>
      <c r="APW23" s="208"/>
      <c r="APX23" s="208"/>
      <c r="APY23" s="208"/>
      <c r="APZ23" s="208"/>
      <c r="AQA23" s="208"/>
      <c r="AQB23" s="208"/>
      <c r="AQC23" s="208"/>
      <c r="AQD23" s="208"/>
      <c r="AQE23" s="208"/>
      <c r="AQF23" s="208"/>
      <c r="AQG23" s="208"/>
      <c r="AQH23" s="208"/>
      <c r="AQI23" s="208"/>
      <c r="AQJ23" s="208"/>
      <c r="AQK23" s="208"/>
      <c r="AQL23" s="208"/>
      <c r="AQM23" s="208"/>
      <c r="AQN23" s="208"/>
      <c r="AQO23" s="208"/>
      <c r="AQP23" s="208"/>
      <c r="AQQ23" s="208"/>
      <c r="AQR23" s="208"/>
      <c r="AQS23" s="208"/>
      <c r="AQT23" s="208"/>
      <c r="AQU23" s="208"/>
      <c r="AQV23" s="208"/>
      <c r="AQW23" s="208"/>
      <c r="AQX23" s="208"/>
      <c r="AQY23" s="208"/>
      <c r="AQZ23" s="208"/>
      <c r="ARA23" s="208"/>
      <c r="ARB23" s="208"/>
      <c r="ARC23" s="208"/>
      <c r="ARD23" s="208"/>
      <c r="ARE23" s="208"/>
      <c r="ARF23" s="208"/>
      <c r="ARG23" s="208"/>
      <c r="ARH23" s="208"/>
      <c r="ARI23" s="208"/>
      <c r="ARJ23" s="208"/>
      <c r="ARK23" s="208"/>
      <c r="ARL23" s="208"/>
      <c r="ARM23" s="208"/>
      <c r="ARN23" s="208"/>
      <c r="ARO23" s="208"/>
      <c r="ARP23" s="208"/>
      <c r="ARQ23" s="208"/>
      <c r="ARR23" s="208"/>
      <c r="ARS23" s="208"/>
      <c r="ART23" s="208"/>
      <c r="ARU23" s="208"/>
      <c r="ARV23" s="208"/>
      <c r="ARW23" s="208"/>
      <c r="ARX23" s="208"/>
      <c r="ARY23" s="208"/>
      <c r="ARZ23" s="208"/>
      <c r="ASA23" s="208"/>
      <c r="ASB23" s="208"/>
      <c r="ASC23" s="208"/>
      <c r="ASD23" s="208"/>
      <c r="ASE23" s="208"/>
      <c r="ASF23" s="208"/>
      <c r="ASG23" s="208"/>
      <c r="ASH23" s="208"/>
      <c r="ASI23" s="208"/>
      <c r="ASJ23" s="208"/>
      <c r="ASK23" s="208"/>
      <c r="ASL23" s="208"/>
      <c r="ASM23" s="208"/>
      <c r="ASN23" s="208"/>
      <c r="ASO23" s="208"/>
      <c r="ASP23" s="208"/>
      <c r="ASQ23" s="208"/>
      <c r="ASR23" s="208"/>
      <c r="ASS23" s="208"/>
      <c r="AST23" s="208"/>
      <c r="ASU23" s="208"/>
      <c r="ASV23" s="208"/>
      <c r="ASW23" s="208"/>
      <c r="ASX23" s="208"/>
      <c r="ASY23" s="208"/>
      <c r="ASZ23" s="208"/>
      <c r="ATA23" s="208"/>
      <c r="ATB23" s="208"/>
      <c r="ATC23" s="208"/>
      <c r="ATD23" s="208"/>
      <c r="ATE23" s="208"/>
      <c r="ATF23" s="208"/>
      <c r="ATG23" s="208"/>
      <c r="ATH23" s="208"/>
      <c r="ATI23" s="208"/>
      <c r="ATJ23" s="208"/>
      <c r="ATK23" s="208"/>
      <c r="ATL23" s="208"/>
      <c r="ATM23" s="208"/>
      <c r="ATN23" s="208"/>
      <c r="ATO23" s="208"/>
      <c r="ATP23" s="208"/>
      <c r="ATQ23" s="208"/>
      <c r="ATR23" s="208"/>
      <c r="ATS23" s="208"/>
      <c r="ATT23" s="208"/>
      <c r="ATU23" s="208"/>
      <c r="ATV23" s="208"/>
      <c r="ATW23" s="208"/>
      <c r="ATX23" s="208"/>
      <c r="ATY23" s="208"/>
      <c r="ATZ23" s="208"/>
      <c r="AUA23" s="208"/>
      <c r="AUB23" s="208"/>
      <c r="AUC23" s="208"/>
      <c r="AUD23" s="208"/>
      <c r="AUE23" s="208"/>
      <c r="AUF23" s="208"/>
      <c r="AUG23" s="208"/>
      <c r="AUH23" s="208"/>
      <c r="AUI23" s="208"/>
      <c r="AUJ23" s="208"/>
      <c r="AUK23" s="208"/>
      <c r="AUL23" s="208"/>
      <c r="AUM23" s="208"/>
      <c r="AUN23" s="208"/>
      <c r="AUO23" s="208"/>
      <c r="AUP23" s="208"/>
      <c r="AUQ23" s="208"/>
      <c r="AUR23" s="208"/>
      <c r="AUS23" s="208"/>
      <c r="AUT23" s="208"/>
      <c r="AUU23" s="208"/>
      <c r="AUV23" s="208"/>
      <c r="AUW23" s="208"/>
      <c r="AUX23" s="208"/>
      <c r="AUY23" s="208"/>
      <c r="AUZ23" s="208"/>
      <c r="AVA23" s="208"/>
      <c r="AVB23" s="208"/>
      <c r="AVC23" s="208"/>
      <c r="AVD23" s="208"/>
      <c r="AVE23" s="208"/>
      <c r="AVF23" s="208"/>
      <c r="AVG23" s="208"/>
      <c r="AVH23" s="208"/>
      <c r="AVI23" s="208"/>
      <c r="AVJ23" s="208"/>
      <c r="AVK23" s="208"/>
      <c r="AVL23" s="208"/>
      <c r="AVM23" s="208"/>
      <c r="AVN23" s="208"/>
      <c r="AVO23" s="208"/>
      <c r="AVP23" s="208"/>
      <c r="AVQ23" s="208"/>
      <c r="AVR23" s="208"/>
      <c r="AVS23" s="208"/>
      <c r="AVT23" s="208"/>
      <c r="AVU23" s="208"/>
      <c r="AVV23" s="208"/>
      <c r="AVW23" s="208"/>
      <c r="AVX23" s="208"/>
      <c r="AVY23" s="208"/>
      <c r="AVZ23" s="208"/>
      <c r="AWA23" s="208"/>
      <c r="AWB23" s="208"/>
      <c r="AWC23" s="208"/>
      <c r="AWD23" s="208"/>
      <c r="AWE23" s="208"/>
      <c r="AWF23" s="208"/>
      <c r="AWG23" s="208"/>
      <c r="AWH23" s="208"/>
      <c r="AWI23" s="208"/>
      <c r="AWJ23" s="208"/>
      <c r="AWK23" s="208"/>
      <c r="AWL23" s="208"/>
      <c r="AWM23" s="208"/>
      <c r="AWN23" s="208"/>
      <c r="AWO23" s="208"/>
      <c r="AWP23" s="208"/>
      <c r="AWQ23" s="208"/>
      <c r="AWR23" s="208"/>
      <c r="AWS23" s="208"/>
      <c r="AWT23" s="208"/>
      <c r="AWU23" s="208"/>
      <c r="AWV23" s="208"/>
      <c r="AWW23" s="208"/>
      <c r="AWX23" s="208"/>
      <c r="AWY23" s="208"/>
      <c r="AWZ23" s="208"/>
      <c r="AXA23" s="208"/>
      <c r="AXB23" s="208"/>
      <c r="AXC23" s="208"/>
      <c r="AXD23" s="208"/>
      <c r="AXE23" s="208"/>
      <c r="AXF23" s="208"/>
      <c r="AXG23" s="208"/>
      <c r="AXH23" s="208"/>
      <c r="AXI23" s="208"/>
      <c r="AXJ23" s="208"/>
      <c r="AXK23" s="208"/>
      <c r="AXL23" s="208"/>
      <c r="AXM23" s="208"/>
      <c r="AXN23" s="208"/>
      <c r="AXO23" s="208"/>
      <c r="AXP23" s="208"/>
      <c r="AXQ23" s="208"/>
      <c r="AXR23" s="208"/>
      <c r="AXS23" s="208"/>
      <c r="AXT23" s="208"/>
      <c r="AXU23" s="208"/>
      <c r="AXV23" s="208"/>
      <c r="AXW23" s="208"/>
      <c r="AXX23" s="208"/>
      <c r="AXY23" s="208"/>
      <c r="AXZ23" s="208"/>
      <c r="AYA23" s="208"/>
      <c r="AYB23" s="208"/>
      <c r="AYC23" s="208"/>
      <c r="AYD23" s="208"/>
      <c r="AYE23" s="208"/>
      <c r="AYF23" s="208"/>
      <c r="AYG23" s="208"/>
      <c r="AYH23" s="208"/>
      <c r="AYI23" s="208"/>
      <c r="AYJ23" s="208"/>
      <c r="AYK23" s="208"/>
      <c r="AYL23" s="208"/>
      <c r="AYM23" s="208"/>
      <c r="AYN23" s="208"/>
      <c r="AYO23" s="208"/>
      <c r="AYP23" s="208"/>
      <c r="AYQ23" s="208"/>
      <c r="AYR23" s="208"/>
      <c r="AYS23" s="208"/>
      <c r="AYT23" s="208"/>
      <c r="AYU23" s="208"/>
      <c r="AYV23" s="208"/>
      <c r="AYW23" s="208"/>
      <c r="AYX23" s="208"/>
      <c r="AYY23" s="208"/>
      <c r="AYZ23" s="208"/>
      <c r="AZA23" s="208"/>
      <c r="AZB23" s="208"/>
      <c r="AZC23" s="208"/>
      <c r="AZD23" s="208"/>
      <c r="AZE23" s="208"/>
      <c r="AZF23" s="208"/>
      <c r="AZG23" s="208"/>
      <c r="AZH23" s="208"/>
      <c r="AZI23" s="208"/>
      <c r="AZJ23" s="208"/>
      <c r="AZK23" s="208"/>
      <c r="AZL23" s="208"/>
      <c r="AZM23" s="208"/>
      <c r="AZN23" s="208"/>
      <c r="AZO23" s="208"/>
      <c r="AZP23" s="208"/>
      <c r="AZQ23" s="208"/>
      <c r="AZR23" s="208"/>
      <c r="AZS23" s="208"/>
      <c r="AZT23" s="208"/>
      <c r="AZU23" s="208"/>
      <c r="AZV23" s="208"/>
      <c r="AZW23" s="208"/>
      <c r="AZX23" s="208"/>
      <c r="AZY23" s="208"/>
      <c r="AZZ23" s="208"/>
      <c r="BAA23" s="208"/>
      <c r="BAB23" s="208"/>
      <c r="BAC23" s="208"/>
      <c r="BAD23" s="208"/>
      <c r="BAE23" s="208"/>
      <c r="BAF23" s="208"/>
      <c r="BAG23" s="208"/>
      <c r="BAH23" s="208"/>
      <c r="BAI23" s="208"/>
      <c r="BAJ23" s="208"/>
      <c r="BAK23" s="208"/>
      <c r="BAL23" s="208"/>
      <c r="BAM23" s="208"/>
      <c r="BAN23" s="208"/>
      <c r="BAO23" s="208"/>
      <c r="BAP23" s="208"/>
      <c r="BAQ23" s="208"/>
      <c r="BAR23" s="208"/>
      <c r="BAS23" s="208"/>
      <c r="BAT23" s="208"/>
      <c r="BAU23" s="208"/>
      <c r="BAV23" s="208"/>
      <c r="BAW23" s="208"/>
      <c r="BAX23" s="208"/>
      <c r="BAY23" s="208"/>
      <c r="BAZ23" s="208"/>
      <c r="BBA23" s="208"/>
      <c r="BBB23" s="208"/>
      <c r="BBC23" s="208"/>
      <c r="BBD23" s="208"/>
      <c r="BBE23" s="208"/>
      <c r="BBF23" s="208"/>
      <c r="BBG23" s="208"/>
      <c r="BBH23" s="208"/>
      <c r="BBI23" s="208"/>
      <c r="BBJ23" s="208"/>
      <c r="BBK23" s="208"/>
      <c r="BBL23" s="208"/>
      <c r="BBM23" s="208"/>
      <c r="BBN23" s="208"/>
      <c r="BBO23" s="208"/>
      <c r="BBP23" s="208"/>
      <c r="BBQ23" s="208"/>
      <c r="BBR23" s="208"/>
      <c r="BBS23" s="208"/>
      <c r="BBT23" s="208"/>
      <c r="BBU23" s="208"/>
      <c r="BBV23" s="208"/>
      <c r="BBW23" s="208"/>
      <c r="BBX23" s="208"/>
      <c r="BBY23" s="208"/>
      <c r="BBZ23" s="208"/>
      <c r="BCA23" s="208"/>
      <c r="BCB23" s="208"/>
      <c r="BCC23" s="208"/>
      <c r="BCD23" s="208"/>
      <c r="BCE23" s="208"/>
      <c r="BCF23" s="208"/>
      <c r="BCG23" s="208"/>
      <c r="BCH23" s="208"/>
      <c r="BCI23" s="208"/>
      <c r="BCJ23" s="208"/>
      <c r="BCK23" s="208"/>
      <c r="BCL23" s="208"/>
      <c r="BCM23" s="208"/>
      <c r="BCN23" s="208"/>
      <c r="BCO23" s="208"/>
      <c r="BCP23" s="208"/>
      <c r="BCQ23" s="208"/>
      <c r="BCR23" s="208"/>
      <c r="BCS23" s="208"/>
      <c r="BCT23" s="208"/>
      <c r="BCU23" s="208"/>
      <c r="BCV23" s="208"/>
      <c r="BCW23" s="208"/>
      <c r="BCX23" s="208"/>
      <c r="BCY23" s="208"/>
      <c r="BCZ23" s="208"/>
      <c r="BDA23" s="208"/>
      <c r="BDB23" s="208"/>
      <c r="BDC23" s="208"/>
      <c r="BDD23" s="208"/>
      <c r="BDE23" s="208"/>
      <c r="BDF23" s="208"/>
      <c r="BDG23" s="208"/>
      <c r="BDH23" s="208"/>
      <c r="BDI23" s="208"/>
      <c r="BDJ23" s="208"/>
      <c r="BDK23" s="208"/>
      <c r="BDL23" s="208"/>
      <c r="BDM23" s="208"/>
      <c r="BDN23" s="208"/>
      <c r="BDO23" s="208"/>
      <c r="BDP23" s="208"/>
      <c r="BDQ23" s="208"/>
      <c r="BDR23" s="208"/>
      <c r="BDS23" s="208"/>
      <c r="BDT23" s="208"/>
      <c r="BDU23" s="208"/>
      <c r="BDV23" s="208"/>
      <c r="BDW23" s="208"/>
      <c r="BDX23" s="208"/>
      <c r="BDY23" s="208"/>
      <c r="BDZ23" s="208"/>
      <c r="BEA23" s="208"/>
      <c r="BEB23" s="208"/>
      <c r="BEC23" s="208"/>
      <c r="BED23" s="208"/>
      <c r="BEE23" s="208"/>
      <c r="BEF23" s="208"/>
      <c r="BEG23" s="208"/>
      <c r="BEH23" s="208"/>
      <c r="BEI23" s="208"/>
      <c r="BEJ23" s="208"/>
      <c r="BEK23" s="208"/>
      <c r="BEL23" s="208"/>
      <c r="BEM23" s="208"/>
      <c r="BEN23" s="208"/>
      <c r="BEO23" s="208"/>
      <c r="BEP23" s="208"/>
      <c r="BEQ23" s="208"/>
      <c r="BER23" s="208"/>
      <c r="BES23" s="208"/>
      <c r="BET23" s="208"/>
      <c r="BEU23" s="208"/>
      <c r="BEV23" s="208"/>
      <c r="BEW23" s="208"/>
      <c r="BEX23" s="208"/>
      <c r="BEY23" s="208"/>
      <c r="BEZ23" s="208"/>
      <c r="BFA23" s="208"/>
      <c r="BFB23" s="208"/>
      <c r="BFC23" s="208"/>
      <c r="BFD23" s="208"/>
      <c r="BFE23" s="208"/>
      <c r="BFF23" s="208"/>
      <c r="BFG23" s="208"/>
      <c r="BFH23" s="208"/>
      <c r="BFI23" s="208"/>
      <c r="BFJ23" s="208"/>
      <c r="BFK23" s="208"/>
      <c r="BFL23" s="208"/>
      <c r="BFM23" s="208"/>
      <c r="BFN23" s="208"/>
      <c r="BFO23" s="208"/>
      <c r="BFP23" s="208"/>
      <c r="BFQ23" s="208"/>
      <c r="BFR23" s="208"/>
      <c r="BFS23" s="208"/>
      <c r="BFT23" s="208"/>
      <c r="BFU23" s="208"/>
      <c r="BFV23" s="208"/>
      <c r="BFW23" s="208"/>
      <c r="BFX23" s="208"/>
      <c r="BFY23" s="208"/>
      <c r="BFZ23" s="208"/>
      <c r="BGA23" s="208"/>
      <c r="BGB23" s="208"/>
      <c r="BGC23" s="208"/>
      <c r="BGD23" s="208"/>
      <c r="BGE23" s="208"/>
      <c r="BGF23" s="208"/>
      <c r="BGG23" s="208"/>
      <c r="BGH23" s="208"/>
      <c r="BGI23" s="208"/>
      <c r="BGJ23" s="208"/>
      <c r="BGK23" s="208"/>
      <c r="BGL23" s="208"/>
      <c r="BGM23" s="208"/>
      <c r="BGN23" s="208"/>
      <c r="BGO23" s="208"/>
      <c r="BGP23" s="208"/>
      <c r="BGQ23" s="208"/>
      <c r="BGR23" s="208"/>
      <c r="BGS23" s="208"/>
      <c r="BGT23" s="208"/>
      <c r="BGU23" s="208"/>
      <c r="BGV23" s="208"/>
      <c r="BGW23" s="208"/>
      <c r="BGX23" s="208"/>
      <c r="BGY23" s="208"/>
      <c r="BGZ23" s="208"/>
      <c r="BHA23" s="208"/>
      <c r="BHB23" s="208"/>
      <c r="BHC23" s="208"/>
      <c r="BHD23" s="208"/>
      <c r="BHE23" s="208"/>
      <c r="BHF23" s="208"/>
      <c r="BHG23" s="208"/>
      <c r="BHH23" s="208"/>
      <c r="BHI23" s="208"/>
      <c r="BHJ23" s="208"/>
      <c r="BHK23" s="208"/>
      <c r="BHL23" s="208"/>
      <c r="BHM23" s="208"/>
      <c r="BHN23" s="208"/>
      <c r="BHO23" s="208"/>
      <c r="BHP23" s="208"/>
      <c r="BHQ23" s="208"/>
      <c r="BHR23" s="208"/>
      <c r="BHS23" s="208"/>
      <c r="BHT23" s="208"/>
      <c r="BHU23" s="208"/>
      <c r="BHV23" s="208"/>
      <c r="BHW23" s="208"/>
      <c r="BHX23" s="208"/>
      <c r="BHY23" s="208"/>
      <c r="BHZ23" s="208"/>
      <c r="BIA23" s="208"/>
      <c r="BIB23" s="208"/>
      <c r="BIC23" s="208"/>
      <c r="BID23" s="208"/>
      <c r="BIE23" s="208"/>
      <c r="BIF23" s="208"/>
      <c r="BIG23" s="208"/>
      <c r="BIH23" s="208"/>
      <c r="BII23" s="208"/>
      <c r="BIJ23" s="208"/>
      <c r="BIK23" s="208"/>
      <c r="BIL23" s="208"/>
      <c r="BIM23" s="208"/>
      <c r="BIN23" s="208"/>
      <c r="BIO23" s="208"/>
      <c r="BIP23" s="208"/>
      <c r="BIQ23" s="208"/>
      <c r="BIR23" s="208"/>
      <c r="BIS23" s="208"/>
      <c r="BIT23" s="208"/>
      <c r="BIU23" s="208"/>
      <c r="BIV23" s="208"/>
      <c r="BIW23" s="208"/>
      <c r="BIX23" s="208"/>
      <c r="BIY23" s="208"/>
      <c r="BIZ23" s="208"/>
      <c r="BJA23" s="208"/>
      <c r="BJB23" s="208"/>
      <c r="BJC23" s="208"/>
      <c r="BJD23" s="208"/>
      <c r="BJE23" s="208"/>
      <c r="BJF23" s="208"/>
      <c r="BJG23" s="208"/>
      <c r="BJH23" s="208"/>
      <c r="BJI23" s="208"/>
      <c r="BJJ23" s="208"/>
      <c r="BJK23" s="208"/>
      <c r="BJL23" s="208"/>
      <c r="BJM23" s="208"/>
      <c r="BJN23" s="208"/>
      <c r="BJO23" s="208"/>
      <c r="BJP23" s="208"/>
      <c r="BJQ23" s="208"/>
      <c r="BJR23" s="208"/>
      <c r="BJS23" s="208"/>
      <c r="BJT23" s="208"/>
      <c r="BJU23" s="208"/>
      <c r="BJV23" s="208"/>
      <c r="BJW23" s="208"/>
      <c r="BJX23" s="208"/>
      <c r="BJY23" s="208"/>
      <c r="BJZ23" s="208"/>
      <c r="BKA23" s="208"/>
      <c r="BKB23" s="208"/>
      <c r="BKC23" s="208"/>
      <c r="BKD23" s="208"/>
      <c r="BKE23" s="208"/>
      <c r="BKF23" s="208"/>
      <c r="BKG23" s="208"/>
      <c r="BKH23" s="208"/>
      <c r="BKI23" s="208"/>
      <c r="BKJ23" s="208"/>
      <c r="BKK23" s="208"/>
      <c r="BKL23" s="208"/>
      <c r="BKM23" s="208"/>
      <c r="BKN23" s="208"/>
      <c r="BKO23" s="208"/>
      <c r="BKP23" s="208"/>
      <c r="BKQ23" s="208"/>
      <c r="BKR23" s="208"/>
      <c r="BKS23" s="208"/>
      <c r="BKT23" s="208"/>
      <c r="BKU23" s="208"/>
      <c r="BKV23" s="208"/>
      <c r="BKW23" s="208"/>
      <c r="BKX23" s="208"/>
      <c r="BKY23" s="208"/>
      <c r="BKZ23" s="208"/>
      <c r="BLA23" s="208"/>
      <c r="BLB23" s="208"/>
      <c r="BLC23" s="208"/>
      <c r="BLD23" s="208"/>
      <c r="BLE23" s="208"/>
      <c r="BLF23" s="208"/>
      <c r="BLG23" s="208"/>
      <c r="BLH23" s="208"/>
      <c r="BLI23" s="208"/>
      <c r="BLJ23" s="208"/>
      <c r="BLK23" s="208"/>
      <c r="BLL23" s="208"/>
      <c r="BLM23" s="208"/>
      <c r="BLN23" s="208"/>
      <c r="BLO23" s="208"/>
      <c r="BLP23" s="208"/>
      <c r="BLQ23" s="208"/>
      <c r="BLR23" s="208"/>
      <c r="BLS23" s="208"/>
      <c r="BLT23" s="208"/>
      <c r="BLU23" s="208"/>
      <c r="BLV23" s="208"/>
      <c r="BLW23" s="208"/>
      <c r="BLX23" s="208"/>
      <c r="BLY23" s="208"/>
      <c r="BLZ23" s="208"/>
      <c r="BMA23" s="208"/>
      <c r="BMB23" s="208"/>
      <c r="BMC23" s="208"/>
      <c r="BMD23" s="208"/>
      <c r="BME23" s="208"/>
      <c r="BMF23" s="208"/>
      <c r="BMG23" s="208"/>
      <c r="BMH23" s="208"/>
      <c r="BMI23" s="208"/>
      <c r="BMJ23" s="208"/>
      <c r="BMK23" s="208"/>
      <c r="BML23" s="208"/>
      <c r="BMM23" s="208"/>
      <c r="BMN23" s="208"/>
      <c r="BMO23" s="208"/>
      <c r="BMP23" s="208"/>
      <c r="BMQ23" s="208"/>
      <c r="BMR23" s="208"/>
      <c r="BMS23" s="208"/>
      <c r="BMT23" s="208"/>
      <c r="BMU23" s="208"/>
      <c r="BMV23" s="208"/>
      <c r="BMW23" s="208"/>
      <c r="BMX23" s="208"/>
      <c r="BMY23" s="208"/>
      <c r="BMZ23" s="208"/>
      <c r="BNA23" s="208"/>
      <c r="BNB23" s="208"/>
      <c r="BNC23" s="208"/>
      <c r="BND23" s="208"/>
      <c r="BNE23" s="208"/>
      <c r="BNF23" s="208"/>
      <c r="BNG23" s="208"/>
      <c r="BNH23" s="208"/>
      <c r="BNI23" s="208"/>
      <c r="BNJ23" s="208"/>
      <c r="BNK23" s="208"/>
      <c r="BNL23" s="208"/>
      <c r="BNM23" s="208"/>
      <c r="BNN23" s="208"/>
      <c r="BNO23" s="208"/>
      <c r="BNP23" s="208"/>
      <c r="BNQ23" s="208"/>
      <c r="BNR23" s="208"/>
      <c r="BNS23" s="208"/>
      <c r="BNT23" s="208"/>
      <c r="BNU23" s="208"/>
      <c r="BNV23" s="208"/>
      <c r="BNW23" s="208"/>
      <c r="BNX23" s="208"/>
      <c r="BNY23" s="208"/>
      <c r="BNZ23" s="208"/>
      <c r="BOA23" s="208"/>
      <c r="BOB23" s="208"/>
      <c r="BOC23" s="208"/>
      <c r="BOD23" s="208"/>
      <c r="BOE23" s="208"/>
      <c r="BOF23" s="208"/>
      <c r="BOG23" s="208"/>
      <c r="BOH23" s="208"/>
      <c r="BOI23" s="208"/>
      <c r="BOJ23" s="208"/>
      <c r="BOK23" s="208"/>
      <c r="BOL23" s="208"/>
      <c r="BOM23" s="208"/>
      <c r="BON23" s="208"/>
      <c r="BOO23" s="208"/>
      <c r="BOP23" s="208"/>
      <c r="BOQ23" s="208"/>
      <c r="BOR23" s="208"/>
      <c r="BOS23" s="208"/>
      <c r="BOT23" s="208"/>
      <c r="BOU23" s="208"/>
      <c r="BOV23" s="208"/>
      <c r="BOW23" s="208"/>
      <c r="BOX23" s="208"/>
      <c r="BOY23" s="208"/>
      <c r="BOZ23" s="208"/>
      <c r="BPA23" s="208"/>
      <c r="BPB23" s="208"/>
      <c r="BPC23" s="208"/>
      <c r="BPD23" s="208"/>
      <c r="BPE23" s="208"/>
      <c r="BPF23" s="208"/>
      <c r="BPG23" s="208"/>
      <c r="BPH23" s="208"/>
      <c r="BPI23" s="208"/>
      <c r="BPJ23" s="208"/>
      <c r="BPK23" s="208"/>
      <c r="BPL23" s="208"/>
      <c r="BPM23" s="208"/>
      <c r="BPN23" s="208"/>
      <c r="BPO23" s="208"/>
      <c r="BPP23" s="208"/>
      <c r="BPQ23" s="208"/>
      <c r="BPR23" s="208"/>
      <c r="BPS23" s="208"/>
      <c r="BPT23" s="208"/>
      <c r="BPU23" s="208"/>
      <c r="BPV23" s="208"/>
      <c r="BPW23" s="208"/>
      <c r="BPX23" s="208"/>
      <c r="BPY23" s="208"/>
      <c r="BPZ23" s="208"/>
      <c r="BQA23" s="208"/>
      <c r="BQB23" s="208"/>
      <c r="BQC23" s="208"/>
      <c r="BQD23" s="208"/>
      <c r="BQE23" s="208"/>
      <c r="BQF23" s="208"/>
      <c r="BQG23" s="208"/>
      <c r="BQH23" s="208"/>
      <c r="BQI23" s="208"/>
      <c r="BQJ23" s="208"/>
      <c r="BQK23" s="208"/>
      <c r="BQL23" s="208"/>
      <c r="BQM23" s="208"/>
      <c r="BQN23" s="208"/>
      <c r="BQO23" s="208"/>
      <c r="BQP23" s="208"/>
      <c r="BQQ23" s="208"/>
      <c r="BQR23" s="208"/>
      <c r="BQS23" s="208"/>
      <c r="BQT23" s="208"/>
      <c r="BQU23" s="208"/>
      <c r="BQV23" s="208"/>
      <c r="BQW23" s="208"/>
      <c r="BQX23" s="208"/>
      <c r="BQY23" s="208"/>
      <c r="BQZ23" s="208"/>
      <c r="BRA23" s="208"/>
      <c r="BRB23" s="208"/>
      <c r="BRC23" s="208"/>
      <c r="BRD23" s="208"/>
      <c r="BRE23" s="208"/>
      <c r="BRF23" s="208"/>
      <c r="BRG23" s="208"/>
      <c r="BRH23" s="208"/>
      <c r="BRI23" s="208"/>
      <c r="BRJ23" s="208"/>
      <c r="BRK23" s="208"/>
      <c r="BRL23" s="208"/>
      <c r="BRM23" s="208"/>
      <c r="BRN23" s="208"/>
      <c r="BRO23" s="208"/>
      <c r="BRP23" s="208"/>
      <c r="BRQ23" s="208"/>
      <c r="BRR23" s="208"/>
      <c r="BRS23" s="208"/>
      <c r="BRT23" s="208"/>
      <c r="BRU23" s="208"/>
      <c r="BRV23" s="208"/>
      <c r="BRW23" s="208"/>
      <c r="BRX23" s="208"/>
      <c r="BRY23" s="208"/>
      <c r="BRZ23" s="208"/>
      <c r="BSA23" s="208"/>
      <c r="BSB23" s="208"/>
      <c r="BSC23" s="208"/>
      <c r="BSD23" s="208"/>
      <c r="BSE23" s="208"/>
      <c r="BSF23" s="208"/>
      <c r="BSG23" s="208"/>
      <c r="BSH23" s="208"/>
      <c r="BSI23" s="208"/>
      <c r="BSJ23" s="208"/>
      <c r="BSK23" s="208"/>
      <c r="BSL23" s="208"/>
      <c r="BSM23" s="208"/>
      <c r="BSN23" s="208"/>
      <c r="BSO23" s="208"/>
      <c r="BSP23" s="208"/>
      <c r="BSQ23" s="208"/>
      <c r="BSR23" s="208"/>
      <c r="BSS23" s="208"/>
      <c r="BST23" s="208"/>
      <c r="BSU23" s="208"/>
      <c r="BSV23" s="208"/>
      <c r="BSW23" s="208"/>
      <c r="BSX23" s="208"/>
      <c r="BSY23" s="208"/>
      <c r="BSZ23" s="208"/>
      <c r="BTA23" s="208"/>
      <c r="BTB23" s="208"/>
      <c r="BTC23" s="208"/>
      <c r="BTD23" s="208"/>
      <c r="BTE23" s="208"/>
      <c r="BTF23" s="208"/>
      <c r="BTG23" s="208"/>
      <c r="BTH23" s="208"/>
      <c r="BTI23" s="208"/>
      <c r="BTJ23" s="208"/>
      <c r="BTK23" s="208"/>
      <c r="BTL23" s="208"/>
      <c r="BTM23" s="208"/>
      <c r="BTN23" s="208"/>
      <c r="BTO23" s="208"/>
      <c r="BTP23" s="208"/>
      <c r="BTQ23" s="208"/>
      <c r="BTR23" s="208"/>
      <c r="BTS23" s="208"/>
      <c r="BTT23" s="208"/>
      <c r="BTU23" s="208"/>
      <c r="BTV23" s="208"/>
      <c r="BTW23" s="208"/>
      <c r="BTX23" s="208"/>
      <c r="BTY23" s="208"/>
      <c r="BTZ23" s="208"/>
      <c r="BUA23" s="208"/>
      <c r="BUB23" s="208"/>
      <c r="BUC23" s="208"/>
      <c r="BUD23" s="208"/>
      <c r="BUE23" s="208"/>
      <c r="BUF23" s="208"/>
      <c r="BUG23" s="208"/>
      <c r="BUH23" s="208"/>
      <c r="BUI23" s="208"/>
      <c r="BUJ23" s="208"/>
      <c r="BUK23" s="208"/>
      <c r="BUL23" s="208"/>
      <c r="BUM23" s="208"/>
      <c r="BUN23" s="208"/>
      <c r="BUO23" s="208"/>
      <c r="BUP23" s="208"/>
      <c r="BUQ23" s="208"/>
      <c r="BUR23" s="208"/>
      <c r="BUS23" s="208"/>
      <c r="BUT23" s="208"/>
      <c r="BUU23" s="208"/>
      <c r="BUV23" s="208"/>
      <c r="BUW23" s="208"/>
      <c r="BUX23" s="208"/>
      <c r="BUY23" s="208"/>
      <c r="BUZ23" s="208"/>
      <c r="BVA23" s="208"/>
      <c r="BVB23" s="208"/>
      <c r="BVC23" s="208"/>
      <c r="BVD23" s="208"/>
      <c r="BVE23" s="208"/>
      <c r="BVF23" s="208"/>
      <c r="BVG23" s="208"/>
      <c r="BVH23" s="208"/>
      <c r="BVI23" s="208"/>
      <c r="BVJ23" s="208"/>
      <c r="BVK23" s="208"/>
      <c r="BVL23" s="208"/>
      <c r="BVM23" s="208"/>
      <c r="BVN23" s="208"/>
      <c r="BVO23" s="208"/>
      <c r="BVP23" s="208"/>
      <c r="BVQ23" s="208"/>
      <c r="BVR23" s="208"/>
      <c r="BVS23" s="208"/>
      <c r="BVT23" s="208"/>
      <c r="BVU23" s="208"/>
      <c r="BVV23" s="208"/>
      <c r="BVW23" s="208"/>
      <c r="BVX23" s="208"/>
      <c r="BVY23" s="208"/>
      <c r="BVZ23" s="208"/>
      <c r="BWA23" s="208"/>
      <c r="BWB23" s="208"/>
      <c r="BWC23" s="208"/>
      <c r="BWD23" s="208"/>
      <c r="BWE23" s="208"/>
      <c r="BWF23" s="208"/>
      <c r="BWG23" s="208"/>
      <c r="BWH23" s="208"/>
      <c r="BWI23" s="208"/>
      <c r="BWJ23" s="208"/>
      <c r="BWK23" s="208"/>
      <c r="BWL23" s="208"/>
      <c r="BWM23" s="208"/>
      <c r="BWN23" s="208"/>
      <c r="BWO23" s="208"/>
      <c r="BWP23" s="208"/>
      <c r="BWQ23" s="208"/>
      <c r="BWR23" s="208"/>
      <c r="BWS23" s="208"/>
      <c r="BWT23" s="208"/>
      <c r="BWU23" s="208"/>
      <c r="BWV23" s="208"/>
      <c r="BWW23" s="208"/>
      <c r="BWX23" s="208"/>
      <c r="BWY23" s="208"/>
      <c r="BWZ23" s="208"/>
      <c r="BXA23" s="208"/>
      <c r="BXB23" s="208"/>
      <c r="BXC23" s="208"/>
      <c r="BXD23" s="208"/>
      <c r="BXE23" s="208"/>
      <c r="BXF23" s="208"/>
      <c r="BXG23" s="208"/>
      <c r="BXH23" s="208"/>
      <c r="BXI23" s="208"/>
      <c r="BXJ23" s="208"/>
      <c r="BXK23" s="208"/>
      <c r="BXL23" s="208"/>
      <c r="BXM23" s="208"/>
      <c r="BXN23" s="208"/>
      <c r="BXO23" s="208"/>
      <c r="BXP23" s="208"/>
      <c r="BXQ23" s="208"/>
      <c r="BXR23" s="208"/>
      <c r="BXS23" s="208"/>
      <c r="BXT23" s="208"/>
      <c r="BXU23" s="208"/>
      <c r="BXV23" s="208"/>
      <c r="BXW23" s="208"/>
      <c r="BXX23" s="208"/>
      <c r="BXY23" s="208"/>
      <c r="BXZ23" s="208"/>
      <c r="BYA23" s="208"/>
      <c r="BYB23" s="208"/>
      <c r="BYC23" s="208"/>
      <c r="BYD23" s="208"/>
      <c r="BYE23" s="208"/>
      <c r="BYF23" s="208"/>
      <c r="BYG23" s="208"/>
    </row>
    <row r="24" spans="1:2009" s="100" customFormat="1" ht="12.75" hidden="1" customHeight="1" thickBot="1" x14ac:dyDescent="0.3">
      <c r="A24" s="107"/>
      <c r="B24" s="108"/>
      <c r="C24" s="176"/>
      <c r="D24" s="176"/>
      <c r="E24" s="176"/>
      <c r="F24" s="176"/>
      <c r="G24" s="680"/>
      <c r="H24" s="99"/>
      <c r="I24" s="99"/>
      <c r="J24" s="99"/>
      <c r="K24" s="432"/>
      <c r="L24" s="431">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98</v>
      </c>
      <c r="B25" s="139"/>
      <c r="C25" s="177"/>
      <c r="D25" s="177"/>
      <c r="E25" s="178"/>
      <c r="F25" s="178"/>
      <c r="G25" s="681"/>
      <c r="H25" s="94"/>
      <c r="I25" s="94"/>
      <c r="J25" s="94"/>
      <c r="K25" s="432"/>
      <c r="L25" s="432" t="s">
        <v>203</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160</v>
      </c>
      <c r="C26" s="179"/>
      <c r="D26" s="179"/>
      <c r="E26" s="180"/>
      <c r="F26" s="180"/>
      <c r="G26" s="682"/>
      <c r="H26" s="94"/>
      <c r="I26" s="94"/>
      <c r="J26" s="94"/>
      <c r="K26" s="433"/>
      <c r="L26"/>
      <c r="M26" s="434">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14" customFormat="1" ht="24.95" hidden="1" customHeight="1" thickBot="1" x14ac:dyDescent="0.3">
      <c r="A27" s="210"/>
      <c r="B27" s="211" t="s">
        <v>143</v>
      </c>
      <c r="C27" s="212"/>
      <c r="D27" s="213"/>
      <c r="E27" s="213"/>
      <c r="F27" s="213">
        <f>SUM(F25:F26)</f>
        <v>0</v>
      </c>
      <c r="G27" s="683">
        <f>ROUND(SUM(C27:F27),5)</f>
        <v>0</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c r="IW27" s="198"/>
      <c r="IX27" s="198"/>
      <c r="IY27" s="198"/>
      <c r="IZ27" s="198"/>
      <c r="JA27" s="198"/>
      <c r="JB27" s="198"/>
      <c r="JC27" s="198"/>
      <c r="JD27" s="198"/>
      <c r="JE27" s="198"/>
      <c r="JF27" s="198"/>
      <c r="JG27" s="198"/>
      <c r="JH27" s="198"/>
      <c r="JI27" s="198"/>
      <c r="JJ27" s="198"/>
      <c r="JK27" s="198"/>
      <c r="JL27" s="198"/>
      <c r="JM27" s="198"/>
      <c r="JN27" s="198"/>
      <c r="JO27" s="198"/>
      <c r="JP27" s="198"/>
      <c r="JQ27" s="198"/>
      <c r="JR27" s="198"/>
      <c r="JS27" s="198"/>
      <c r="JT27" s="198"/>
      <c r="JU27" s="198"/>
      <c r="JV27" s="198"/>
      <c r="JW27" s="198"/>
      <c r="JX27" s="198"/>
      <c r="JY27" s="198"/>
      <c r="JZ27" s="198"/>
      <c r="KA27" s="198"/>
      <c r="KB27" s="198"/>
      <c r="KC27" s="198"/>
      <c r="KD27" s="198"/>
      <c r="KE27" s="198"/>
      <c r="KF27" s="198"/>
      <c r="KG27" s="198"/>
      <c r="KH27" s="198"/>
      <c r="KI27" s="198"/>
      <c r="KJ27" s="198"/>
      <c r="KK27" s="198"/>
      <c r="KL27" s="198"/>
      <c r="KM27" s="198"/>
      <c r="KN27" s="198"/>
      <c r="KO27" s="198"/>
      <c r="KP27" s="198"/>
      <c r="KQ27" s="198"/>
      <c r="KR27" s="198"/>
      <c r="KS27" s="198"/>
      <c r="KT27" s="198"/>
      <c r="KU27" s="198"/>
      <c r="KV27" s="198"/>
      <c r="KW27" s="198"/>
      <c r="KX27" s="198"/>
      <c r="KY27" s="198"/>
      <c r="KZ27" s="198"/>
      <c r="LA27" s="198"/>
      <c r="LB27" s="198"/>
      <c r="LC27" s="198"/>
      <c r="LD27" s="198"/>
      <c r="LE27" s="198"/>
      <c r="LF27" s="198"/>
      <c r="LG27" s="198"/>
      <c r="LH27" s="198"/>
      <c r="LI27" s="198"/>
      <c r="LJ27" s="198"/>
      <c r="LK27" s="198"/>
      <c r="LL27" s="198"/>
      <c r="LM27" s="198"/>
      <c r="LN27" s="198"/>
      <c r="LO27" s="198"/>
      <c r="LP27" s="198"/>
      <c r="LQ27" s="198"/>
      <c r="LR27" s="198"/>
      <c r="LS27" s="198"/>
      <c r="LT27" s="198"/>
      <c r="LU27" s="198"/>
      <c r="LV27" s="198"/>
      <c r="LW27" s="198"/>
      <c r="LX27" s="198"/>
      <c r="LY27" s="198"/>
      <c r="LZ27" s="198"/>
      <c r="MA27" s="198"/>
      <c r="MB27" s="198"/>
      <c r="MC27" s="198"/>
      <c r="MD27" s="198"/>
      <c r="ME27" s="198"/>
      <c r="MF27" s="198"/>
      <c r="MG27" s="198"/>
      <c r="MH27" s="198"/>
      <c r="MI27" s="198"/>
      <c r="MJ27" s="198"/>
      <c r="MK27" s="198"/>
      <c r="ML27" s="198"/>
      <c r="MM27" s="198"/>
      <c r="MN27" s="198"/>
      <c r="MO27" s="198"/>
      <c r="MP27" s="198"/>
      <c r="MQ27" s="198"/>
      <c r="MR27" s="198"/>
      <c r="MS27" s="198"/>
      <c r="MT27" s="198"/>
      <c r="MU27" s="198"/>
      <c r="MV27" s="198"/>
      <c r="MW27" s="198"/>
      <c r="MX27" s="198"/>
      <c r="MY27" s="198"/>
      <c r="MZ27" s="198"/>
      <c r="NA27" s="198"/>
      <c r="NB27" s="198"/>
      <c r="NC27" s="198"/>
      <c r="ND27" s="198"/>
      <c r="NE27" s="198"/>
      <c r="NF27" s="198"/>
      <c r="NG27" s="198"/>
      <c r="NH27" s="198"/>
      <c r="NI27" s="198"/>
      <c r="NJ27" s="198"/>
      <c r="NK27" s="198"/>
      <c r="NL27" s="198"/>
      <c r="NM27" s="198"/>
      <c r="NN27" s="198"/>
      <c r="NO27" s="198"/>
      <c r="NP27" s="198"/>
      <c r="NQ27" s="198"/>
      <c r="NR27" s="198"/>
      <c r="NS27" s="198"/>
      <c r="NT27" s="198"/>
      <c r="NU27" s="198"/>
      <c r="NV27" s="198"/>
      <c r="NW27" s="198"/>
      <c r="NX27" s="198"/>
      <c r="NY27" s="198"/>
      <c r="NZ27" s="198"/>
      <c r="OA27" s="198"/>
      <c r="OB27" s="198"/>
      <c r="OC27" s="198"/>
      <c r="OD27" s="198"/>
      <c r="OE27" s="198"/>
      <c r="OF27" s="198"/>
      <c r="OG27" s="198"/>
      <c r="OH27" s="198"/>
      <c r="OI27" s="198"/>
      <c r="OJ27" s="198"/>
      <c r="OK27" s="198"/>
      <c r="OL27" s="198"/>
      <c r="OM27" s="198"/>
      <c r="ON27" s="198"/>
      <c r="OO27" s="198"/>
      <c r="OP27" s="198"/>
      <c r="OQ27" s="198"/>
      <c r="OR27" s="198"/>
      <c r="OS27" s="198"/>
      <c r="OT27" s="198"/>
      <c r="OU27" s="198"/>
      <c r="OV27" s="198"/>
      <c r="OW27" s="198"/>
      <c r="OX27" s="198"/>
      <c r="OY27" s="198"/>
      <c r="OZ27" s="198"/>
      <c r="PA27" s="198"/>
      <c r="PB27" s="198"/>
      <c r="PC27" s="198"/>
      <c r="PD27" s="198"/>
      <c r="PE27" s="198"/>
      <c r="PF27" s="198"/>
      <c r="PG27" s="198"/>
      <c r="PH27" s="198"/>
      <c r="PI27" s="198"/>
      <c r="PJ27" s="198"/>
      <c r="PK27" s="198"/>
      <c r="PL27" s="198"/>
      <c r="PM27" s="198"/>
      <c r="PN27" s="198"/>
      <c r="PO27" s="198"/>
      <c r="PP27" s="198"/>
      <c r="PQ27" s="198"/>
      <c r="PR27" s="198"/>
      <c r="PS27" s="198"/>
      <c r="PT27" s="198"/>
      <c r="PU27" s="198"/>
      <c r="PV27" s="198"/>
      <c r="PW27" s="198"/>
      <c r="PX27" s="198"/>
      <c r="PY27" s="198"/>
      <c r="PZ27" s="198"/>
      <c r="QA27" s="198"/>
      <c r="QB27" s="198"/>
      <c r="QC27" s="198"/>
      <c r="QD27" s="198"/>
      <c r="QE27" s="198"/>
      <c r="QF27" s="198"/>
      <c r="QG27" s="198"/>
      <c r="QH27" s="198"/>
      <c r="QI27" s="198"/>
      <c r="QJ27" s="198"/>
      <c r="QK27" s="198"/>
      <c r="QL27" s="198"/>
      <c r="QM27" s="198"/>
      <c r="QN27" s="198"/>
      <c r="QO27" s="198"/>
      <c r="QP27" s="198"/>
      <c r="QQ27" s="198"/>
      <c r="QR27" s="198"/>
      <c r="QS27" s="198"/>
      <c r="QT27" s="198"/>
      <c r="QU27" s="198"/>
      <c r="QV27" s="198"/>
      <c r="QW27" s="198"/>
      <c r="QX27" s="198"/>
      <c r="QY27" s="198"/>
      <c r="QZ27" s="198"/>
      <c r="RA27" s="198"/>
      <c r="RB27" s="198"/>
      <c r="RC27" s="198"/>
      <c r="RD27" s="198"/>
      <c r="RE27" s="198"/>
      <c r="RF27" s="198"/>
      <c r="RG27" s="198"/>
      <c r="RH27" s="198"/>
      <c r="RI27" s="198"/>
      <c r="RJ27" s="198"/>
      <c r="RK27" s="198"/>
      <c r="RL27" s="198"/>
      <c r="RM27" s="198"/>
      <c r="RN27" s="198"/>
      <c r="RO27" s="198"/>
      <c r="RP27" s="198"/>
      <c r="RQ27" s="198"/>
      <c r="RR27" s="198"/>
      <c r="RS27" s="198"/>
      <c r="RT27" s="198"/>
      <c r="RU27" s="198"/>
      <c r="RV27" s="198"/>
      <c r="RW27" s="198"/>
      <c r="RX27" s="198"/>
      <c r="RY27" s="198"/>
      <c r="RZ27" s="198"/>
      <c r="SA27" s="198"/>
      <c r="SB27" s="198"/>
      <c r="SC27" s="198"/>
      <c r="SD27" s="198"/>
      <c r="SE27" s="198"/>
      <c r="SF27" s="198"/>
      <c r="SG27" s="198"/>
      <c r="SH27" s="198"/>
      <c r="SI27" s="198"/>
      <c r="SJ27" s="198"/>
      <c r="SK27" s="198"/>
      <c r="SL27" s="198"/>
      <c r="SM27" s="198"/>
      <c r="SN27" s="198"/>
      <c r="SO27" s="198"/>
      <c r="SP27" s="198"/>
      <c r="SQ27" s="198"/>
      <c r="SR27" s="198"/>
      <c r="SS27" s="198"/>
      <c r="ST27" s="198"/>
      <c r="SU27" s="198"/>
      <c r="SV27" s="198"/>
      <c r="SW27" s="198"/>
      <c r="SX27" s="198"/>
      <c r="SY27" s="198"/>
      <c r="SZ27" s="198"/>
      <c r="TA27" s="198"/>
      <c r="TB27" s="198"/>
      <c r="TC27" s="198"/>
      <c r="TD27" s="198"/>
      <c r="TE27" s="198"/>
      <c r="TF27" s="198"/>
      <c r="TG27" s="198"/>
      <c r="TH27" s="198"/>
      <c r="TI27" s="198"/>
      <c r="TJ27" s="198"/>
      <c r="TK27" s="198"/>
      <c r="TL27" s="198"/>
      <c r="TM27" s="198"/>
      <c r="TN27" s="198"/>
      <c r="TO27" s="198"/>
      <c r="TP27" s="198"/>
      <c r="TQ27" s="198"/>
      <c r="TR27" s="198"/>
      <c r="TS27" s="198"/>
      <c r="TT27" s="198"/>
      <c r="TU27" s="198"/>
      <c r="TV27" s="198"/>
      <c r="TW27" s="198"/>
      <c r="TX27" s="198"/>
      <c r="TY27" s="198"/>
      <c r="TZ27" s="198"/>
      <c r="UA27" s="198"/>
      <c r="UB27" s="198"/>
      <c r="UC27" s="198"/>
      <c r="UD27" s="198"/>
      <c r="UE27" s="198"/>
      <c r="UF27" s="198"/>
      <c r="UG27" s="198"/>
      <c r="UH27" s="198"/>
      <c r="UI27" s="198"/>
      <c r="UJ27" s="198"/>
      <c r="UK27" s="198"/>
      <c r="UL27" s="198"/>
      <c r="UM27" s="198"/>
      <c r="UN27" s="198"/>
      <c r="UO27" s="198"/>
      <c r="UP27" s="198"/>
      <c r="UQ27" s="198"/>
      <c r="UR27" s="198"/>
      <c r="US27" s="198"/>
      <c r="UT27" s="198"/>
      <c r="UU27" s="198"/>
      <c r="UV27" s="198"/>
      <c r="UW27" s="198"/>
      <c r="UX27" s="198"/>
      <c r="UY27" s="198"/>
      <c r="UZ27" s="198"/>
      <c r="VA27" s="198"/>
      <c r="VB27" s="198"/>
      <c r="VC27" s="198"/>
      <c r="VD27" s="198"/>
      <c r="VE27" s="198"/>
      <c r="VF27" s="198"/>
      <c r="VG27" s="198"/>
      <c r="VH27" s="198"/>
      <c r="VI27" s="198"/>
      <c r="VJ27" s="198"/>
      <c r="VK27" s="198"/>
      <c r="VL27" s="198"/>
      <c r="VM27" s="198"/>
      <c r="VN27" s="198"/>
      <c r="VO27" s="198"/>
      <c r="VP27" s="198"/>
      <c r="VQ27" s="198"/>
      <c r="VR27" s="198"/>
      <c r="VS27" s="198"/>
      <c r="VT27" s="198"/>
      <c r="VU27" s="198"/>
      <c r="VV27" s="198"/>
      <c r="VW27" s="198"/>
      <c r="VX27" s="198"/>
      <c r="VY27" s="198"/>
      <c r="VZ27" s="198"/>
      <c r="WA27" s="198"/>
      <c r="WB27" s="198"/>
      <c r="WC27" s="198"/>
      <c r="WD27" s="198"/>
      <c r="WE27" s="198"/>
      <c r="WF27" s="198"/>
      <c r="WG27" s="198"/>
      <c r="WH27" s="198"/>
      <c r="WI27" s="198"/>
      <c r="WJ27" s="198"/>
      <c r="WK27" s="198"/>
      <c r="WL27" s="198"/>
      <c r="WM27" s="198"/>
      <c r="WN27" s="198"/>
      <c r="WO27" s="198"/>
      <c r="WP27" s="198"/>
      <c r="WQ27" s="198"/>
      <c r="WR27" s="198"/>
      <c r="WS27" s="198"/>
      <c r="WT27" s="198"/>
      <c r="WU27" s="198"/>
      <c r="WV27" s="198"/>
      <c r="WW27" s="198"/>
      <c r="WX27" s="198"/>
      <c r="WY27" s="198"/>
      <c r="WZ27" s="198"/>
      <c r="XA27" s="198"/>
      <c r="XB27" s="198"/>
      <c r="XC27" s="198"/>
      <c r="XD27" s="198"/>
      <c r="XE27" s="198"/>
      <c r="XF27" s="198"/>
      <c r="XG27" s="198"/>
      <c r="XH27" s="198"/>
      <c r="XI27" s="198"/>
      <c r="XJ27" s="198"/>
      <c r="XK27" s="198"/>
      <c r="XL27" s="198"/>
      <c r="XM27" s="198"/>
      <c r="XN27" s="198"/>
      <c r="XO27" s="198"/>
      <c r="XP27" s="198"/>
      <c r="XQ27" s="198"/>
      <c r="XR27" s="198"/>
      <c r="XS27" s="198"/>
      <c r="XT27" s="198"/>
      <c r="XU27" s="198"/>
      <c r="XV27" s="198"/>
      <c r="XW27" s="198"/>
      <c r="XX27" s="198"/>
      <c r="XY27" s="198"/>
      <c r="XZ27" s="198"/>
      <c r="YA27" s="198"/>
      <c r="YB27" s="198"/>
      <c r="YC27" s="198"/>
      <c r="YD27" s="198"/>
      <c r="YE27" s="198"/>
      <c r="YF27" s="198"/>
      <c r="YG27" s="198"/>
      <c r="YH27" s="198"/>
      <c r="YI27" s="198"/>
      <c r="YJ27" s="198"/>
      <c r="YK27" s="198"/>
      <c r="YL27" s="198"/>
      <c r="YM27" s="198"/>
      <c r="YN27" s="198"/>
      <c r="YO27" s="198"/>
      <c r="YP27" s="198"/>
      <c r="YQ27" s="198"/>
      <c r="YR27" s="198"/>
      <c r="YS27" s="198"/>
      <c r="YT27" s="198"/>
      <c r="YU27" s="198"/>
      <c r="YV27" s="198"/>
      <c r="YW27" s="198"/>
      <c r="YX27" s="198"/>
      <c r="YY27" s="198"/>
      <c r="YZ27" s="198"/>
      <c r="ZA27" s="198"/>
      <c r="ZB27" s="198"/>
      <c r="ZC27" s="198"/>
      <c r="ZD27" s="198"/>
      <c r="ZE27" s="198"/>
      <c r="ZF27" s="198"/>
      <c r="ZG27" s="198"/>
      <c r="ZH27" s="198"/>
      <c r="ZI27" s="198"/>
      <c r="ZJ27" s="198"/>
      <c r="ZK27" s="198"/>
      <c r="ZL27" s="198"/>
      <c r="ZM27" s="198"/>
      <c r="ZN27" s="198"/>
      <c r="ZO27" s="198"/>
      <c r="ZP27" s="198"/>
      <c r="ZQ27" s="198"/>
      <c r="ZR27" s="198"/>
      <c r="ZS27" s="198"/>
      <c r="ZT27" s="198"/>
      <c r="ZU27" s="198"/>
      <c r="ZV27" s="198"/>
      <c r="ZW27" s="198"/>
      <c r="ZX27" s="198"/>
      <c r="ZY27" s="198"/>
      <c r="ZZ27" s="198"/>
      <c r="AAA27" s="198"/>
      <c r="AAB27" s="198"/>
      <c r="AAC27" s="198"/>
      <c r="AAD27" s="198"/>
      <c r="AAE27" s="198"/>
      <c r="AAF27" s="198"/>
      <c r="AAG27" s="198"/>
      <c r="AAH27" s="198"/>
      <c r="AAI27" s="198"/>
      <c r="AAJ27" s="198"/>
      <c r="AAK27" s="198"/>
      <c r="AAL27" s="198"/>
      <c r="AAM27" s="198"/>
      <c r="AAN27" s="198"/>
      <c r="AAO27" s="198"/>
      <c r="AAP27" s="198"/>
      <c r="AAQ27" s="198"/>
      <c r="AAR27" s="198"/>
      <c r="AAS27" s="198"/>
      <c r="AAT27" s="198"/>
      <c r="AAU27" s="198"/>
      <c r="AAV27" s="198"/>
      <c r="AAW27" s="198"/>
      <c r="AAX27" s="198"/>
      <c r="AAY27" s="198"/>
      <c r="AAZ27" s="198"/>
      <c r="ABA27" s="198"/>
      <c r="ABB27" s="198"/>
      <c r="ABC27" s="198"/>
      <c r="ABD27" s="198"/>
      <c r="ABE27" s="198"/>
      <c r="ABF27" s="198"/>
      <c r="ABG27" s="198"/>
      <c r="ABH27" s="198"/>
      <c r="ABI27" s="198"/>
      <c r="ABJ27" s="198"/>
      <c r="ABK27" s="198"/>
      <c r="ABL27" s="198"/>
      <c r="ABM27" s="198"/>
      <c r="ABN27" s="198"/>
      <c r="ABO27" s="198"/>
      <c r="ABP27" s="198"/>
      <c r="ABQ27" s="198"/>
      <c r="ABR27" s="198"/>
      <c r="ABS27" s="198"/>
      <c r="ABT27" s="198"/>
      <c r="ABU27" s="198"/>
      <c r="ABV27" s="198"/>
      <c r="ABW27" s="198"/>
      <c r="ABX27" s="198"/>
      <c r="ABY27" s="198"/>
      <c r="ABZ27" s="198"/>
      <c r="ACA27" s="198"/>
      <c r="ACB27" s="198"/>
      <c r="ACC27" s="198"/>
      <c r="ACD27" s="198"/>
      <c r="ACE27" s="198"/>
      <c r="ACF27" s="198"/>
      <c r="ACG27" s="198"/>
      <c r="ACH27" s="198"/>
      <c r="ACI27" s="198"/>
      <c r="ACJ27" s="198"/>
      <c r="ACK27" s="198"/>
      <c r="ACL27" s="198"/>
      <c r="ACM27" s="198"/>
      <c r="ACN27" s="198"/>
      <c r="ACO27" s="198"/>
      <c r="ACP27" s="198"/>
      <c r="ACQ27" s="198"/>
      <c r="ACR27" s="198"/>
      <c r="ACS27" s="198"/>
      <c r="ACT27" s="198"/>
      <c r="ACU27" s="198"/>
      <c r="ACV27" s="198"/>
      <c r="ACW27" s="198"/>
      <c r="ACX27" s="198"/>
      <c r="ACY27" s="198"/>
      <c r="ACZ27" s="198"/>
      <c r="ADA27" s="198"/>
      <c r="ADB27" s="198"/>
      <c r="ADC27" s="198"/>
      <c r="ADD27" s="198"/>
      <c r="ADE27" s="198"/>
      <c r="ADF27" s="198"/>
      <c r="ADG27" s="198"/>
      <c r="ADH27" s="198"/>
      <c r="ADI27" s="198"/>
      <c r="ADJ27" s="198"/>
      <c r="ADK27" s="198"/>
      <c r="ADL27" s="198"/>
      <c r="ADM27" s="198"/>
      <c r="ADN27" s="198"/>
      <c r="ADO27" s="198"/>
      <c r="ADP27" s="198"/>
      <c r="ADQ27" s="198"/>
      <c r="ADR27" s="198"/>
      <c r="ADS27" s="198"/>
      <c r="ADT27" s="198"/>
      <c r="ADU27" s="198"/>
      <c r="ADV27" s="198"/>
      <c r="ADW27" s="198"/>
      <c r="ADX27" s="198"/>
      <c r="ADY27" s="198"/>
      <c r="ADZ27" s="198"/>
      <c r="AEA27" s="198"/>
      <c r="AEB27" s="198"/>
      <c r="AEC27" s="198"/>
      <c r="AED27" s="198"/>
      <c r="AEE27" s="198"/>
      <c r="AEF27" s="198"/>
      <c r="AEG27" s="198"/>
      <c r="AEH27" s="198"/>
      <c r="AEI27" s="198"/>
      <c r="AEJ27" s="198"/>
      <c r="AEK27" s="198"/>
      <c r="AEL27" s="198"/>
      <c r="AEM27" s="198"/>
      <c r="AEN27" s="198"/>
      <c r="AEO27" s="198"/>
      <c r="AEP27" s="198"/>
      <c r="AEQ27" s="198"/>
      <c r="AER27" s="198"/>
      <c r="AES27" s="198"/>
      <c r="AET27" s="198"/>
      <c r="AEU27" s="198"/>
      <c r="AEV27" s="198"/>
      <c r="AEW27" s="198"/>
      <c r="AEX27" s="198"/>
      <c r="AEY27" s="198"/>
      <c r="AEZ27" s="198"/>
      <c r="AFA27" s="198"/>
      <c r="AFB27" s="198"/>
      <c r="AFC27" s="198"/>
      <c r="AFD27" s="198"/>
      <c r="AFE27" s="198"/>
      <c r="AFF27" s="198"/>
      <c r="AFG27" s="198"/>
      <c r="AFH27" s="198"/>
      <c r="AFI27" s="198"/>
      <c r="AFJ27" s="198"/>
      <c r="AFK27" s="198"/>
      <c r="AFL27" s="198"/>
      <c r="AFM27" s="198"/>
      <c r="AFN27" s="198"/>
      <c r="AFO27" s="198"/>
      <c r="AFP27" s="198"/>
      <c r="AFQ27" s="198"/>
      <c r="AFR27" s="198"/>
      <c r="AFS27" s="198"/>
      <c r="AFT27" s="198"/>
      <c r="AFU27" s="198"/>
      <c r="AFV27" s="198"/>
      <c r="AFW27" s="198"/>
      <c r="AFX27" s="198"/>
      <c r="AFY27" s="198"/>
      <c r="AFZ27" s="198"/>
      <c r="AGA27" s="198"/>
      <c r="AGB27" s="198"/>
      <c r="AGC27" s="198"/>
      <c r="AGD27" s="198"/>
      <c r="AGE27" s="198"/>
      <c r="AGF27" s="198"/>
      <c r="AGG27" s="198"/>
      <c r="AGH27" s="198"/>
      <c r="AGI27" s="198"/>
      <c r="AGJ27" s="198"/>
      <c r="AGK27" s="198"/>
      <c r="AGL27" s="198"/>
      <c r="AGM27" s="198"/>
      <c r="AGN27" s="198"/>
      <c r="AGO27" s="198"/>
      <c r="AGP27" s="198"/>
      <c r="AGQ27" s="198"/>
      <c r="AGR27" s="198"/>
      <c r="AGS27" s="198"/>
      <c r="AGT27" s="198"/>
      <c r="AGU27" s="198"/>
      <c r="AGV27" s="198"/>
      <c r="AGW27" s="198"/>
      <c r="AGX27" s="198"/>
      <c r="AGY27" s="198"/>
      <c r="AGZ27" s="198"/>
      <c r="AHA27" s="198"/>
      <c r="AHB27" s="198"/>
      <c r="AHC27" s="198"/>
      <c r="AHD27" s="198"/>
      <c r="AHE27" s="198"/>
      <c r="AHF27" s="198"/>
      <c r="AHG27" s="198"/>
      <c r="AHH27" s="198"/>
      <c r="AHI27" s="198"/>
      <c r="AHJ27" s="198"/>
      <c r="AHK27" s="198"/>
      <c r="AHL27" s="198"/>
      <c r="AHM27" s="198"/>
      <c r="AHN27" s="198"/>
      <c r="AHO27" s="198"/>
      <c r="AHP27" s="198"/>
      <c r="AHQ27" s="198"/>
      <c r="AHR27" s="198"/>
      <c r="AHS27" s="198"/>
      <c r="AHT27" s="198"/>
      <c r="AHU27" s="198"/>
      <c r="AHV27" s="198"/>
      <c r="AHW27" s="198"/>
      <c r="AHX27" s="198"/>
      <c r="AHY27" s="198"/>
      <c r="AHZ27" s="198"/>
      <c r="AIA27" s="198"/>
      <c r="AIB27" s="198"/>
      <c r="AIC27" s="198"/>
      <c r="AID27" s="198"/>
      <c r="AIE27" s="198"/>
      <c r="AIF27" s="198"/>
      <c r="AIG27" s="198"/>
      <c r="AIH27" s="198"/>
      <c r="AII27" s="198"/>
      <c r="AIJ27" s="198"/>
      <c r="AIK27" s="198"/>
      <c r="AIL27" s="198"/>
      <c r="AIM27" s="198"/>
      <c r="AIN27" s="198"/>
      <c r="AIO27" s="198"/>
      <c r="AIP27" s="198"/>
      <c r="AIQ27" s="198"/>
      <c r="AIR27" s="198"/>
      <c r="AIS27" s="198"/>
      <c r="AIT27" s="198"/>
      <c r="AIU27" s="198"/>
      <c r="AIV27" s="198"/>
      <c r="AIW27" s="198"/>
      <c r="AIX27" s="198"/>
      <c r="AIY27" s="198"/>
      <c r="AIZ27" s="198"/>
      <c r="AJA27" s="198"/>
      <c r="AJB27" s="198"/>
      <c r="AJC27" s="198"/>
      <c r="AJD27" s="198"/>
      <c r="AJE27" s="198"/>
      <c r="AJF27" s="198"/>
      <c r="AJG27" s="198"/>
      <c r="AJH27" s="198"/>
      <c r="AJI27" s="198"/>
      <c r="AJJ27" s="198"/>
      <c r="AJK27" s="198"/>
      <c r="AJL27" s="198"/>
      <c r="AJM27" s="198"/>
      <c r="AJN27" s="198"/>
      <c r="AJO27" s="198"/>
      <c r="AJP27" s="198"/>
      <c r="AJQ27" s="198"/>
      <c r="AJR27" s="198"/>
      <c r="AJS27" s="198"/>
      <c r="AJT27" s="198"/>
      <c r="AJU27" s="198"/>
      <c r="AJV27" s="198"/>
      <c r="AJW27" s="198"/>
      <c r="AJX27" s="198"/>
      <c r="AJY27" s="198"/>
      <c r="AJZ27" s="198"/>
      <c r="AKA27" s="198"/>
      <c r="AKB27" s="198"/>
      <c r="AKC27" s="198"/>
      <c r="AKD27" s="198"/>
      <c r="AKE27" s="198"/>
      <c r="AKF27" s="198"/>
      <c r="AKG27" s="198"/>
      <c r="AKH27" s="198"/>
      <c r="AKI27" s="198"/>
      <c r="AKJ27" s="198"/>
      <c r="AKK27" s="198"/>
      <c r="AKL27" s="198"/>
      <c r="AKM27" s="198"/>
      <c r="AKN27" s="198"/>
      <c r="AKO27" s="198"/>
      <c r="AKP27" s="198"/>
      <c r="AKQ27" s="198"/>
      <c r="AKR27" s="198"/>
      <c r="AKS27" s="198"/>
      <c r="AKT27" s="198"/>
      <c r="AKU27" s="198"/>
      <c r="AKV27" s="198"/>
      <c r="AKW27" s="198"/>
      <c r="AKX27" s="198"/>
      <c r="AKY27" s="198"/>
      <c r="AKZ27" s="198"/>
      <c r="ALA27" s="198"/>
      <c r="ALB27" s="198"/>
      <c r="ALC27" s="198"/>
      <c r="ALD27" s="198"/>
      <c r="ALE27" s="198"/>
      <c r="ALF27" s="198"/>
      <c r="ALG27" s="198"/>
      <c r="ALH27" s="198"/>
      <c r="ALI27" s="198"/>
      <c r="ALJ27" s="198"/>
      <c r="ALK27" s="198"/>
      <c r="ALL27" s="198"/>
      <c r="ALM27" s="198"/>
      <c r="ALN27" s="198"/>
      <c r="ALO27" s="198"/>
      <c r="ALP27" s="198"/>
      <c r="ALQ27" s="198"/>
      <c r="ALR27" s="198"/>
      <c r="ALS27" s="198"/>
      <c r="ALT27" s="198"/>
      <c r="ALU27" s="198"/>
      <c r="ALV27" s="198"/>
      <c r="ALW27" s="198"/>
      <c r="ALX27" s="198"/>
      <c r="ALY27" s="198"/>
      <c r="ALZ27" s="198"/>
      <c r="AMA27" s="198"/>
      <c r="AMB27" s="198"/>
      <c r="AMC27" s="198"/>
      <c r="AMD27" s="198"/>
      <c r="AME27" s="198"/>
      <c r="AMF27" s="198"/>
      <c r="AMG27" s="198"/>
      <c r="AMH27" s="198"/>
      <c r="AMI27" s="198"/>
      <c r="AMJ27" s="198"/>
      <c r="AMK27" s="198"/>
      <c r="AML27" s="198"/>
      <c r="AMM27" s="198"/>
      <c r="AMN27" s="198"/>
      <c r="AMO27" s="198"/>
      <c r="AMP27" s="198"/>
      <c r="AMQ27" s="198"/>
      <c r="AMR27" s="198"/>
      <c r="AMS27" s="198"/>
      <c r="AMT27" s="198"/>
      <c r="AMU27" s="198"/>
      <c r="AMV27" s="198"/>
      <c r="AMW27" s="198"/>
      <c r="AMX27" s="198"/>
      <c r="AMY27" s="198"/>
      <c r="AMZ27" s="198"/>
      <c r="ANA27" s="198"/>
      <c r="ANB27" s="198"/>
      <c r="ANC27" s="198"/>
      <c r="AND27" s="198"/>
      <c r="ANE27" s="198"/>
      <c r="ANF27" s="198"/>
      <c r="ANG27" s="198"/>
      <c r="ANH27" s="198"/>
      <c r="ANI27" s="198"/>
      <c r="ANJ27" s="198"/>
      <c r="ANK27" s="198"/>
      <c r="ANL27" s="198"/>
      <c r="ANM27" s="198"/>
      <c r="ANN27" s="198"/>
      <c r="ANO27" s="198"/>
      <c r="ANP27" s="198"/>
      <c r="ANQ27" s="198"/>
      <c r="ANR27" s="198"/>
      <c r="ANS27" s="198"/>
      <c r="ANT27" s="198"/>
      <c r="ANU27" s="198"/>
      <c r="ANV27" s="198"/>
      <c r="ANW27" s="198"/>
      <c r="ANX27" s="198"/>
      <c r="ANY27" s="198"/>
      <c r="ANZ27" s="198"/>
      <c r="AOA27" s="198"/>
      <c r="AOB27" s="198"/>
      <c r="AOC27" s="198"/>
      <c r="AOD27" s="198"/>
      <c r="AOE27" s="198"/>
      <c r="AOF27" s="198"/>
      <c r="AOG27" s="198"/>
      <c r="AOH27" s="198"/>
      <c r="AOI27" s="198"/>
      <c r="AOJ27" s="198"/>
      <c r="AOK27" s="198"/>
      <c r="AOL27" s="198"/>
      <c r="AOM27" s="198"/>
      <c r="AON27" s="198"/>
      <c r="AOO27" s="198"/>
      <c r="AOP27" s="198"/>
      <c r="AOQ27" s="198"/>
      <c r="AOR27" s="198"/>
      <c r="AOS27" s="198"/>
      <c r="AOT27" s="198"/>
      <c r="AOU27" s="198"/>
      <c r="AOV27" s="198"/>
      <c r="AOW27" s="198"/>
      <c r="AOX27" s="198"/>
      <c r="AOY27" s="198"/>
      <c r="AOZ27" s="198"/>
      <c r="APA27" s="198"/>
      <c r="APB27" s="198"/>
      <c r="APC27" s="198"/>
      <c r="APD27" s="198"/>
      <c r="APE27" s="198"/>
      <c r="APF27" s="198"/>
      <c r="APG27" s="198"/>
      <c r="APH27" s="198"/>
      <c r="API27" s="198"/>
      <c r="APJ27" s="198"/>
      <c r="APK27" s="198"/>
      <c r="APL27" s="198"/>
      <c r="APM27" s="198"/>
      <c r="APN27" s="198"/>
      <c r="APO27" s="198"/>
      <c r="APP27" s="198"/>
      <c r="APQ27" s="198"/>
      <c r="APR27" s="198"/>
      <c r="APS27" s="198"/>
      <c r="APT27" s="198"/>
      <c r="APU27" s="198"/>
      <c r="APV27" s="198"/>
      <c r="APW27" s="198"/>
      <c r="APX27" s="198"/>
      <c r="APY27" s="198"/>
      <c r="APZ27" s="198"/>
      <c r="AQA27" s="198"/>
      <c r="AQB27" s="198"/>
      <c r="AQC27" s="198"/>
      <c r="AQD27" s="198"/>
      <c r="AQE27" s="198"/>
      <c r="AQF27" s="198"/>
      <c r="AQG27" s="198"/>
      <c r="AQH27" s="198"/>
      <c r="AQI27" s="198"/>
      <c r="AQJ27" s="198"/>
      <c r="AQK27" s="198"/>
      <c r="AQL27" s="198"/>
      <c r="AQM27" s="198"/>
      <c r="AQN27" s="198"/>
      <c r="AQO27" s="198"/>
      <c r="AQP27" s="198"/>
      <c r="AQQ27" s="198"/>
      <c r="AQR27" s="198"/>
      <c r="AQS27" s="198"/>
      <c r="AQT27" s="198"/>
      <c r="AQU27" s="198"/>
      <c r="AQV27" s="198"/>
      <c r="AQW27" s="198"/>
      <c r="AQX27" s="198"/>
      <c r="AQY27" s="198"/>
      <c r="AQZ27" s="198"/>
      <c r="ARA27" s="198"/>
      <c r="ARB27" s="198"/>
      <c r="ARC27" s="198"/>
      <c r="ARD27" s="198"/>
      <c r="ARE27" s="198"/>
      <c r="ARF27" s="198"/>
      <c r="ARG27" s="198"/>
      <c r="ARH27" s="198"/>
      <c r="ARI27" s="198"/>
      <c r="ARJ27" s="198"/>
      <c r="ARK27" s="198"/>
      <c r="ARL27" s="198"/>
      <c r="ARM27" s="198"/>
      <c r="ARN27" s="198"/>
      <c r="ARO27" s="198"/>
      <c r="ARP27" s="198"/>
      <c r="ARQ27" s="198"/>
      <c r="ARR27" s="198"/>
      <c r="ARS27" s="198"/>
      <c r="ART27" s="198"/>
      <c r="ARU27" s="198"/>
      <c r="ARV27" s="198"/>
      <c r="ARW27" s="198"/>
      <c r="ARX27" s="198"/>
      <c r="ARY27" s="198"/>
      <c r="ARZ27" s="198"/>
      <c r="ASA27" s="198"/>
      <c r="ASB27" s="198"/>
      <c r="ASC27" s="198"/>
      <c r="ASD27" s="198"/>
      <c r="ASE27" s="198"/>
      <c r="ASF27" s="198"/>
      <c r="ASG27" s="198"/>
      <c r="ASH27" s="198"/>
      <c r="ASI27" s="198"/>
      <c r="ASJ27" s="198"/>
      <c r="ASK27" s="198"/>
      <c r="ASL27" s="198"/>
      <c r="ASM27" s="198"/>
      <c r="ASN27" s="198"/>
      <c r="ASO27" s="198"/>
      <c r="ASP27" s="198"/>
      <c r="ASQ27" s="198"/>
      <c r="ASR27" s="198"/>
      <c r="ASS27" s="198"/>
      <c r="AST27" s="198"/>
      <c r="ASU27" s="198"/>
      <c r="ASV27" s="198"/>
      <c r="ASW27" s="198"/>
      <c r="ASX27" s="198"/>
      <c r="ASY27" s="198"/>
      <c r="ASZ27" s="198"/>
      <c r="ATA27" s="198"/>
      <c r="ATB27" s="198"/>
      <c r="ATC27" s="198"/>
      <c r="ATD27" s="198"/>
      <c r="ATE27" s="198"/>
      <c r="ATF27" s="198"/>
      <c r="ATG27" s="198"/>
      <c r="ATH27" s="198"/>
      <c r="ATI27" s="198"/>
      <c r="ATJ27" s="198"/>
      <c r="ATK27" s="198"/>
      <c r="ATL27" s="198"/>
      <c r="ATM27" s="198"/>
      <c r="ATN27" s="198"/>
      <c r="ATO27" s="198"/>
      <c r="ATP27" s="198"/>
      <c r="ATQ27" s="198"/>
      <c r="ATR27" s="198"/>
      <c r="ATS27" s="198"/>
      <c r="ATT27" s="198"/>
      <c r="ATU27" s="198"/>
      <c r="ATV27" s="198"/>
      <c r="ATW27" s="198"/>
      <c r="ATX27" s="198"/>
      <c r="ATY27" s="198"/>
      <c r="ATZ27" s="198"/>
      <c r="AUA27" s="198"/>
      <c r="AUB27" s="198"/>
      <c r="AUC27" s="198"/>
      <c r="AUD27" s="198"/>
      <c r="AUE27" s="198"/>
      <c r="AUF27" s="198"/>
      <c r="AUG27" s="198"/>
      <c r="AUH27" s="198"/>
      <c r="AUI27" s="198"/>
      <c r="AUJ27" s="198"/>
      <c r="AUK27" s="198"/>
      <c r="AUL27" s="198"/>
      <c r="AUM27" s="198"/>
      <c r="AUN27" s="198"/>
      <c r="AUO27" s="198"/>
      <c r="AUP27" s="198"/>
      <c r="AUQ27" s="198"/>
      <c r="AUR27" s="198"/>
      <c r="AUS27" s="198"/>
      <c r="AUT27" s="198"/>
      <c r="AUU27" s="198"/>
      <c r="AUV27" s="198"/>
      <c r="AUW27" s="198"/>
      <c r="AUX27" s="198"/>
      <c r="AUY27" s="198"/>
      <c r="AUZ27" s="198"/>
      <c r="AVA27" s="198"/>
      <c r="AVB27" s="198"/>
      <c r="AVC27" s="198"/>
      <c r="AVD27" s="198"/>
      <c r="AVE27" s="198"/>
      <c r="AVF27" s="198"/>
      <c r="AVG27" s="198"/>
      <c r="AVH27" s="198"/>
      <c r="AVI27" s="198"/>
      <c r="AVJ27" s="198"/>
      <c r="AVK27" s="198"/>
      <c r="AVL27" s="198"/>
      <c r="AVM27" s="198"/>
      <c r="AVN27" s="198"/>
      <c r="AVO27" s="198"/>
      <c r="AVP27" s="198"/>
      <c r="AVQ27" s="198"/>
      <c r="AVR27" s="198"/>
      <c r="AVS27" s="198"/>
      <c r="AVT27" s="198"/>
      <c r="AVU27" s="198"/>
      <c r="AVV27" s="198"/>
      <c r="AVW27" s="198"/>
      <c r="AVX27" s="198"/>
      <c r="AVY27" s="198"/>
      <c r="AVZ27" s="198"/>
      <c r="AWA27" s="198"/>
      <c r="AWB27" s="198"/>
      <c r="AWC27" s="198"/>
      <c r="AWD27" s="198"/>
      <c r="AWE27" s="198"/>
      <c r="AWF27" s="198"/>
      <c r="AWG27" s="198"/>
      <c r="AWH27" s="198"/>
      <c r="AWI27" s="198"/>
      <c r="AWJ27" s="198"/>
      <c r="AWK27" s="198"/>
      <c r="AWL27" s="198"/>
      <c r="AWM27" s="198"/>
      <c r="AWN27" s="198"/>
      <c r="AWO27" s="198"/>
      <c r="AWP27" s="198"/>
      <c r="AWQ27" s="198"/>
      <c r="AWR27" s="198"/>
      <c r="AWS27" s="198"/>
      <c r="AWT27" s="198"/>
      <c r="AWU27" s="198"/>
      <c r="AWV27" s="198"/>
      <c r="AWW27" s="198"/>
      <c r="AWX27" s="198"/>
      <c r="AWY27" s="198"/>
      <c r="AWZ27" s="198"/>
      <c r="AXA27" s="198"/>
      <c r="AXB27" s="198"/>
      <c r="AXC27" s="198"/>
      <c r="AXD27" s="198"/>
      <c r="AXE27" s="198"/>
      <c r="AXF27" s="198"/>
      <c r="AXG27" s="198"/>
      <c r="AXH27" s="198"/>
      <c r="AXI27" s="198"/>
      <c r="AXJ27" s="198"/>
      <c r="AXK27" s="198"/>
      <c r="AXL27" s="198"/>
      <c r="AXM27" s="198"/>
      <c r="AXN27" s="198"/>
      <c r="AXO27" s="198"/>
      <c r="AXP27" s="198"/>
      <c r="AXQ27" s="198"/>
      <c r="AXR27" s="198"/>
      <c r="AXS27" s="198"/>
      <c r="AXT27" s="198"/>
      <c r="AXU27" s="198"/>
      <c r="AXV27" s="198"/>
      <c r="AXW27" s="198"/>
      <c r="AXX27" s="198"/>
      <c r="AXY27" s="198"/>
      <c r="AXZ27" s="198"/>
      <c r="AYA27" s="198"/>
      <c r="AYB27" s="198"/>
      <c r="AYC27" s="198"/>
      <c r="AYD27" s="198"/>
      <c r="AYE27" s="198"/>
      <c r="AYF27" s="198"/>
      <c r="AYG27" s="198"/>
      <c r="AYH27" s="198"/>
      <c r="AYI27" s="198"/>
      <c r="AYJ27" s="198"/>
      <c r="AYK27" s="198"/>
      <c r="AYL27" s="198"/>
      <c r="AYM27" s="198"/>
      <c r="AYN27" s="198"/>
      <c r="AYO27" s="198"/>
      <c r="AYP27" s="198"/>
      <c r="AYQ27" s="198"/>
      <c r="AYR27" s="198"/>
      <c r="AYS27" s="198"/>
      <c r="AYT27" s="198"/>
      <c r="AYU27" s="198"/>
      <c r="AYV27" s="198"/>
      <c r="AYW27" s="198"/>
      <c r="AYX27" s="198"/>
      <c r="AYY27" s="198"/>
      <c r="AYZ27" s="198"/>
      <c r="AZA27" s="198"/>
      <c r="AZB27" s="198"/>
      <c r="AZC27" s="198"/>
      <c r="AZD27" s="198"/>
      <c r="AZE27" s="198"/>
      <c r="AZF27" s="198"/>
      <c r="AZG27" s="198"/>
      <c r="AZH27" s="198"/>
      <c r="AZI27" s="198"/>
      <c r="AZJ27" s="198"/>
      <c r="AZK27" s="198"/>
      <c r="AZL27" s="198"/>
      <c r="AZM27" s="198"/>
      <c r="AZN27" s="198"/>
      <c r="AZO27" s="198"/>
      <c r="AZP27" s="198"/>
      <c r="AZQ27" s="198"/>
      <c r="AZR27" s="198"/>
      <c r="AZS27" s="198"/>
      <c r="AZT27" s="198"/>
      <c r="AZU27" s="198"/>
      <c r="AZV27" s="198"/>
      <c r="AZW27" s="198"/>
      <c r="AZX27" s="198"/>
      <c r="AZY27" s="198"/>
      <c r="AZZ27" s="198"/>
      <c r="BAA27" s="198"/>
      <c r="BAB27" s="198"/>
      <c r="BAC27" s="198"/>
      <c r="BAD27" s="198"/>
      <c r="BAE27" s="198"/>
      <c r="BAF27" s="198"/>
      <c r="BAG27" s="198"/>
      <c r="BAH27" s="198"/>
      <c r="BAI27" s="198"/>
      <c r="BAJ27" s="198"/>
      <c r="BAK27" s="198"/>
      <c r="BAL27" s="198"/>
      <c r="BAM27" s="198"/>
      <c r="BAN27" s="198"/>
      <c r="BAO27" s="198"/>
      <c r="BAP27" s="198"/>
      <c r="BAQ27" s="198"/>
      <c r="BAR27" s="198"/>
      <c r="BAS27" s="198"/>
      <c r="BAT27" s="198"/>
      <c r="BAU27" s="198"/>
      <c r="BAV27" s="198"/>
      <c r="BAW27" s="198"/>
      <c r="BAX27" s="198"/>
      <c r="BAY27" s="198"/>
      <c r="BAZ27" s="198"/>
      <c r="BBA27" s="198"/>
      <c r="BBB27" s="198"/>
      <c r="BBC27" s="198"/>
      <c r="BBD27" s="198"/>
      <c r="BBE27" s="198"/>
      <c r="BBF27" s="198"/>
      <c r="BBG27" s="198"/>
      <c r="BBH27" s="198"/>
      <c r="BBI27" s="198"/>
      <c r="BBJ27" s="198"/>
      <c r="BBK27" s="198"/>
      <c r="BBL27" s="198"/>
      <c r="BBM27" s="198"/>
      <c r="BBN27" s="198"/>
      <c r="BBO27" s="198"/>
      <c r="BBP27" s="198"/>
      <c r="BBQ27" s="198"/>
      <c r="BBR27" s="198"/>
      <c r="BBS27" s="198"/>
      <c r="BBT27" s="198"/>
      <c r="BBU27" s="198"/>
      <c r="BBV27" s="198"/>
      <c r="BBW27" s="198"/>
      <c r="BBX27" s="198"/>
      <c r="BBY27" s="198"/>
      <c r="BBZ27" s="198"/>
      <c r="BCA27" s="198"/>
      <c r="BCB27" s="198"/>
      <c r="BCC27" s="198"/>
      <c r="BCD27" s="198"/>
      <c r="BCE27" s="198"/>
      <c r="BCF27" s="198"/>
      <c r="BCG27" s="198"/>
      <c r="BCH27" s="198"/>
      <c r="BCI27" s="198"/>
      <c r="BCJ27" s="198"/>
      <c r="BCK27" s="198"/>
      <c r="BCL27" s="198"/>
      <c r="BCM27" s="198"/>
      <c r="BCN27" s="198"/>
      <c r="BCO27" s="198"/>
      <c r="BCP27" s="198"/>
      <c r="BCQ27" s="198"/>
      <c r="BCR27" s="198"/>
      <c r="BCS27" s="198"/>
      <c r="BCT27" s="198"/>
      <c r="BCU27" s="198"/>
      <c r="BCV27" s="198"/>
      <c r="BCW27" s="198"/>
      <c r="BCX27" s="198"/>
      <c r="BCY27" s="198"/>
      <c r="BCZ27" s="198"/>
      <c r="BDA27" s="198"/>
      <c r="BDB27" s="198"/>
      <c r="BDC27" s="198"/>
      <c r="BDD27" s="198"/>
      <c r="BDE27" s="198"/>
      <c r="BDF27" s="198"/>
      <c r="BDG27" s="198"/>
      <c r="BDH27" s="198"/>
      <c r="BDI27" s="198"/>
      <c r="BDJ27" s="198"/>
      <c r="BDK27" s="198"/>
      <c r="BDL27" s="198"/>
      <c r="BDM27" s="198"/>
      <c r="BDN27" s="198"/>
      <c r="BDO27" s="198"/>
      <c r="BDP27" s="198"/>
      <c r="BDQ27" s="198"/>
      <c r="BDR27" s="198"/>
      <c r="BDS27" s="198"/>
      <c r="BDT27" s="198"/>
      <c r="BDU27" s="198"/>
      <c r="BDV27" s="198"/>
      <c r="BDW27" s="198"/>
      <c r="BDX27" s="198"/>
      <c r="BDY27" s="198"/>
      <c r="BDZ27" s="198"/>
      <c r="BEA27" s="198"/>
      <c r="BEB27" s="198"/>
      <c r="BEC27" s="198"/>
      <c r="BED27" s="198"/>
      <c r="BEE27" s="198"/>
      <c r="BEF27" s="198"/>
      <c r="BEG27" s="198"/>
      <c r="BEH27" s="198"/>
      <c r="BEI27" s="198"/>
      <c r="BEJ27" s="198"/>
      <c r="BEK27" s="198"/>
      <c r="BEL27" s="198"/>
      <c r="BEM27" s="198"/>
      <c r="BEN27" s="198"/>
      <c r="BEO27" s="198"/>
      <c r="BEP27" s="198"/>
      <c r="BEQ27" s="198"/>
      <c r="BER27" s="198"/>
      <c r="BES27" s="198"/>
      <c r="BET27" s="198"/>
      <c r="BEU27" s="198"/>
      <c r="BEV27" s="198"/>
      <c r="BEW27" s="198"/>
      <c r="BEX27" s="198"/>
      <c r="BEY27" s="198"/>
      <c r="BEZ27" s="198"/>
      <c r="BFA27" s="198"/>
      <c r="BFB27" s="198"/>
      <c r="BFC27" s="198"/>
      <c r="BFD27" s="198"/>
      <c r="BFE27" s="198"/>
      <c r="BFF27" s="198"/>
      <c r="BFG27" s="198"/>
      <c r="BFH27" s="198"/>
      <c r="BFI27" s="198"/>
      <c r="BFJ27" s="198"/>
      <c r="BFK27" s="198"/>
      <c r="BFL27" s="198"/>
      <c r="BFM27" s="198"/>
      <c r="BFN27" s="198"/>
      <c r="BFO27" s="198"/>
      <c r="BFP27" s="198"/>
      <c r="BFQ27" s="198"/>
      <c r="BFR27" s="198"/>
      <c r="BFS27" s="198"/>
      <c r="BFT27" s="198"/>
      <c r="BFU27" s="198"/>
      <c r="BFV27" s="198"/>
      <c r="BFW27" s="198"/>
      <c r="BFX27" s="198"/>
      <c r="BFY27" s="198"/>
      <c r="BFZ27" s="198"/>
      <c r="BGA27" s="198"/>
      <c r="BGB27" s="198"/>
      <c r="BGC27" s="198"/>
      <c r="BGD27" s="198"/>
      <c r="BGE27" s="198"/>
      <c r="BGF27" s="198"/>
      <c r="BGG27" s="198"/>
      <c r="BGH27" s="198"/>
      <c r="BGI27" s="198"/>
      <c r="BGJ27" s="198"/>
      <c r="BGK27" s="198"/>
      <c r="BGL27" s="198"/>
      <c r="BGM27" s="198"/>
      <c r="BGN27" s="198"/>
      <c r="BGO27" s="198"/>
      <c r="BGP27" s="198"/>
      <c r="BGQ27" s="198"/>
      <c r="BGR27" s="198"/>
      <c r="BGS27" s="198"/>
      <c r="BGT27" s="198"/>
      <c r="BGU27" s="198"/>
      <c r="BGV27" s="198"/>
      <c r="BGW27" s="198"/>
      <c r="BGX27" s="198"/>
      <c r="BGY27" s="198"/>
      <c r="BGZ27" s="198"/>
      <c r="BHA27" s="198"/>
      <c r="BHB27" s="198"/>
      <c r="BHC27" s="198"/>
      <c r="BHD27" s="198"/>
      <c r="BHE27" s="198"/>
      <c r="BHF27" s="198"/>
      <c r="BHG27" s="198"/>
      <c r="BHH27" s="198"/>
      <c r="BHI27" s="198"/>
      <c r="BHJ27" s="198"/>
      <c r="BHK27" s="198"/>
      <c r="BHL27" s="198"/>
      <c r="BHM27" s="198"/>
      <c r="BHN27" s="198"/>
      <c r="BHO27" s="198"/>
      <c r="BHP27" s="198"/>
      <c r="BHQ27" s="198"/>
      <c r="BHR27" s="198"/>
      <c r="BHS27" s="198"/>
      <c r="BHT27" s="198"/>
      <c r="BHU27" s="198"/>
      <c r="BHV27" s="198"/>
      <c r="BHW27" s="198"/>
      <c r="BHX27" s="198"/>
      <c r="BHY27" s="198"/>
      <c r="BHZ27" s="198"/>
      <c r="BIA27" s="198"/>
      <c r="BIB27" s="198"/>
      <c r="BIC27" s="198"/>
      <c r="BID27" s="198"/>
      <c r="BIE27" s="198"/>
      <c r="BIF27" s="198"/>
      <c r="BIG27" s="198"/>
      <c r="BIH27" s="198"/>
      <c r="BII27" s="198"/>
      <c r="BIJ27" s="198"/>
      <c r="BIK27" s="198"/>
      <c r="BIL27" s="198"/>
      <c r="BIM27" s="198"/>
      <c r="BIN27" s="198"/>
      <c r="BIO27" s="198"/>
      <c r="BIP27" s="198"/>
      <c r="BIQ27" s="198"/>
      <c r="BIR27" s="198"/>
      <c r="BIS27" s="198"/>
      <c r="BIT27" s="198"/>
      <c r="BIU27" s="198"/>
      <c r="BIV27" s="198"/>
      <c r="BIW27" s="198"/>
      <c r="BIX27" s="198"/>
      <c r="BIY27" s="198"/>
      <c r="BIZ27" s="198"/>
      <c r="BJA27" s="198"/>
      <c r="BJB27" s="198"/>
      <c r="BJC27" s="198"/>
      <c r="BJD27" s="198"/>
      <c r="BJE27" s="198"/>
      <c r="BJF27" s="198"/>
      <c r="BJG27" s="198"/>
      <c r="BJH27" s="198"/>
      <c r="BJI27" s="198"/>
      <c r="BJJ27" s="198"/>
      <c r="BJK27" s="198"/>
      <c r="BJL27" s="198"/>
      <c r="BJM27" s="198"/>
      <c r="BJN27" s="198"/>
      <c r="BJO27" s="198"/>
      <c r="BJP27" s="198"/>
      <c r="BJQ27" s="198"/>
      <c r="BJR27" s="198"/>
      <c r="BJS27" s="198"/>
      <c r="BJT27" s="198"/>
      <c r="BJU27" s="198"/>
      <c r="BJV27" s="198"/>
      <c r="BJW27" s="198"/>
      <c r="BJX27" s="198"/>
      <c r="BJY27" s="198"/>
      <c r="BJZ27" s="198"/>
      <c r="BKA27" s="198"/>
      <c r="BKB27" s="198"/>
      <c r="BKC27" s="198"/>
      <c r="BKD27" s="198"/>
      <c r="BKE27" s="198"/>
      <c r="BKF27" s="198"/>
      <c r="BKG27" s="198"/>
      <c r="BKH27" s="198"/>
      <c r="BKI27" s="198"/>
      <c r="BKJ27" s="198"/>
      <c r="BKK27" s="198"/>
      <c r="BKL27" s="198"/>
      <c r="BKM27" s="198"/>
      <c r="BKN27" s="198"/>
      <c r="BKO27" s="198"/>
      <c r="BKP27" s="198"/>
      <c r="BKQ27" s="198"/>
      <c r="BKR27" s="198"/>
      <c r="BKS27" s="198"/>
      <c r="BKT27" s="198"/>
      <c r="BKU27" s="198"/>
      <c r="BKV27" s="198"/>
      <c r="BKW27" s="198"/>
      <c r="BKX27" s="198"/>
      <c r="BKY27" s="198"/>
      <c r="BKZ27" s="198"/>
      <c r="BLA27" s="198"/>
      <c r="BLB27" s="198"/>
      <c r="BLC27" s="198"/>
      <c r="BLD27" s="198"/>
      <c r="BLE27" s="198"/>
      <c r="BLF27" s="198"/>
      <c r="BLG27" s="198"/>
      <c r="BLH27" s="198"/>
      <c r="BLI27" s="198"/>
      <c r="BLJ27" s="198"/>
      <c r="BLK27" s="198"/>
      <c r="BLL27" s="198"/>
      <c r="BLM27" s="198"/>
      <c r="BLN27" s="198"/>
      <c r="BLO27" s="198"/>
      <c r="BLP27" s="198"/>
      <c r="BLQ27" s="198"/>
      <c r="BLR27" s="198"/>
      <c r="BLS27" s="198"/>
      <c r="BLT27" s="198"/>
      <c r="BLU27" s="198"/>
      <c r="BLV27" s="198"/>
      <c r="BLW27" s="198"/>
      <c r="BLX27" s="198"/>
      <c r="BLY27" s="198"/>
      <c r="BLZ27" s="198"/>
      <c r="BMA27" s="198"/>
      <c r="BMB27" s="198"/>
      <c r="BMC27" s="198"/>
      <c r="BMD27" s="198"/>
      <c r="BME27" s="198"/>
      <c r="BMF27" s="198"/>
      <c r="BMG27" s="198"/>
      <c r="BMH27" s="198"/>
      <c r="BMI27" s="198"/>
      <c r="BMJ27" s="198"/>
      <c r="BMK27" s="198"/>
      <c r="BML27" s="198"/>
      <c r="BMM27" s="198"/>
      <c r="BMN27" s="198"/>
      <c r="BMO27" s="198"/>
      <c r="BMP27" s="198"/>
      <c r="BMQ27" s="198"/>
      <c r="BMR27" s="198"/>
      <c r="BMS27" s="198"/>
      <c r="BMT27" s="198"/>
      <c r="BMU27" s="198"/>
      <c r="BMV27" s="198"/>
      <c r="BMW27" s="198"/>
      <c r="BMX27" s="198"/>
      <c r="BMY27" s="198"/>
      <c r="BMZ27" s="198"/>
      <c r="BNA27" s="198"/>
      <c r="BNB27" s="198"/>
      <c r="BNC27" s="198"/>
      <c r="BND27" s="198"/>
      <c r="BNE27" s="198"/>
      <c r="BNF27" s="198"/>
      <c r="BNG27" s="198"/>
      <c r="BNH27" s="198"/>
      <c r="BNI27" s="198"/>
      <c r="BNJ27" s="198"/>
      <c r="BNK27" s="198"/>
      <c r="BNL27" s="198"/>
      <c r="BNM27" s="198"/>
      <c r="BNN27" s="198"/>
      <c r="BNO27" s="198"/>
      <c r="BNP27" s="198"/>
      <c r="BNQ27" s="198"/>
      <c r="BNR27" s="198"/>
      <c r="BNS27" s="198"/>
      <c r="BNT27" s="198"/>
      <c r="BNU27" s="198"/>
      <c r="BNV27" s="198"/>
      <c r="BNW27" s="198"/>
      <c r="BNX27" s="198"/>
      <c r="BNY27" s="198"/>
      <c r="BNZ27" s="198"/>
      <c r="BOA27" s="198"/>
      <c r="BOB27" s="198"/>
      <c r="BOC27" s="198"/>
      <c r="BOD27" s="198"/>
      <c r="BOE27" s="198"/>
      <c r="BOF27" s="198"/>
      <c r="BOG27" s="198"/>
      <c r="BOH27" s="198"/>
      <c r="BOI27" s="198"/>
      <c r="BOJ27" s="198"/>
      <c r="BOK27" s="198"/>
      <c r="BOL27" s="198"/>
      <c r="BOM27" s="198"/>
      <c r="BON27" s="198"/>
      <c r="BOO27" s="198"/>
      <c r="BOP27" s="198"/>
      <c r="BOQ27" s="198"/>
      <c r="BOR27" s="198"/>
      <c r="BOS27" s="198"/>
      <c r="BOT27" s="198"/>
      <c r="BOU27" s="198"/>
      <c r="BOV27" s="198"/>
      <c r="BOW27" s="198"/>
      <c r="BOX27" s="198"/>
      <c r="BOY27" s="198"/>
      <c r="BOZ27" s="198"/>
      <c r="BPA27" s="198"/>
      <c r="BPB27" s="198"/>
      <c r="BPC27" s="198"/>
      <c r="BPD27" s="198"/>
      <c r="BPE27" s="198"/>
      <c r="BPF27" s="198"/>
      <c r="BPG27" s="198"/>
      <c r="BPH27" s="198"/>
      <c r="BPI27" s="198"/>
      <c r="BPJ27" s="198"/>
      <c r="BPK27" s="198"/>
      <c r="BPL27" s="198"/>
      <c r="BPM27" s="198"/>
      <c r="BPN27" s="198"/>
      <c r="BPO27" s="198"/>
      <c r="BPP27" s="198"/>
      <c r="BPQ27" s="198"/>
      <c r="BPR27" s="198"/>
      <c r="BPS27" s="198"/>
      <c r="BPT27" s="198"/>
      <c r="BPU27" s="198"/>
      <c r="BPV27" s="198"/>
      <c r="BPW27" s="198"/>
      <c r="BPX27" s="198"/>
      <c r="BPY27" s="198"/>
      <c r="BPZ27" s="198"/>
      <c r="BQA27" s="198"/>
      <c r="BQB27" s="198"/>
      <c r="BQC27" s="198"/>
      <c r="BQD27" s="198"/>
      <c r="BQE27" s="198"/>
      <c r="BQF27" s="198"/>
      <c r="BQG27" s="198"/>
      <c r="BQH27" s="198"/>
      <c r="BQI27" s="198"/>
      <c r="BQJ27" s="198"/>
      <c r="BQK27" s="198"/>
      <c r="BQL27" s="198"/>
      <c r="BQM27" s="198"/>
      <c r="BQN27" s="198"/>
      <c r="BQO27" s="198"/>
      <c r="BQP27" s="198"/>
      <c r="BQQ27" s="198"/>
      <c r="BQR27" s="198"/>
      <c r="BQS27" s="198"/>
      <c r="BQT27" s="198"/>
      <c r="BQU27" s="198"/>
      <c r="BQV27" s="198"/>
      <c r="BQW27" s="198"/>
      <c r="BQX27" s="198"/>
      <c r="BQY27" s="198"/>
      <c r="BQZ27" s="198"/>
      <c r="BRA27" s="198"/>
      <c r="BRB27" s="198"/>
      <c r="BRC27" s="198"/>
      <c r="BRD27" s="198"/>
      <c r="BRE27" s="198"/>
      <c r="BRF27" s="198"/>
      <c r="BRG27" s="198"/>
      <c r="BRH27" s="198"/>
      <c r="BRI27" s="198"/>
      <c r="BRJ27" s="198"/>
      <c r="BRK27" s="198"/>
      <c r="BRL27" s="198"/>
      <c r="BRM27" s="198"/>
      <c r="BRN27" s="198"/>
      <c r="BRO27" s="198"/>
      <c r="BRP27" s="198"/>
      <c r="BRQ27" s="198"/>
      <c r="BRR27" s="198"/>
      <c r="BRS27" s="198"/>
      <c r="BRT27" s="198"/>
      <c r="BRU27" s="198"/>
      <c r="BRV27" s="198"/>
      <c r="BRW27" s="198"/>
      <c r="BRX27" s="198"/>
      <c r="BRY27" s="198"/>
      <c r="BRZ27" s="198"/>
      <c r="BSA27" s="198"/>
      <c r="BSB27" s="198"/>
      <c r="BSC27" s="198"/>
      <c r="BSD27" s="198"/>
      <c r="BSE27" s="198"/>
      <c r="BSF27" s="198"/>
      <c r="BSG27" s="198"/>
      <c r="BSH27" s="198"/>
      <c r="BSI27" s="198"/>
      <c r="BSJ27" s="198"/>
      <c r="BSK27" s="198"/>
      <c r="BSL27" s="198"/>
      <c r="BSM27" s="198"/>
      <c r="BSN27" s="198"/>
      <c r="BSO27" s="198"/>
      <c r="BSP27" s="198"/>
      <c r="BSQ27" s="198"/>
      <c r="BSR27" s="198"/>
      <c r="BSS27" s="198"/>
      <c r="BST27" s="198"/>
      <c r="BSU27" s="198"/>
      <c r="BSV27" s="198"/>
      <c r="BSW27" s="198"/>
      <c r="BSX27" s="198"/>
      <c r="BSY27" s="198"/>
      <c r="BSZ27" s="198"/>
      <c r="BTA27" s="198"/>
      <c r="BTB27" s="198"/>
      <c r="BTC27" s="198"/>
      <c r="BTD27" s="198"/>
      <c r="BTE27" s="198"/>
      <c r="BTF27" s="198"/>
      <c r="BTG27" s="198"/>
      <c r="BTH27" s="198"/>
      <c r="BTI27" s="198"/>
      <c r="BTJ27" s="198"/>
      <c r="BTK27" s="198"/>
      <c r="BTL27" s="198"/>
      <c r="BTM27" s="198"/>
      <c r="BTN27" s="198"/>
      <c r="BTO27" s="198"/>
      <c r="BTP27" s="198"/>
      <c r="BTQ27" s="198"/>
      <c r="BTR27" s="198"/>
      <c r="BTS27" s="198"/>
      <c r="BTT27" s="198"/>
      <c r="BTU27" s="198"/>
      <c r="BTV27" s="198"/>
      <c r="BTW27" s="198"/>
      <c r="BTX27" s="198"/>
      <c r="BTY27" s="198"/>
      <c r="BTZ27" s="198"/>
      <c r="BUA27" s="198"/>
      <c r="BUB27" s="198"/>
      <c r="BUC27" s="198"/>
      <c r="BUD27" s="198"/>
      <c r="BUE27" s="198"/>
      <c r="BUF27" s="198"/>
      <c r="BUG27" s="198"/>
      <c r="BUH27" s="198"/>
      <c r="BUI27" s="198"/>
      <c r="BUJ27" s="198"/>
      <c r="BUK27" s="198"/>
      <c r="BUL27" s="198"/>
      <c r="BUM27" s="198"/>
      <c r="BUN27" s="198"/>
      <c r="BUO27" s="198"/>
      <c r="BUP27" s="198"/>
      <c r="BUQ27" s="198"/>
      <c r="BUR27" s="198"/>
      <c r="BUS27" s="198"/>
      <c r="BUT27" s="198"/>
      <c r="BUU27" s="198"/>
      <c r="BUV27" s="198"/>
      <c r="BUW27" s="198"/>
      <c r="BUX27" s="198"/>
      <c r="BUY27" s="198"/>
      <c r="BUZ27" s="198"/>
      <c r="BVA27" s="198"/>
      <c r="BVB27" s="198"/>
      <c r="BVC27" s="198"/>
      <c r="BVD27" s="198"/>
      <c r="BVE27" s="198"/>
      <c r="BVF27" s="198"/>
      <c r="BVG27" s="198"/>
      <c r="BVH27" s="198"/>
      <c r="BVI27" s="198"/>
      <c r="BVJ27" s="198"/>
      <c r="BVK27" s="198"/>
      <c r="BVL27" s="198"/>
      <c r="BVM27" s="198"/>
      <c r="BVN27" s="198"/>
      <c r="BVO27" s="198"/>
      <c r="BVP27" s="198"/>
      <c r="BVQ27" s="198"/>
      <c r="BVR27" s="198"/>
      <c r="BVS27" s="198"/>
      <c r="BVT27" s="198"/>
      <c r="BVU27" s="198"/>
      <c r="BVV27" s="198"/>
      <c r="BVW27" s="198"/>
      <c r="BVX27" s="198"/>
      <c r="BVY27" s="198"/>
      <c r="BVZ27" s="198"/>
      <c r="BWA27" s="198"/>
      <c r="BWB27" s="198"/>
      <c r="BWC27" s="198"/>
      <c r="BWD27" s="198"/>
      <c r="BWE27" s="198"/>
      <c r="BWF27" s="198"/>
      <c r="BWG27" s="198"/>
      <c r="BWH27" s="198"/>
      <c r="BWI27" s="198"/>
      <c r="BWJ27" s="198"/>
      <c r="BWK27" s="198"/>
      <c r="BWL27" s="198"/>
      <c r="BWM27" s="198"/>
      <c r="BWN27" s="198"/>
      <c r="BWO27" s="198"/>
      <c r="BWP27" s="198"/>
      <c r="BWQ27" s="198"/>
      <c r="BWR27" s="198"/>
      <c r="BWS27" s="198"/>
      <c r="BWT27" s="198"/>
      <c r="BWU27" s="198"/>
      <c r="BWV27" s="198"/>
      <c r="BWW27" s="198"/>
      <c r="BWX27" s="198"/>
      <c r="BWY27" s="198"/>
      <c r="BWZ27" s="198"/>
      <c r="BXA27" s="198"/>
      <c r="BXB27" s="198"/>
      <c r="BXC27" s="198"/>
      <c r="BXD27" s="198"/>
      <c r="BXE27" s="198"/>
      <c r="BXF27" s="198"/>
      <c r="BXG27" s="198"/>
      <c r="BXH27" s="198"/>
      <c r="BXI27" s="198"/>
      <c r="BXJ27" s="198"/>
      <c r="BXK27" s="198"/>
      <c r="BXL27" s="198"/>
      <c r="BXM27" s="198"/>
      <c r="BXN27" s="198"/>
      <c r="BXO27" s="198"/>
      <c r="BXP27" s="198"/>
      <c r="BXQ27" s="198"/>
      <c r="BXR27" s="198"/>
      <c r="BXS27" s="198"/>
      <c r="BXT27" s="198"/>
      <c r="BXU27" s="198"/>
      <c r="BXV27" s="198"/>
      <c r="BXW27" s="198"/>
      <c r="BXX27" s="198"/>
      <c r="BXY27" s="198"/>
      <c r="BXZ27" s="198"/>
      <c r="BYA27" s="198"/>
      <c r="BYB27" s="198"/>
      <c r="BYC27" s="198"/>
      <c r="BYD27" s="198"/>
      <c r="BYE27" s="198"/>
      <c r="BYF27" s="198"/>
      <c r="BYG27" s="198"/>
    </row>
    <row r="28" spans="1:2009" s="101" customFormat="1" ht="12.75" hidden="1" customHeight="1" thickBot="1" x14ac:dyDescent="0.3">
      <c r="A28" s="98"/>
      <c r="B28" s="98"/>
      <c r="C28" s="170"/>
      <c r="D28" s="170"/>
      <c r="E28" s="170"/>
      <c r="F28" s="170"/>
      <c r="G28" s="676"/>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158</v>
      </c>
      <c r="B29" s="142"/>
      <c r="C29" s="181"/>
      <c r="D29" s="181"/>
      <c r="E29" s="182"/>
      <c r="F29" s="182"/>
      <c r="G29" s="68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68"/>
      <c r="B30" s="114" t="s">
        <v>415</v>
      </c>
      <c r="C30" s="183"/>
      <c r="D30" s="183"/>
      <c r="E30" s="184"/>
      <c r="F30" s="184"/>
      <c r="G30" s="685">
        <f>SUM(C30:F30)</f>
        <v>0</v>
      </c>
      <c r="H30" s="94"/>
      <c r="I30" s="649"/>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49"/>
      <c r="B31" s="114" t="s">
        <v>430</v>
      </c>
      <c r="C31" s="183">
        <v>35360.339999999997</v>
      </c>
      <c r="D31" s="183">
        <v>23464.11</v>
      </c>
      <c r="E31" s="184">
        <v>24927.61</v>
      </c>
      <c r="F31" s="184"/>
      <c r="G31" s="685">
        <f>SUM(C31:F31)</f>
        <v>83752.06</v>
      </c>
      <c r="H31" s="94"/>
      <c r="I31" s="727"/>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20" customFormat="1" ht="24.95" customHeight="1" thickBot="1" x14ac:dyDescent="0.3">
      <c r="A32" s="215"/>
      <c r="B32" s="216" t="s">
        <v>159</v>
      </c>
      <c r="C32" s="217">
        <f>SUM(C30:C31)</f>
        <v>35360.339999999997</v>
      </c>
      <c r="D32" s="217">
        <f>D30+D31</f>
        <v>23464.11</v>
      </c>
      <c r="E32" s="217">
        <f>E30+E31</f>
        <v>24927.61</v>
      </c>
      <c r="F32" s="218"/>
      <c r="G32" s="686">
        <f>SUM(G30:G31)</f>
        <v>83752.06</v>
      </c>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c r="IU32" s="219"/>
      <c r="IV32" s="219"/>
      <c r="IW32" s="219"/>
      <c r="IX32" s="219"/>
      <c r="IY32" s="219"/>
      <c r="IZ32" s="219"/>
      <c r="JA32" s="219"/>
      <c r="JB32" s="219"/>
      <c r="JC32" s="219"/>
      <c r="JD32" s="219"/>
      <c r="JE32" s="219"/>
      <c r="JF32" s="219"/>
      <c r="JG32" s="219"/>
      <c r="JH32" s="219"/>
      <c r="JI32" s="219"/>
      <c r="JJ32" s="219"/>
      <c r="JK32" s="219"/>
      <c r="JL32" s="219"/>
      <c r="JM32" s="219"/>
      <c r="JN32" s="219"/>
      <c r="JO32" s="219"/>
      <c r="JP32" s="219"/>
      <c r="JQ32" s="219"/>
      <c r="JR32" s="219"/>
      <c r="JS32" s="219"/>
      <c r="JT32" s="219"/>
      <c r="JU32" s="219"/>
      <c r="JV32" s="219"/>
      <c r="JW32" s="219"/>
      <c r="JX32" s="219"/>
      <c r="JY32" s="219"/>
      <c r="JZ32" s="219"/>
      <c r="KA32" s="219"/>
      <c r="KB32" s="219"/>
      <c r="KC32" s="219"/>
      <c r="KD32" s="219"/>
      <c r="KE32" s="219"/>
      <c r="KF32" s="219"/>
      <c r="KG32" s="219"/>
      <c r="KH32" s="219"/>
      <c r="KI32" s="219"/>
      <c r="KJ32" s="219"/>
      <c r="KK32" s="219"/>
      <c r="KL32" s="219"/>
      <c r="KM32" s="219"/>
      <c r="KN32" s="219"/>
      <c r="KO32" s="219"/>
      <c r="KP32" s="219"/>
      <c r="KQ32" s="219"/>
      <c r="KR32" s="219"/>
      <c r="KS32" s="219"/>
      <c r="KT32" s="219"/>
      <c r="KU32" s="219"/>
      <c r="KV32" s="219"/>
      <c r="KW32" s="219"/>
      <c r="KX32" s="219"/>
      <c r="KY32" s="219"/>
      <c r="KZ32" s="219"/>
      <c r="LA32" s="219"/>
      <c r="LB32" s="219"/>
      <c r="LC32" s="219"/>
      <c r="LD32" s="219"/>
      <c r="LE32" s="219"/>
      <c r="LF32" s="219"/>
      <c r="LG32" s="219"/>
      <c r="LH32" s="219"/>
      <c r="LI32" s="219"/>
      <c r="LJ32" s="219"/>
      <c r="LK32" s="219"/>
      <c r="LL32" s="219"/>
      <c r="LM32" s="219"/>
      <c r="LN32" s="219"/>
      <c r="LO32" s="219"/>
      <c r="LP32" s="219"/>
      <c r="LQ32" s="219"/>
      <c r="LR32" s="219"/>
      <c r="LS32" s="219"/>
      <c r="LT32" s="219"/>
      <c r="LU32" s="219"/>
      <c r="LV32" s="219"/>
      <c r="LW32" s="219"/>
      <c r="LX32" s="219"/>
      <c r="LY32" s="219"/>
      <c r="LZ32" s="219"/>
      <c r="MA32" s="219"/>
      <c r="MB32" s="219"/>
      <c r="MC32" s="219"/>
      <c r="MD32" s="219"/>
      <c r="ME32" s="219"/>
      <c r="MF32" s="219"/>
      <c r="MG32" s="219"/>
      <c r="MH32" s="219"/>
      <c r="MI32" s="219"/>
      <c r="MJ32" s="219"/>
      <c r="MK32" s="219"/>
      <c r="ML32" s="219"/>
      <c r="MM32" s="219"/>
      <c r="MN32" s="219"/>
      <c r="MO32" s="219"/>
      <c r="MP32" s="219"/>
      <c r="MQ32" s="219"/>
      <c r="MR32" s="219"/>
      <c r="MS32" s="219"/>
      <c r="MT32" s="219"/>
      <c r="MU32" s="219"/>
      <c r="MV32" s="219"/>
      <c r="MW32" s="219"/>
      <c r="MX32" s="219"/>
      <c r="MY32" s="219"/>
      <c r="MZ32" s="219"/>
      <c r="NA32" s="219"/>
      <c r="NB32" s="219"/>
      <c r="NC32" s="219"/>
      <c r="ND32" s="219"/>
      <c r="NE32" s="219"/>
      <c r="NF32" s="219"/>
      <c r="NG32" s="219"/>
      <c r="NH32" s="219"/>
      <c r="NI32" s="219"/>
      <c r="NJ32" s="219"/>
      <c r="NK32" s="219"/>
      <c r="NL32" s="219"/>
      <c r="NM32" s="219"/>
      <c r="NN32" s="219"/>
      <c r="NO32" s="219"/>
      <c r="NP32" s="219"/>
      <c r="NQ32" s="219"/>
      <c r="NR32" s="219"/>
      <c r="NS32" s="219"/>
      <c r="NT32" s="219"/>
      <c r="NU32" s="219"/>
      <c r="NV32" s="219"/>
      <c r="NW32" s="219"/>
      <c r="NX32" s="219"/>
      <c r="NY32" s="219"/>
      <c r="NZ32" s="219"/>
      <c r="OA32" s="219"/>
      <c r="OB32" s="219"/>
      <c r="OC32" s="219"/>
      <c r="OD32" s="219"/>
      <c r="OE32" s="219"/>
      <c r="OF32" s="219"/>
      <c r="OG32" s="219"/>
      <c r="OH32" s="219"/>
      <c r="OI32" s="219"/>
      <c r="OJ32" s="219"/>
      <c r="OK32" s="219"/>
      <c r="OL32" s="219"/>
      <c r="OM32" s="219"/>
      <c r="ON32" s="219"/>
      <c r="OO32" s="219"/>
      <c r="OP32" s="219"/>
      <c r="OQ32" s="219"/>
      <c r="OR32" s="219"/>
      <c r="OS32" s="219"/>
      <c r="OT32" s="219"/>
      <c r="OU32" s="219"/>
      <c r="OV32" s="219"/>
      <c r="OW32" s="219"/>
      <c r="OX32" s="219"/>
      <c r="OY32" s="219"/>
      <c r="OZ32" s="219"/>
      <c r="PA32" s="219"/>
      <c r="PB32" s="219"/>
      <c r="PC32" s="219"/>
      <c r="PD32" s="219"/>
      <c r="PE32" s="219"/>
      <c r="PF32" s="219"/>
      <c r="PG32" s="219"/>
      <c r="PH32" s="219"/>
      <c r="PI32" s="219"/>
      <c r="PJ32" s="219"/>
      <c r="PK32" s="219"/>
      <c r="PL32" s="219"/>
      <c r="PM32" s="219"/>
      <c r="PN32" s="219"/>
      <c r="PO32" s="219"/>
      <c r="PP32" s="219"/>
      <c r="PQ32" s="219"/>
      <c r="PR32" s="219"/>
      <c r="PS32" s="219"/>
      <c r="PT32" s="219"/>
      <c r="PU32" s="219"/>
      <c r="PV32" s="219"/>
      <c r="PW32" s="219"/>
      <c r="PX32" s="219"/>
      <c r="PY32" s="219"/>
      <c r="PZ32" s="219"/>
      <c r="QA32" s="219"/>
      <c r="QB32" s="219"/>
      <c r="QC32" s="219"/>
      <c r="QD32" s="219"/>
      <c r="QE32" s="219"/>
      <c r="QF32" s="219"/>
      <c r="QG32" s="219"/>
      <c r="QH32" s="219"/>
      <c r="QI32" s="219"/>
      <c r="QJ32" s="219"/>
      <c r="QK32" s="219"/>
      <c r="QL32" s="219"/>
      <c r="QM32" s="219"/>
      <c r="QN32" s="219"/>
      <c r="QO32" s="219"/>
      <c r="QP32" s="219"/>
      <c r="QQ32" s="219"/>
      <c r="QR32" s="219"/>
      <c r="QS32" s="219"/>
      <c r="QT32" s="219"/>
      <c r="QU32" s="219"/>
      <c r="QV32" s="219"/>
      <c r="QW32" s="219"/>
      <c r="QX32" s="219"/>
      <c r="QY32" s="219"/>
      <c r="QZ32" s="219"/>
      <c r="RA32" s="219"/>
      <c r="RB32" s="219"/>
      <c r="RC32" s="219"/>
      <c r="RD32" s="219"/>
      <c r="RE32" s="219"/>
      <c r="RF32" s="219"/>
      <c r="RG32" s="219"/>
      <c r="RH32" s="219"/>
      <c r="RI32" s="219"/>
      <c r="RJ32" s="219"/>
      <c r="RK32" s="219"/>
      <c r="RL32" s="219"/>
      <c r="RM32" s="219"/>
      <c r="RN32" s="219"/>
      <c r="RO32" s="219"/>
      <c r="RP32" s="219"/>
      <c r="RQ32" s="219"/>
      <c r="RR32" s="219"/>
      <c r="RS32" s="219"/>
      <c r="RT32" s="219"/>
      <c r="RU32" s="219"/>
      <c r="RV32" s="219"/>
      <c r="RW32" s="219"/>
      <c r="RX32" s="219"/>
      <c r="RY32" s="219"/>
      <c r="RZ32" s="219"/>
      <c r="SA32" s="219"/>
      <c r="SB32" s="219"/>
      <c r="SC32" s="219"/>
      <c r="SD32" s="219"/>
      <c r="SE32" s="219"/>
      <c r="SF32" s="219"/>
      <c r="SG32" s="219"/>
      <c r="SH32" s="219"/>
      <c r="SI32" s="219"/>
      <c r="SJ32" s="219"/>
      <c r="SK32" s="219"/>
      <c r="SL32" s="219"/>
      <c r="SM32" s="219"/>
      <c r="SN32" s="219"/>
      <c r="SO32" s="219"/>
      <c r="SP32" s="219"/>
      <c r="SQ32" s="219"/>
      <c r="SR32" s="219"/>
      <c r="SS32" s="219"/>
      <c r="ST32" s="219"/>
      <c r="SU32" s="219"/>
      <c r="SV32" s="219"/>
      <c r="SW32" s="219"/>
      <c r="SX32" s="219"/>
      <c r="SY32" s="219"/>
      <c r="SZ32" s="219"/>
      <c r="TA32" s="219"/>
      <c r="TB32" s="219"/>
      <c r="TC32" s="219"/>
      <c r="TD32" s="219"/>
      <c r="TE32" s="219"/>
      <c r="TF32" s="219"/>
      <c r="TG32" s="219"/>
      <c r="TH32" s="219"/>
      <c r="TI32" s="219"/>
      <c r="TJ32" s="219"/>
      <c r="TK32" s="219"/>
      <c r="TL32" s="219"/>
      <c r="TM32" s="219"/>
      <c r="TN32" s="219"/>
      <c r="TO32" s="219"/>
      <c r="TP32" s="219"/>
      <c r="TQ32" s="219"/>
      <c r="TR32" s="219"/>
      <c r="TS32" s="219"/>
      <c r="TT32" s="219"/>
      <c r="TU32" s="219"/>
      <c r="TV32" s="219"/>
      <c r="TW32" s="219"/>
      <c r="TX32" s="219"/>
      <c r="TY32" s="219"/>
      <c r="TZ32" s="219"/>
      <c r="UA32" s="219"/>
      <c r="UB32" s="219"/>
      <c r="UC32" s="219"/>
      <c r="UD32" s="219"/>
      <c r="UE32" s="219"/>
      <c r="UF32" s="219"/>
      <c r="UG32" s="219"/>
      <c r="UH32" s="219"/>
      <c r="UI32" s="219"/>
      <c r="UJ32" s="219"/>
      <c r="UK32" s="219"/>
      <c r="UL32" s="219"/>
      <c r="UM32" s="219"/>
      <c r="UN32" s="219"/>
      <c r="UO32" s="219"/>
      <c r="UP32" s="219"/>
      <c r="UQ32" s="219"/>
      <c r="UR32" s="219"/>
      <c r="US32" s="219"/>
      <c r="UT32" s="219"/>
      <c r="UU32" s="219"/>
      <c r="UV32" s="219"/>
      <c r="UW32" s="219"/>
      <c r="UX32" s="219"/>
      <c r="UY32" s="219"/>
      <c r="UZ32" s="219"/>
      <c r="VA32" s="219"/>
      <c r="VB32" s="219"/>
      <c r="VC32" s="219"/>
      <c r="VD32" s="219"/>
      <c r="VE32" s="219"/>
      <c r="VF32" s="219"/>
      <c r="VG32" s="219"/>
      <c r="VH32" s="219"/>
      <c r="VI32" s="219"/>
      <c r="VJ32" s="219"/>
      <c r="VK32" s="219"/>
      <c r="VL32" s="219"/>
      <c r="VM32" s="219"/>
      <c r="VN32" s="219"/>
      <c r="VO32" s="219"/>
      <c r="VP32" s="219"/>
      <c r="VQ32" s="219"/>
      <c r="VR32" s="219"/>
      <c r="VS32" s="219"/>
      <c r="VT32" s="219"/>
      <c r="VU32" s="219"/>
      <c r="VV32" s="219"/>
      <c r="VW32" s="219"/>
      <c r="VX32" s="219"/>
      <c r="VY32" s="219"/>
      <c r="VZ32" s="219"/>
      <c r="WA32" s="219"/>
      <c r="WB32" s="219"/>
      <c r="WC32" s="219"/>
      <c r="WD32" s="219"/>
      <c r="WE32" s="219"/>
      <c r="WF32" s="219"/>
      <c r="WG32" s="219"/>
      <c r="WH32" s="219"/>
      <c r="WI32" s="219"/>
      <c r="WJ32" s="219"/>
      <c r="WK32" s="219"/>
      <c r="WL32" s="219"/>
      <c r="WM32" s="219"/>
      <c r="WN32" s="219"/>
      <c r="WO32" s="219"/>
      <c r="WP32" s="219"/>
      <c r="WQ32" s="219"/>
      <c r="WR32" s="219"/>
      <c r="WS32" s="219"/>
      <c r="WT32" s="219"/>
      <c r="WU32" s="219"/>
      <c r="WV32" s="219"/>
      <c r="WW32" s="219"/>
      <c r="WX32" s="219"/>
      <c r="WY32" s="219"/>
      <c r="WZ32" s="219"/>
      <c r="XA32" s="219"/>
      <c r="XB32" s="219"/>
      <c r="XC32" s="219"/>
      <c r="XD32" s="219"/>
      <c r="XE32" s="219"/>
      <c r="XF32" s="219"/>
      <c r="XG32" s="219"/>
      <c r="XH32" s="219"/>
      <c r="XI32" s="219"/>
      <c r="XJ32" s="219"/>
      <c r="XK32" s="219"/>
      <c r="XL32" s="219"/>
      <c r="XM32" s="219"/>
      <c r="XN32" s="219"/>
      <c r="XO32" s="219"/>
      <c r="XP32" s="219"/>
      <c r="XQ32" s="219"/>
      <c r="XR32" s="219"/>
      <c r="XS32" s="219"/>
      <c r="XT32" s="219"/>
      <c r="XU32" s="219"/>
      <c r="XV32" s="219"/>
      <c r="XW32" s="219"/>
      <c r="XX32" s="219"/>
      <c r="XY32" s="219"/>
      <c r="XZ32" s="219"/>
      <c r="YA32" s="219"/>
      <c r="YB32" s="219"/>
      <c r="YC32" s="219"/>
      <c r="YD32" s="219"/>
      <c r="YE32" s="219"/>
      <c r="YF32" s="219"/>
      <c r="YG32" s="219"/>
      <c r="YH32" s="219"/>
      <c r="YI32" s="219"/>
      <c r="YJ32" s="219"/>
      <c r="YK32" s="219"/>
      <c r="YL32" s="219"/>
      <c r="YM32" s="219"/>
      <c r="YN32" s="219"/>
      <c r="YO32" s="219"/>
      <c r="YP32" s="219"/>
      <c r="YQ32" s="219"/>
      <c r="YR32" s="219"/>
      <c r="YS32" s="219"/>
      <c r="YT32" s="219"/>
      <c r="YU32" s="219"/>
      <c r="YV32" s="219"/>
      <c r="YW32" s="219"/>
      <c r="YX32" s="219"/>
      <c r="YY32" s="219"/>
      <c r="YZ32" s="219"/>
      <c r="ZA32" s="219"/>
      <c r="ZB32" s="219"/>
      <c r="ZC32" s="219"/>
      <c r="ZD32" s="219"/>
      <c r="ZE32" s="219"/>
      <c r="ZF32" s="219"/>
      <c r="ZG32" s="219"/>
      <c r="ZH32" s="219"/>
      <c r="ZI32" s="219"/>
      <c r="ZJ32" s="219"/>
      <c r="ZK32" s="219"/>
      <c r="ZL32" s="219"/>
      <c r="ZM32" s="219"/>
      <c r="ZN32" s="219"/>
      <c r="ZO32" s="219"/>
      <c r="ZP32" s="219"/>
      <c r="ZQ32" s="219"/>
      <c r="ZR32" s="219"/>
      <c r="ZS32" s="219"/>
      <c r="ZT32" s="219"/>
      <c r="ZU32" s="219"/>
      <c r="ZV32" s="219"/>
      <c r="ZW32" s="219"/>
      <c r="ZX32" s="219"/>
      <c r="ZY32" s="219"/>
      <c r="ZZ32" s="219"/>
      <c r="AAA32" s="219"/>
      <c r="AAB32" s="219"/>
      <c r="AAC32" s="219"/>
      <c r="AAD32" s="219"/>
      <c r="AAE32" s="219"/>
      <c r="AAF32" s="219"/>
      <c r="AAG32" s="219"/>
      <c r="AAH32" s="219"/>
      <c r="AAI32" s="219"/>
      <c r="AAJ32" s="219"/>
      <c r="AAK32" s="219"/>
      <c r="AAL32" s="219"/>
      <c r="AAM32" s="219"/>
      <c r="AAN32" s="219"/>
      <c r="AAO32" s="219"/>
      <c r="AAP32" s="219"/>
      <c r="AAQ32" s="219"/>
      <c r="AAR32" s="219"/>
      <c r="AAS32" s="219"/>
      <c r="AAT32" s="219"/>
      <c r="AAU32" s="219"/>
      <c r="AAV32" s="219"/>
      <c r="AAW32" s="219"/>
      <c r="AAX32" s="219"/>
      <c r="AAY32" s="219"/>
      <c r="AAZ32" s="219"/>
      <c r="ABA32" s="219"/>
      <c r="ABB32" s="219"/>
      <c r="ABC32" s="219"/>
      <c r="ABD32" s="219"/>
      <c r="ABE32" s="219"/>
      <c r="ABF32" s="219"/>
      <c r="ABG32" s="219"/>
      <c r="ABH32" s="219"/>
      <c r="ABI32" s="219"/>
      <c r="ABJ32" s="219"/>
      <c r="ABK32" s="219"/>
      <c r="ABL32" s="219"/>
      <c r="ABM32" s="219"/>
      <c r="ABN32" s="219"/>
      <c r="ABO32" s="219"/>
      <c r="ABP32" s="219"/>
      <c r="ABQ32" s="219"/>
      <c r="ABR32" s="219"/>
      <c r="ABS32" s="219"/>
      <c r="ABT32" s="219"/>
      <c r="ABU32" s="219"/>
      <c r="ABV32" s="219"/>
      <c r="ABW32" s="219"/>
      <c r="ABX32" s="219"/>
      <c r="ABY32" s="219"/>
      <c r="ABZ32" s="219"/>
      <c r="ACA32" s="219"/>
      <c r="ACB32" s="219"/>
      <c r="ACC32" s="219"/>
      <c r="ACD32" s="219"/>
      <c r="ACE32" s="219"/>
      <c r="ACF32" s="219"/>
      <c r="ACG32" s="219"/>
      <c r="ACH32" s="219"/>
      <c r="ACI32" s="219"/>
      <c r="ACJ32" s="219"/>
      <c r="ACK32" s="219"/>
      <c r="ACL32" s="219"/>
      <c r="ACM32" s="219"/>
      <c r="ACN32" s="219"/>
      <c r="ACO32" s="219"/>
      <c r="ACP32" s="219"/>
      <c r="ACQ32" s="219"/>
      <c r="ACR32" s="219"/>
      <c r="ACS32" s="219"/>
      <c r="ACT32" s="219"/>
      <c r="ACU32" s="219"/>
      <c r="ACV32" s="219"/>
      <c r="ACW32" s="219"/>
      <c r="ACX32" s="219"/>
      <c r="ACY32" s="219"/>
      <c r="ACZ32" s="219"/>
      <c r="ADA32" s="219"/>
      <c r="ADB32" s="219"/>
      <c r="ADC32" s="219"/>
      <c r="ADD32" s="219"/>
      <c r="ADE32" s="219"/>
      <c r="ADF32" s="219"/>
      <c r="ADG32" s="219"/>
      <c r="ADH32" s="219"/>
      <c r="ADI32" s="219"/>
      <c r="ADJ32" s="219"/>
      <c r="ADK32" s="219"/>
      <c r="ADL32" s="219"/>
      <c r="ADM32" s="219"/>
      <c r="ADN32" s="219"/>
      <c r="ADO32" s="219"/>
      <c r="ADP32" s="219"/>
      <c r="ADQ32" s="219"/>
      <c r="ADR32" s="219"/>
      <c r="ADS32" s="219"/>
      <c r="ADT32" s="219"/>
      <c r="ADU32" s="219"/>
      <c r="ADV32" s="219"/>
      <c r="ADW32" s="219"/>
      <c r="ADX32" s="219"/>
      <c r="ADY32" s="219"/>
      <c r="ADZ32" s="219"/>
      <c r="AEA32" s="219"/>
      <c r="AEB32" s="219"/>
      <c r="AEC32" s="219"/>
      <c r="AED32" s="219"/>
      <c r="AEE32" s="219"/>
      <c r="AEF32" s="219"/>
      <c r="AEG32" s="219"/>
      <c r="AEH32" s="219"/>
      <c r="AEI32" s="219"/>
      <c r="AEJ32" s="219"/>
      <c r="AEK32" s="219"/>
      <c r="AEL32" s="219"/>
      <c r="AEM32" s="219"/>
      <c r="AEN32" s="219"/>
      <c r="AEO32" s="219"/>
      <c r="AEP32" s="219"/>
      <c r="AEQ32" s="219"/>
      <c r="AER32" s="219"/>
      <c r="AES32" s="219"/>
      <c r="AET32" s="219"/>
      <c r="AEU32" s="219"/>
      <c r="AEV32" s="219"/>
      <c r="AEW32" s="219"/>
      <c r="AEX32" s="219"/>
      <c r="AEY32" s="219"/>
      <c r="AEZ32" s="219"/>
      <c r="AFA32" s="219"/>
      <c r="AFB32" s="219"/>
      <c r="AFC32" s="219"/>
      <c r="AFD32" s="219"/>
      <c r="AFE32" s="219"/>
      <c r="AFF32" s="219"/>
      <c r="AFG32" s="219"/>
      <c r="AFH32" s="219"/>
      <c r="AFI32" s="219"/>
      <c r="AFJ32" s="219"/>
      <c r="AFK32" s="219"/>
      <c r="AFL32" s="219"/>
      <c r="AFM32" s="219"/>
      <c r="AFN32" s="219"/>
      <c r="AFO32" s="219"/>
      <c r="AFP32" s="219"/>
      <c r="AFQ32" s="219"/>
      <c r="AFR32" s="219"/>
      <c r="AFS32" s="219"/>
      <c r="AFT32" s="219"/>
      <c r="AFU32" s="219"/>
      <c r="AFV32" s="219"/>
      <c r="AFW32" s="219"/>
      <c r="AFX32" s="219"/>
      <c r="AFY32" s="219"/>
      <c r="AFZ32" s="219"/>
      <c r="AGA32" s="219"/>
      <c r="AGB32" s="219"/>
      <c r="AGC32" s="219"/>
      <c r="AGD32" s="219"/>
      <c r="AGE32" s="219"/>
      <c r="AGF32" s="219"/>
      <c r="AGG32" s="219"/>
      <c r="AGH32" s="219"/>
      <c r="AGI32" s="219"/>
      <c r="AGJ32" s="219"/>
      <c r="AGK32" s="219"/>
      <c r="AGL32" s="219"/>
      <c r="AGM32" s="219"/>
      <c r="AGN32" s="219"/>
      <c r="AGO32" s="219"/>
      <c r="AGP32" s="219"/>
      <c r="AGQ32" s="219"/>
      <c r="AGR32" s="219"/>
      <c r="AGS32" s="219"/>
      <c r="AGT32" s="219"/>
      <c r="AGU32" s="219"/>
      <c r="AGV32" s="219"/>
      <c r="AGW32" s="219"/>
      <c r="AGX32" s="219"/>
      <c r="AGY32" s="219"/>
      <c r="AGZ32" s="219"/>
      <c r="AHA32" s="219"/>
      <c r="AHB32" s="219"/>
      <c r="AHC32" s="219"/>
      <c r="AHD32" s="219"/>
      <c r="AHE32" s="219"/>
      <c r="AHF32" s="219"/>
      <c r="AHG32" s="219"/>
      <c r="AHH32" s="219"/>
      <c r="AHI32" s="219"/>
      <c r="AHJ32" s="219"/>
      <c r="AHK32" s="219"/>
      <c r="AHL32" s="219"/>
      <c r="AHM32" s="219"/>
      <c r="AHN32" s="219"/>
      <c r="AHO32" s="219"/>
      <c r="AHP32" s="219"/>
      <c r="AHQ32" s="219"/>
      <c r="AHR32" s="219"/>
      <c r="AHS32" s="219"/>
      <c r="AHT32" s="219"/>
      <c r="AHU32" s="219"/>
      <c r="AHV32" s="219"/>
      <c r="AHW32" s="219"/>
      <c r="AHX32" s="219"/>
      <c r="AHY32" s="219"/>
      <c r="AHZ32" s="219"/>
      <c r="AIA32" s="219"/>
      <c r="AIB32" s="219"/>
      <c r="AIC32" s="219"/>
      <c r="AID32" s="219"/>
      <c r="AIE32" s="219"/>
      <c r="AIF32" s="219"/>
      <c r="AIG32" s="219"/>
      <c r="AIH32" s="219"/>
      <c r="AII32" s="219"/>
      <c r="AIJ32" s="219"/>
      <c r="AIK32" s="219"/>
      <c r="AIL32" s="219"/>
      <c r="AIM32" s="219"/>
      <c r="AIN32" s="219"/>
      <c r="AIO32" s="219"/>
      <c r="AIP32" s="219"/>
      <c r="AIQ32" s="219"/>
      <c r="AIR32" s="219"/>
      <c r="AIS32" s="219"/>
      <c r="AIT32" s="219"/>
      <c r="AIU32" s="219"/>
      <c r="AIV32" s="219"/>
      <c r="AIW32" s="219"/>
      <c r="AIX32" s="219"/>
      <c r="AIY32" s="219"/>
      <c r="AIZ32" s="219"/>
      <c r="AJA32" s="219"/>
      <c r="AJB32" s="219"/>
      <c r="AJC32" s="219"/>
      <c r="AJD32" s="219"/>
      <c r="AJE32" s="219"/>
      <c r="AJF32" s="219"/>
      <c r="AJG32" s="219"/>
      <c r="AJH32" s="219"/>
      <c r="AJI32" s="219"/>
      <c r="AJJ32" s="219"/>
      <c r="AJK32" s="219"/>
      <c r="AJL32" s="219"/>
      <c r="AJM32" s="219"/>
      <c r="AJN32" s="219"/>
      <c r="AJO32" s="219"/>
      <c r="AJP32" s="219"/>
      <c r="AJQ32" s="219"/>
      <c r="AJR32" s="219"/>
      <c r="AJS32" s="219"/>
      <c r="AJT32" s="219"/>
      <c r="AJU32" s="219"/>
      <c r="AJV32" s="219"/>
      <c r="AJW32" s="219"/>
      <c r="AJX32" s="219"/>
      <c r="AJY32" s="219"/>
      <c r="AJZ32" s="219"/>
      <c r="AKA32" s="219"/>
      <c r="AKB32" s="219"/>
      <c r="AKC32" s="219"/>
      <c r="AKD32" s="219"/>
      <c r="AKE32" s="219"/>
      <c r="AKF32" s="219"/>
      <c r="AKG32" s="219"/>
      <c r="AKH32" s="219"/>
      <c r="AKI32" s="219"/>
      <c r="AKJ32" s="219"/>
      <c r="AKK32" s="219"/>
      <c r="AKL32" s="219"/>
      <c r="AKM32" s="219"/>
      <c r="AKN32" s="219"/>
      <c r="AKO32" s="219"/>
      <c r="AKP32" s="219"/>
      <c r="AKQ32" s="219"/>
      <c r="AKR32" s="219"/>
      <c r="AKS32" s="219"/>
      <c r="AKT32" s="219"/>
      <c r="AKU32" s="219"/>
      <c r="AKV32" s="219"/>
      <c r="AKW32" s="219"/>
      <c r="AKX32" s="219"/>
      <c r="AKY32" s="219"/>
      <c r="AKZ32" s="219"/>
      <c r="ALA32" s="219"/>
      <c r="ALB32" s="219"/>
      <c r="ALC32" s="219"/>
      <c r="ALD32" s="219"/>
      <c r="ALE32" s="219"/>
      <c r="ALF32" s="219"/>
      <c r="ALG32" s="219"/>
      <c r="ALH32" s="219"/>
      <c r="ALI32" s="219"/>
      <c r="ALJ32" s="219"/>
      <c r="ALK32" s="219"/>
      <c r="ALL32" s="219"/>
      <c r="ALM32" s="219"/>
      <c r="ALN32" s="219"/>
      <c r="ALO32" s="219"/>
      <c r="ALP32" s="219"/>
      <c r="ALQ32" s="219"/>
      <c r="ALR32" s="219"/>
      <c r="ALS32" s="219"/>
      <c r="ALT32" s="219"/>
      <c r="ALU32" s="219"/>
      <c r="ALV32" s="219"/>
      <c r="ALW32" s="219"/>
      <c r="ALX32" s="219"/>
      <c r="ALY32" s="219"/>
      <c r="ALZ32" s="219"/>
      <c r="AMA32" s="219"/>
      <c r="AMB32" s="219"/>
      <c r="AMC32" s="219"/>
      <c r="AMD32" s="219"/>
      <c r="AME32" s="219"/>
      <c r="AMF32" s="219"/>
      <c r="AMG32" s="219"/>
      <c r="AMH32" s="219"/>
      <c r="AMI32" s="219"/>
      <c r="AMJ32" s="219"/>
      <c r="AMK32" s="219"/>
      <c r="AML32" s="219"/>
      <c r="AMM32" s="219"/>
      <c r="AMN32" s="219"/>
      <c r="AMO32" s="219"/>
      <c r="AMP32" s="219"/>
      <c r="AMQ32" s="219"/>
      <c r="AMR32" s="219"/>
      <c r="AMS32" s="219"/>
      <c r="AMT32" s="219"/>
      <c r="AMU32" s="219"/>
      <c r="AMV32" s="219"/>
      <c r="AMW32" s="219"/>
      <c r="AMX32" s="219"/>
      <c r="AMY32" s="219"/>
      <c r="AMZ32" s="219"/>
      <c r="ANA32" s="219"/>
      <c r="ANB32" s="219"/>
      <c r="ANC32" s="219"/>
      <c r="AND32" s="219"/>
      <c r="ANE32" s="219"/>
      <c r="ANF32" s="219"/>
      <c r="ANG32" s="219"/>
      <c r="ANH32" s="219"/>
      <c r="ANI32" s="219"/>
      <c r="ANJ32" s="219"/>
      <c r="ANK32" s="219"/>
      <c r="ANL32" s="219"/>
      <c r="ANM32" s="219"/>
      <c r="ANN32" s="219"/>
      <c r="ANO32" s="219"/>
      <c r="ANP32" s="219"/>
      <c r="ANQ32" s="219"/>
      <c r="ANR32" s="219"/>
      <c r="ANS32" s="219"/>
      <c r="ANT32" s="219"/>
      <c r="ANU32" s="219"/>
      <c r="ANV32" s="219"/>
      <c r="ANW32" s="219"/>
      <c r="ANX32" s="219"/>
      <c r="ANY32" s="219"/>
      <c r="ANZ32" s="219"/>
      <c r="AOA32" s="219"/>
      <c r="AOB32" s="219"/>
      <c r="AOC32" s="219"/>
      <c r="AOD32" s="219"/>
      <c r="AOE32" s="219"/>
      <c r="AOF32" s="219"/>
      <c r="AOG32" s="219"/>
      <c r="AOH32" s="219"/>
      <c r="AOI32" s="219"/>
      <c r="AOJ32" s="219"/>
      <c r="AOK32" s="219"/>
      <c r="AOL32" s="219"/>
      <c r="AOM32" s="219"/>
      <c r="AON32" s="219"/>
      <c r="AOO32" s="219"/>
      <c r="AOP32" s="219"/>
      <c r="AOQ32" s="219"/>
      <c r="AOR32" s="219"/>
      <c r="AOS32" s="219"/>
      <c r="AOT32" s="219"/>
      <c r="AOU32" s="219"/>
      <c r="AOV32" s="219"/>
      <c r="AOW32" s="219"/>
      <c r="AOX32" s="219"/>
      <c r="AOY32" s="219"/>
      <c r="AOZ32" s="219"/>
      <c r="APA32" s="219"/>
      <c r="APB32" s="219"/>
      <c r="APC32" s="219"/>
      <c r="APD32" s="219"/>
      <c r="APE32" s="219"/>
      <c r="APF32" s="219"/>
      <c r="APG32" s="219"/>
      <c r="APH32" s="219"/>
      <c r="API32" s="219"/>
      <c r="APJ32" s="219"/>
      <c r="APK32" s="219"/>
      <c r="APL32" s="219"/>
      <c r="APM32" s="219"/>
      <c r="APN32" s="219"/>
      <c r="APO32" s="219"/>
      <c r="APP32" s="219"/>
      <c r="APQ32" s="219"/>
      <c r="APR32" s="219"/>
      <c r="APS32" s="219"/>
      <c r="APT32" s="219"/>
      <c r="APU32" s="219"/>
      <c r="APV32" s="219"/>
      <c r="APW32" s="219"/>
      <c r="APX32" s="219"/>
      <c r="APY32" s="219"/>
      <c r="APZ32" s="219"/>
      <c r="AQA32" s="219"/>
      <c r="AQB32" s="219"/>
      <c r="AQC32" s="219"/>
      <c r="AQD32" s="219"/>
      <c r="AQE32" s="219"/>
      <c r="AQF32" s="219"/>
      <c r="AQG32" s="219"/>
      <c r="AQH32" s="219"/>
      <c r="AQI32" s="219"/>
      <c r="AQJ32" s="219"/>
      <c r="AQK32" s="219"/>
      <c r="AQL32" s="219"/>
      <c r="AQM32" s="219"/>
      <c r="AQN32" s="219"/>
      <c r="AQO32" s="219"/>
      <c r="AQP32" s="219"/>
      <c r="AQQ32" s="219"/>
      <c r="AQR32" s="219"/>
      <c r="AQS32" s="219"/>
      <c r="AQT32" s="219"/>
      <c r="AQU32" s="219"/>
      <c r="AQV32" s="219"/>
      <c r="AQW32" s="219"/>
      <c r="AQX32" s="219"/>
      <c r="AQY32" s="219"/>
      <c r="AQZ32" s="219"/>
      <c r="ARA32" s="219"/>
      <c r="ARB32" s="219"/>
      <c r="ARC32" s="219"/>
      <c r="ARD32" s="219"/>
      <c r="ARE32" s="219"/>
      <c r="ARF32" s="219"/>
      <c r="ARG32" s="219"/>
      <c r="ARH32" s="219"/>
      <c r="ARI32" s="219"/>
      <c r="ARJ32" s="219"/>
      <c r="ARK32" s="219"/>
      <c r="ARL32" s="219"/>
      <c r="ARM32" s="219"/>
      <c r="ARN32" s="219"/>
      <c r="ARO32" s="219"/>
      <c r="ARP32" s="219"/>
      <c r="ARQ32" s="219"/>
      <c r="ARR32" s="219"/>
      <c r="ARS32" s="219"/>
      <c r="ART32" s="219"/>
      <c r="ARU32" s="219"/>
      <c r="ARV32" s="219"/>
      <c r="ARW32" s="219"/>
      <c r="ARX32" s="219"/>
      <c r="ARY32" s="219"/>
      <c r="ARZ32" s="219"/>
      <c r="ASA32" s="219"/>
      <c r="ASB32" s="219"/>
      <c r="ASC32" s="219"/>
      <c r="ASD32" s="219"/>
      <c r="ASE32" s="219"/>
      <c r="ASF32" s="219"/>
      <c r="ASG32" s="219"/>
      <c r="ASH32" s="219"/>
      <c r="ASI32" s="219"/>
      <c r="ASJ32" s="219"/>
      <c r="ASK32" s="219"/>
      <c r="ASL32" s="219"/>
      <c r="ASM32" s="219"/>
      <c r="ASN32" s="219"/>
      <c r="ASO32" s="219"/>
      <c r="ASP32" s="219"/>
      <c r="ASQ32" s="219"/>
      <c r="ASR32" s="219"/>
      <c r="ASS32" s="219"/>
      <c r="AST32" s="219"/>
      <c r="ASU32" s="219"/>
      <c r="ASV32" s="219"/>
      <c r="ASW32" s="219"/>
      <c r="ASX32" s="219"/>
      <c r="ASY32" s="219"/>
      <c r="ASZ32" s="219"/>
      <c r="ATA32" s="219"/>
      <c r="ATB32" s="219"/>
      <c r="ATC32" s="219"/>
      <c r="ATD32" s="219"/>
      <c r="ATE32" s="219"/>
      <c r="ATF32" s="219"/>
      <c r="ATG32" s="219"/>
      <c r="ATH32" s="219"/>
      <c r="ATI32" s="219"/>
      <c r="ATJ32" s="219"/>
      <c r="ATK32" s="219"/>
      <c r="ATL32" s="219"/>
      <c r="ATM32" s="219"/>
      <c r="ATN32" s="219"/>
      <c r="ATO32" s="219"/>
      <c r="ATP32" s="219"/>
      <c r="ATQ32" s="219"/>
      <c r="ATR32" s="219"/>
      <c r="ATS32" s="219"/>
      <c r="ATT32" s="219"/>
      <c r="ATU32" s="219"/>
      <c r="ATV32" s="219"/>
      <c r="ATW32" s="219"/>
      <c r="ATX32" s="219"/>
      <c r="ATY32" s="219"/>
      <c r="ATZ32" s="219"/>
      <c r="AUA32" s="219"/>
      <c r="AUB32" s="219"/>
      <c r="AUC32" s="219"/>
      <c r="AUD32" s="219"/>
      <c r="AUE32" s="219"/>
      <c r="AUF32" s="219"/>
      <c r="AUG32" s="219"/>
      <c r="AUH32" s="219"/>
      <c r="AUI32" s="219"/>
      <c r="AUJ32" s="219"/>
      <c r="AUK32" s="219"/>
      <c r="AUL32" s="219"/>
      <c r="AUM32" s="219"/>
      <c r="AUN32" s="219"/>
      <c r="AUO32" s="219"/>
      <c r="AUP32" s="219"/>
      <c r="AUQ32" s="219"/>
      <c r="AUR32" s="219"/>
      <c r="AUS32" s="219"/>
      <c r="AUT32" s="219"/>
      <c r="AUU32" s="219"/>
      <c r="AUV32" s="219"/>
      <c r="AUW32" s="219"/>
      <c r="AUX32" s="219"/>
      <c r="AUY32" s="219"/>
      <c r="AUZ32" s="219"/>
      <c r="AVA32" s="219"/>
      <c r="AVB32" s="219"/>
      <c r="AVC32" s="219"/>
      <c r="AVD32" s="219"/>
      <c r="AVE32" s="219"/>
      <c r="AVF32" s="219"/>
      <c r="AVG32" s="219"/>
      <c r="AVH32" s="219"/>
      <c r="AVI32" s="219"/>
      <c r="AVJ32" s="219"/>
      <c r="AVK32" s="219"/>
      <c r="AVL32" s="219"/>
      <c r="AVM32" s="219"/>
      <c r="AVN32" s="219"/>
      <c r="AVO32" s="219"/>
      <c r="AVP32" s="219"/>
      <c r="AVQ32" s="219"/>
      <c r="AVR32" s="219"/>
      <c r="AVS32" s="219"/>
      <c r="AVT32" s="219"/>
      <c r="AVU32" s="219"/>
      <c r="AVV32" s="219"/>
      <c r="AVW32" s="219"/>
      <c r="AVX32" s="219"/>
      <c r="AVY32" s="219"/>
      <c r="AVZ32" s="219"/>
      <c r="AWA32" s="219"/>
      <c r="AWB32" s="219"/>
      <c r="AWC32" s="219"/>
      <c r="AWD32" s="219"/>
      <c r="AWE32" s="219"/>
      <c r="AWF32" s="219"/>
      <c r="AWG32" s="219"/>
      <c r="AWH32" s="219"/>
      <c r="AWI32" s="219"/>
      <c r="AWJ32" s="219"/>
      <c r="AWK32" s="219"/>
      <c r="AWL32" s="219"/>
      <c r="AWM32" s="219"/>
      <c r="AWN32" s="219"/>
      <c r="AWO32" s="219"/>
      <c r="AWP32" s="219"/>
      <c r="AWQ32" s="219"/>
      <c r="AWR32" s="219"/>
      <c r="AWS32" s="219"/>
      <c r="AWT32" s="219"/>
      <c r="AWU32" s="219"/>
      <c r="AWV32" s="219"/>
      <c r="AWW32" s="219"/>
      <c r="AWX32" s="219"/>
      <c r="AWY32" s="219"/>
      <c r="AWZ32" s="219"/>
      <c r="AXA32" s="219"/>
      <c r="AXB32" s="219"/>
      <c r="AXC32" s="219"/>
      <c r="AXD32" s="219"/>
      <c r="AXE32" s="219"/>
      <c r="AXF32" s="219"/>
      <c r="AXG32" s="219"/>
      <c r="AXH32" s="219"/>
      <c r="AXI32" s="219"/>
      <c r="AXJ32" s="219"/>
      <c r="AXK32" s="219"/>
      <c r="AXL32" s="219"/>
      <c r="AXM32" s="219"/>
      <c r="AXN32" s="219"/>
      <c r="AXO32" s="219"/>
      <c r="AXP32" s="219"/>
      <c r="AXQ32" s="219"/>
      <c r="AXR32" s="219"/>
      <c r="AXS32" s="219"/>
      <c r="AXT32" s="219"/>
      <c r="AXU32" s="219"/>
      <c r="AXV32" s="219"/>
      <c r="AXW32" s="219"/>
      <c r="AXX32" s="219"/>
      <c r="AXY32" s="219"/>
      <c r="AXZ32" s="219"/>
      <c r="AYA32" s="219"/>
      <c r="AYB32" s="219"/>
      <c r="AYC32" s="219"/>
      <c r="AYD32" s="219"/>
      <c r="AYE32" s="219"/>
      <c r="AYF32" s="219"/>
      <c r="AYG32" s="219"/>
      <c r="AYH32" s="219"/>
      <c r="AYI32" s="219"/>
      <c r="AYJ32" s="219"/>
      <c r="AYK32" s="219"/>
      <c r="AYL32" s="219"/>
      <c r="AYM32" s="219"/>
      <c r="AYN32" s="219"/>
      <c r="AYO32" s="219"/>
      <c r="AYP32" s="219"/>
      <c r="AYQ32" s="219"/>
      <c r="AYR32" s="219"/>
      <c r="AYS32" s="219"/>
      <c r="AYT32" s="219"/>
      <c r="AYU32" s="219"/>
      <c r="AYV32" s="219"/>
      <c r="AYW32" s="219"/>
      <c r="AYX32" s="219"/>
      <c r="AYY32" s="219"/>
      <c r="AYZ32" s="219"/>
      <c r="AZA32" s="219"/>
      <c r="AZB32" s="219"/>
      <c r="AZC32" s="219"/>
      <c r="AZD32" s="219"/>
      <c r="AZE32" s="219"/>
      <c r="AZF32" s="219"/>
      <c r="AZG32" s="219"/>
      <c r="AZH32" s="219"/>
      <c r="AZI32" s="219"/>
      <c r="AZJ32" s="219"/>
      <c r="AZK32" s="219"/>
      <c r="AZL32" s="219"/>
      <c r="AZM32" s="219"/>
      <c r="AZN32" s="219"/>
      <c r="AZO32" s="219"/>
      <c r="AZP32" s="219"/>
      <c r="AZQ32" s="219"/>
      <c r="AZR32" s="219"/>
      <c r="AZS32" s="219"/>
      <c r="AZT32" s="219"/>
      <c r="AZU32" s="219"/>
      <c r="AZV32" s="219"/>
      <c r="AZW32" s="219"/>
      <c r="AZX32" s="219"/>
      <c r="AZY32" s="219"/>
      <c r="AZZ32" s="219"/>
      <c r="BAA32" s="219"/>
      <c r="BAB32" s="219"/>
      <c r="BAC32" s="219"/>
      <c r="BAD32" s="219"/>
      <c r="BAE32" s="219"/>
      <c r="BAF32" s="219"/>
      <c r="BAG32" s="219"/>
      <c r="BAH32" s="219"/>
      <c r="BAI32" s="219"/>
      <c r="BAJ32" s="219"/>
      <c r="BAK32" s="219"/>
      <c r="BAL32" s="219"/>
      <c r="BAM32" s="219"/>
      <c r="BAN32" s="219"/>
      <c r="BAO32" s="219"/>
      <c r="BAP32" s="219"/>
      <c r="BAQ32" s="219"/>
      <c r="BAR32" s="219"/>
      <c r="BAS32" s="219"/>
      <c r="BAT32" s="219"/>
      <c r="BAU32" s="219"/>
      <c r="BAV32" s="219"/>
      <c r="BAW32" s="219"/>
      <c r="BAX32" s="219"/>
      <c r="BAY32" s="219"/>
      <c r="BAZ32" s="219"/>
      <c r="BBA32" s="219"/>
      <c r="BBB32" s="219"/>
      <c r="BBC32" s="219"/>
      <c r="BBD32" s="219"/>
      <c r="BBE32" s="219"/>
      <c r="BBF32" s="219"/>
      <c r="BBG32" s="219"/>
      <c r="BBH32" s="219"/>
      <c r="BBI32" s="219"/>
      <c r="BBJ32" s="219"/>
      <c r="BBK32" s="219"/>
      <c r="BBL32" s="219"/>
      <c r="BBM32" s="219"/>
      <c r="BBN32" s="219"/>
      <c r="BBO32" s="219"/>
      <c r="BBP32" s="219"/>
      <c r="BBQ32" s="219"/>
      <c r="BBR32" s="219"/>
      <c r="BBS32" s="219"/>
      <c r="BBT32" s="219"/>
      <c r="BBU32" s="219"/>
      <c r="BBV32" s="219"/>
      <c r="BBW32" s="219"/>
      <c r="BBX32" s="219"/>
      <c r="BBY32" s="219"/>
      <c r="BBZ32" s="219"/>
      <c r="BCA32" s="219"/>
      <c r="BCB32" s="219"/>
      <c r="BCC32" s="219"/>
      <c r="BCD32" s="219"/>
      <c r="BCE32" s="219"/>
      <c r="BCF32" s="219"/>
      <c r="BCG32" s="219"/>
      <c r="BCH32" s="219"/>
      <c r="BCI32" s="219"/>
      <c r="BCJ32" s="219"/>
      <c r="BCK32" s="219"/>
      <c r="BCL32" s="219"/>
      <c r="BCM32" s="219"/>
      <c r="BCN32" s="219"/>
      <c r="BCO32" s="219"/>
      <c r="BCP32" s="219"/>
      <c r="BCQ32" s="219"/>
      <c r="BCR32" s="219"/>
      <c r="BCS32" s="219"/>
      <c r="BCT32" s="219"/>
      <c r="BCU32" s="219"/>
      <c r="BCV32" s="219"/>
      <c r="BCW32" s="219"/>
      <c r="BCX32" s="219"/>
      <c r="BCY32" s="219"/>
      <c r="BCZ32" s="219"/>
      <c r="BDA32" s="219"/>
      <c r="BDB32" s="219"/>
      <c r="BDC32" s="219"/>
      <c r="BDD32" s="219"/>
      <c r="BDE32" s="219"/>
      <c r="BDF32" s="219"/>
      <c r="BDG32" s="219"/>
      <c r="BDH32" s="219"/>
      <c r="BDI32" s="219"/>
      <c r="BDJ32" s="219"/>
      <c r="BDK32" s="219"/>
      <c r="BDL32" s="219"/>
      <c r="BDM32" s="219"/>
      <c r="BDN32" s="219"/>
      <c r="BDO32" s="219"/>
      <c r="BDP32" s="219"/>
      <c r="BDQ32" s="219"/>
      <c r="BDR32" s="219"/>
      <c r="BDS32" s="219"/>
      <c r="BDT32" s="219"/>
      <c r="BDU32" s="219"/>
      <c r="BDV32" s="219"/>
      <c r="BDW32" s="219"/>
      <c r="BDX32" s="219"/>
      <c r="BDY32" s="219"/>
      <c r="BDZ32" s="219"/>
      <c r="BEA32" s="219"/>
      <c r="BEB32" s="219"/>
      <c r="BEC32" s="219"/>
      <c r="BED32" s="219"/>
      <c r="BEE32" s="219"/>
      <c r="BEF32" s="219"/>
      <c r="BEG32" s="219"/>
      <c r="BEH32" s="219"/>
      <c r="BEI32" s="219"/>
      <c r="BEJ32" s="219"/>
      <c r="BEK32" s="219"/>
      <c r="BEL32" s="219"/>
      <c r="BEM32" s="219"/>
      <c r="BEN32" s="219"/>
      <c r="BEO32" s="219"/>
      <c r="BEP32" s="219"/>
      <c r="BEQ32" s="219"/>
      <c r="BER32" s="219"/>
      <c r="BES32" s="219"/>
      <c r="BET32" s="219"/>
      <c r="BEU32" s="219"/>
      <c r="BEV32" s="219"/>
      <c r="BEW32" s="219"/>
      <c r="BEX32" s="219"/>
      <c r="BEY32" s="219"/>
      <c r="BEZ32" s="219"/>
      <c r="BFA32" s="219"/>
      <c r="BFB32" s="219"/>
      <c r="BFC32" s="219"/>
      <c r="BFD32" s="219"/>
      <c r="BFE32" s="219"/>
      <c r="BFF32" s="219"/>
      <c r="BFG32" s="219"/>
      <c r="BFH32" s="219"/>
      <c r="BFI32" s="219"/>
      <c r="BFJ32" s="219"/>
      <c r="BFK32" s="219"/>
      <c r="BFL32" s="219"/>
      <c r="BFM32" s="219"/>
      <c r="BFN32" s="219"/>
      <c r="BFO32" s="219"/>
      <c r="BFP32" s="219"/>
      <c r="BFQ32" s="219"/>
      <c r="BFR32" s="219"/>
      <c r="BFS32" s="219"/>
      <c r="BFT32" s="219"/>
      <c r="BFU32" s="219"/>
      <c r="BFV32" s="219"/>
      <c r="BFW32" s="219"/>
      <c r="BFX32" s="219"/>
      <c r="BFY32" s="219"/>
      <c r="BFZ32" s="219"/>
      <c r="BGA32" s="219"/>
      <c r="BGB32" s="219"/>
      <c r="BGC32" s="219"/>
      <c r="BGD32" s="219"/>
      <c r="BGE32" s="219"/>
      <c r="BGF32" s="219"/>
      <c r="BGG32" s="219"/>
      <c r="BGH32" s="219"/>
      <c r="BGI32" s="219"/>
      <c r="BGJ32" s="219"/>
      <c r="BGK32" s="219"/>
      <c r="BGL32" s="219"/>
      <c r="BGM32" s="219"/>
      <c r="BGN32" s="219"/>
      <c r="BGO32" s="219"/>
      <c r="BGP32" s="219"/>
      <c r="BGQ32" s="219"/>
      <c r="BGR32" s="219"/>
      <c r="BGS32" s="219"/>
      <c r="BGT32" s="219"/>
      <c r="BGU32" s="219"/>
      <c r="BGV32" s="219"/>
      <c r="BGW32" s="219"/>
      <c r="BGX32" s="219"/>
      <c r="BGY32" s="219"/>
      <c r="BGZ32" s="219"/>
      <c r="BHA32" s="219"/>
      <c r="BHB32" s="219"/>
      <c r="BHC32" s="219"/>
      <c r="BHD32" s="219"/>
      <c r="BHE32" s="219"/>
      <c r="BHF32" s="219"/>
      <c r="BHG32" s="219"/>
      <c r="BHH32" s="219"/>
      <c r="BHI32" s="219"/>
      <c r="BHJ32" s="219"/>
      <c r="BHK32" s="219"/>
      <c r="BHL32" s="219"/>
      <c r="BHM32" s="219"/>
      <c r="BHN32" s="219"/>
      <c r="BHO32" s="219"/>
      <c r="BHP32" s="219"/>
      <c r="BHQ32" s="219"/>
      <c r="BHR32" s="219"/>
      <c r="BHS32" s="219"/>
      <c r="BHT32" s="219"/>
      <c r="BHU32" s="219"/>
      <c r="BHV32" s="219"/>
      <c r="BHW32" s="219"/>
      <c r="BHX32" s="219"/>
      <c r="BHY32" s="219"/>
      <c r="BHZ32" s="219"/>
      <c r="BIA32" s="219"/>
      <c r="BIB32" s="219"/>
      <c r="BIC32" s="219"/>
      <c r="BID32" s="219"/>
      <c r="BIE32" s="219"/>
      <c r="BIF32" s="219"/>
      <c r="BIG32" s="219"/>
      <c r="BIH32" s="219"/>
      <c r="BII32" s="219"/>
      <c r="BIJ32" s="219"/>
      <c r="BIK32" s="219"/>
      <c r="BIL32" s="219"/>
      <c r="BIM32" s="219"/>
      <c r="BIN32" s="219"/>
      <c r="BIO32" s="219"/>
      <c r="BIP32" s="219"/>
      <c r="BIQ32" s="219"/>
      <c r="BIR32" s="219"/>
      <c r="BIS32" s="219"/>
      <c r="BIT32" s="219"/>
      <c r="BIU32" s="219"/>
      <c r="BIV32" s="219"/>
      <c r="BIW32" s="219"/>
      <c r="BIX32" s="219"/>
      <c r="BIY32" s="219"/>
      <c r="BIZ32" s="219"/>
      <c r="BJA32" s="219"/>
      <c r="BJB32" s="219"/>
      <c r="BJC32" s="219"/>
      <c r="BJD32" s="219"/>
      <c r="BJE32" s="219"/>
      <c r="BJF32" s="219"/>
      <c r="BJG32" s="219"/>
      <c r="BJH32" s="219"/>
      <c r="BJI32" s="219"/>
      <c r="BJJ32" s="219"/>
      <c r="BJK32" s="219"/>
      <c r="BJL32" s="219"/>
      <c r="BJM32" s="219"/>
      <c r="BJN32" s="219"/>
      <c r="BJO32" s="219"/>
      <c r="BJP32" s="219"/>
      <c r="BJQ32" s="219"/>
      <c r="BJR32" s="219"/>
      <c r="BJS32" s="219"/>
      <c r="BJT32" s="219"/>
      <c r="BJU32" s="219"/>
      <c r="BJV32" s="219"/>
      <c r="BJW32" s="219"/>
      <c r="BJX32" s="219"/>
      <c r="BJY32" s="219"/>
      <c r="BJZ32" s="219"/>
      <c r="BKA32" s="219"/>
      <c r="BKB32" s="219"/>
      <c r="BKC32" s="219"/>
      <c r="BKD32" s="219"/>
      <c r="BKE32" s="219"/>
      <c r="BKF32" s="219"/>
      <c r="BKG32" s="219"/>
      <c r="BKH32" s="219"/>
      <c r="BKI32" s="219"/>
      <c r="BKJ32" s="219"/>
      <c r="BKK32" s="219"/>
      <c r="BKL32" s="219"/>
      <c r="BKM32" s="219"/>
      <c r="BKN32" s="219"/>
      <c r="BKO32" s="219"/>
      <c r="BKP32" s="219"/>
      <c r="BKQ32" s="219"/>
      <c r="BKR32" s="219"/>
      <c r="BKS32" s="219"/>
      <c r="BKT32" s="219"/>
      <c r="BKU32" s="219"/>
      <c r="BKV32" s="219"/>
      <c r="BKW32" s="219"/>
      <c r="BKX32" s="219"/>
      <c r="BKY32" s="219"/>
      <c r="BKZ32" s="219"/>
      <c r="BLA32" s="219"/>
      <c r="BLB32" s="219"/>
      <c r="BLC32" s="219"/>
      <c r="BLD32" s="219"/>
      <c r="BLE32" s="219"/>
      <c r="BLF32" s="219"/>
      <c r="BLG32" s="219"/>
      <c r="BLH32" s="219"/>
      <c r="BLI32" s="219"/>
      <c r="BLJ32" s="219"/>
      <c r="BLK32" s="219"/>
      <c r="BLL32" s="219"/>
      <c r="BLM32" s="219"/>
      <c r="BLN32" s="219"/>
      <c r="BLO32" s="219"/>
      <c r="BLP32" s="219"/>
      <c r="BLQ32" s="219"/>
      <c r="BLR32" s="219"/>
      <c r="BLS32" s="219"/>
      <c r="BLT32" s="219"/>
      <c r="BLU32" s="219"/>
      <c r="BLV32" s="219"/>
      <c r="BLW32" s="219"/>
      <c r="BLX32" s="219"/>
      <c r="BLY32" s="219"/>
      <c r="BLZ32" s="219"/>
      <c r="BMA32" s="219"/>
      <c r="BMB32" s="219"/>
      <c r="BMC32" s="219"/>
      <c r="BMD32" s="219"/>
      <c r="BME32" s="219"/>
      <c r="BMF32" s="219"/>
      <c r="BMG32" s="219"/>
      <c r="BMH32" s="219"/>
      <c r="BMI32" s="219"/>
      <c r="BMJ32" s="219"/>
      <c r="BMK32" s="219"/>
      <c r="BML32" s="219"/>
      <c r="BMM32" s="219"/>
      <c r="BMN32" s="219"/>
      <c r="BMO32" s="219"/>
      <c r="BMP32" s="219"/>
      <c r="BMQ32" s="219"/>
      <c r="BMR32" s="219"/>
      <c r="BMS32" s="219"/>
      <c r="BMT32" s="219"/>
      <c r="BMU32" s="219"/>
      <c r="BMV32" s="219"/>
      <c r="BMW32" s="219"/>
      <c r="BMX32" s="219"/>
      <c r="BMY32" s="219"/>
      <c r="BMZ32" s="219"/>
      <c r="BNA32" s="219"/>
      <c r="BNB32" s="219"/>
      <c r="BNC32" s="219"/>
      <c r="BND32" s="219"/>
      <c r="BNE32" s="219"/>
      <c r="BNF32" s="219"/>
      <c r="BNG32" s="219"/>
      <c r="BNH32" s="219"/>
      <c r="BNI32" s="219"/>
      <c r="BNJ32" s="219"/>
      <c r="BNK32" s="219"/>
      <c r="BNL32" s="219"/>
      <c r="BNM32" s="219"/>
      <c r="BNN32" s="219"/>
      <c r="BNO32" s="219"/>
      <c r="BNP32" s="219"/>
      <c r="BNQ32" s="219"/>
      <c r="BNR32" s="219"/>
      <c r="BNS32" s="219"/>
      <c r="BNT32" s="219"/>
      <c r="BNU32" s="219"/>
      <c r="BNV32" s="219"/>
      <c r="BNW32" s="219"/>
      <c r="BNX32" s="219"/>
      <c r="BNY32" s="219"/>
      <c r="BNZ32" s="219"/>
      <c r="BOA32" s="219"/>
      <c r="BOB32" s="219"/>
      <c r="BOC32" s="219"/>
      <c r="BOD32" s="219"/>
      <c r="BOE32" s="219"/>
      <c r="BOF32" s="219"/>
      <c r="BOG32" s="219"/>
      <c r="BOH32" s="219"/>
      <c r="BOI32" s="219"/>
      <c r="BOJ32" s="219"/>
      <c r="BOK32" s="219"/>
      <c r="BOL32" s="219"/>
      <c r="BOM32" s="219"/>
      <c r="BON32" s="219"/>
      <c r="BOO32" s="219"/>
      <c r="BOP32" s="219"/>
      <c r="BOQ32" s="219"/>
      <c r="BOR32" s="219"/>
      <c r="BOS32" s="219"/>
      <c r="BOT32" s="219"/>
      <c r="BOU32" s="219"/>
      <c r="BOV32" s="219"/>
      <c r="BOW32" s="219"/>
      <c r="BOX32" s="219"/>
      <c r="BOY32" s="219"/>
      <c r="BOZ32" s="219"/>
      <c r="BPA32" s="219"/>
      <c r="BPB32" s="219"/>
      <c r="BPC32" s="219"/>
      <c r="BPD32" s="219"/>
      <c r="BPE32" s="219"/>
      <c r="BPF32" s="219"/>
      <c r="BPG32" s="219"/>
      <c r="BPH32" s="219"/>
      <c r="BPI32" s="219"/>
      <c r="BPJ32" s="219"/>
      <c r="BPK32" s="219"/>
      <c r="BPL32" s="219"/>
      <c r="BPM32" s="219"/>
      <c r="BPN32" s="219"/>
      <c r="BPO32" s="219"/>
      <c r="BPP32" s="219"/>
      <c r="BPQ32" s="219"/>
      <c r="BPR32" s="219"/>
      <c r="BPS32" s="219"/>
      <c r="BPT32" s="219"/>
      <c r="BPU32" s="219"/>
      <c r="BPV32" s="219"/>
      <c r="BPW32" s="219"/>
      <c r="BPX32" s="219"/>
      <c r="BPY32" s="219"/>
      <c r="BPZ32" s="219"/>
      <c r="BQA32" s="219"/>
      <c r="BQB32" s="219"/>
      <c r="BQC32" s="219"/>
      <c r="BQD32" s="219"/>
      <c r="BQE32" s="219"/>
      <c r="BQF32" s="219"/>
      <c r="BQG32" s="219"/>
      <c r="BQH32" s="219"/>
      <c r="BQI32" s="219"/>
      <c r="BQJ32" s="219"/>
      <c r="BQK32" s="219"/>
      <c r="BQL32" s="219"/>
      <c r="BQM32" s="219"/>
      <c r="BQN32" s="219"/>
      <c r="BQO32" s="219"/>
      <c r="BQP32" s="219"/>
      <c r="BQQ32" s="219"/>
      <c r="BQR32" s="219"/>
      <c r="BQS32" s="219"/>
      <c r="BQT32" s="219"/>
      <c r="BQU32" s="219"/>
      <c r="BQV32" s="219"/>
      <c r="BQW32" s="219"/>
      <c r="BQX32" s="219"/>
      <c r="BQY32" s="219"/>
      <c r="BQZ32" s="219"/>
      <c r="BRA32" s="219"/>
      <c r="BRB32" s="219"/>
      <c r="BRC32" s="219"/>
      <c r="BRD32" s="219"/>
      <c r="BRE32" s="219"/>
      <c r="BRF32" s="219"/>
      <c r="BRG32" s="219"/>
      <c r="BRH32" s="219"/>
      <c r="BRI32" s="219"/>
      <c r="BRJ32" s="219"/>
      <c r="BRK32" s="219"/>
      <c r="BRL32" s="219"/>
      <c r="BRM32" s="219"/>
      <c r="BRN32" s="219"/>
      <c r="BRO32" s="219"/>
      <c r="BRP32" s="219"/>
      <c r="BRQ32" s="219"/>
      <c r="BRR32" s="219"/>
      <c r="BRS32" s="219"/>
      <c r="BRT32" s="219"/>
      <c r="BRU32" s="219"/>
      <c r="BRV32" s="219"/>
      <c r="BRW32" s="219"/>
      <c r="BRX32" s="219"/>
      <c r="BRY32" s="219"/>
      <c r="BRZ32" s="219"/>
      <c r="BSA32" s="219"/>
      <c r="BSB32" s="219"/>
      <c r="BSC32" s="219"/>
      <c r="BSD32" s="219"/>
      <c r="BSE32" s="219"/>
      <c r="BSF32" s="219"/>
      <c r="BSG32" s="219"/>
      <c r="BSH32" s="219"/>
      <c r="BSI32" s="219"/>
      <c r="BSJ32" s="219"/>
      <c r="BSK32" s="219"/>
      <c r="BSL32" s="219"/>
      <c r="BSM32" s="219"/>
      <c r="BSN32" s="219"/>
      <c r="BSO32" s="219"/>
      <c r="BSP32" s="219"/>
      <c r="BSQ32" s="219"/>
      <c r="BSR32" s="219"/>
      <c r="BSS32" s="219"/>
      <c r="BST32" s="219"/>
      <c r="BSU32" s="219"/>
      <c r="BSV32" s="219"/>
      <c r="BSW32" s="219"/>
      <c r="BSX32" s="219"/>
      <c r="BSY32" s="219"/>
      <c r="BSZ32" s="219"/>
      <c r="BTA32" s="219"/>
      <c r="BTB32" s="219"/>
      <c r="BTC32" s="219"/>
      <c r="BTD32" s="219"/>
      <c r="BTE32" s="219"/>
      <c r="BTF32" s="219"/>
      <c r="BTG32" s="219"/>
      <c r="BTH32" s="219"/>
      <c r="BTI32" s="219"/>
      <c r="BTJ32" s="219"/>
      <c r="BTK32" s="219"/>
      <c r="BTL32" s="219"/>
      <c r="BTM32" s="219"/>
      <c r="BTN32" s="219"/>
      <c r="BTO32" s="219"/>
      <c r="BTP32" s="219"/>
      <c r="BTQ32" s="219"/>
      <c r="BTR32" s="219"/>
      <c r="BTS32" s="219"/>
      <c r="BTT32" s="219"/>
      <c r="BTU32" s="219"/>
      <c r="BTV32" s="219"/>
      <c r="BTW32" s="219"/>
      <c r="BTX32" s="219"/>
      <c r="BTY32" s="219"/>
      <c r="BTZ32" s="219"/>
      <c r="BUA32" s="219"/>
      <c r="BUB32" s="219"/>
      <c r="BUC32" s="219"/>
      <c r="BUD32" s="219"/>
      <c r="BUE32" s="219"/>
      <c r="BUF32" s="219"/>
      <c r="BUG32" s="219"/>
      <c r="BUH32" s="219"/>
      <c r="BUI32" s="219"/>
      <c r="BUJ32" s="219"/>
      <c r="BUK32" s="219"/>
      <c r="BUL32" s="219"/>
      <c r="BUM32" s="219"/>
      <c r="BUN32" s="219"/>
      <c r="BUO32" s="219"/>
      <c r="BUP32" s="219"/>
      <c r="BUQ32" s="219"/>
      <c r="BUR32" s="219"/>
      <c r="BUS32" s="219"/>
      <c r="BUT32" s="219"/>
      <c r="BUU32" s="219"/>
      <c r="BUV32" s="219"/>
      <c r="BUW32" s="219"/>
      <c r="BUX32" s="219"/>
      <c r="BUY32" s="219"/>
      <c r="BUZ32" s="219"/>
      <c r="BVA32" s="219"/>
      <c r="BVB32" s="219"/>
      <c r="BVC32" s="219"/>
      <c r="BVD32" s="219"/>
      <c r="BVE32" s="219"/>
      <c r="BVF32" s="219"/>
      <c r="BVG32" s="219"/>
      <c r="BVH32" s="219"/>
      <c r="BVI32" s="219"/>
      <c r="BVJ32" s="219"/>
      <c r="BVK32" s="219"/>
      <c r="BVL32" s="219"/>
      <c r="BVM32" s="219"/>
      <c r="BVN32" s="219"/>
      <c r="BVO32" s="219"/>
      <c r="BVP32" s="219"/>
      <c r="BVQ32" s="219"/>
      <c r="BVR32" s="219"/>
      <c r="BVS32" s="219"/>
      <c r="BVT32" s="219"/>
      <c r="BVU32" s="219"/>
      <c r="BVV32" s="219"/>
      <c r="BVW32" s="219"/>
      <c r="BVX32" s="219"/>
      <c r="BVY32" s="219"/>
      <c r="BVZ32" s="219"/>
      <c r="BWA32" s="219"/>
      <c r="BWB32" s="219"/>
      <c r="BWC32" s="219"/>
      <c r="BWD32" s="219"/>
      <c r="BWE32" s="219"/>
      <c r="BWF32" s="219"/>
      <c r="BWG32" s="219"/>
      <c r="BWH32" s="219"/>
      <c r="BWI32" s="219"/>
      <c r="BWJ32" s="219"/>
      <c r="BWK32" s="219"/>
      <c r="BWL32" s="219"/>
      <c r="BWM32" s="219"/>
      <c r="BWN32" s="219"/>
      <c r="BWO32" s="219"/>
      <c r="BWP32" s="219"/>
      <c r="BWQ32" s="219"/>
      <c r="BWR32" s="219"/>
      <c r="BWS32" s="219"/>
      <c r="BWT32" s="219"/>
      <c r="BWU32" s="219"/>
      <c r="BWV32" s="219"/>
      <c r="BWW32" s="219"/>
      <c r="BWX32" s="219"/>
      <c r="BWY32" s="219"/>
      <c r="BWZ32" s="219"/>
      <c r="BXA32" s="219"/>
      <c r="BXB32" s="219"/>
      <c r="BXC32" s="219"/>
      <c r="BXD32" s="219"/>
      <c r="BXE32" s="219"/>
      <c r="BXF32" s="219"/>
      <c r="BXG32" s="219"/>
      <c r="BXH32" s="219"/>
      <c r="BXI32" s="219"/>
      <c r="BXJ32" s="219"/>
      <c r="BXK32" s="219"/>
      <c r="BXL32" s="219"/>
      <c r="BXM32" s="219"/>
      <c r="BXN32" s="219"/>
      <c r="BXO32" s="219"/>
      <c r="BXP32" s="219"/>
      <c r="BXQ32" s="219"/>
      <c r="BXR32" s="219"/>
      <c r="BXS32" s="219"/>
      <c r="BXT32" s="219"/>
      <c r="BXU32" s="219"/>
      <c r="BXV32" s="219"/>
      <c r="BXW32" s="219"/>
      <c r="BXX32" s="219"/>
      <c r="BXY32" s="219"/>
      <c r="BXZ32" s="219"/>
      <c r="BYA32" s="219"/>
      <c r="BYB32" s="219"/>
      <c r="BYC32" s="219"/>
      <c r="BYD32" s="219"/>
      <c r="BYE32" s="219"/>
      <c r="BYF32" s="219"/>
      <c r="BYG32" s="219"/>
    </row>
    <row r="33" spans="1:2009" s="94" customFormat="1" ht="17.25" customHeight="1" thickBot="1" x14ac:dyDescent="0.3">
      <c r="A33" s="111"/>
      <c r="B33" s="111"/>
      <c r="C33" s="176"/>
      <c r="D33" s="176"/>
      <c r="E33" s="176"/>
      <c r="F33" s="176"/>
      <c r="G33" s="680"/>
    </row>
    <row r="34" spans="1:2009" s="113" customFormat="1" ht="24.95" hidden="1" customHeight="1" x14ac:dyDescent="0.25">
      <c r="A34" s="141" t="s">
        <v>41</v>
      </c>
      <c r="B34" s="142"/>
      <c r="C34" s="185"/>
      <c r="D34" s="185"/>
      <c r="E34" s="186"/>
      <c r="F34" s="186"/>
      <c r="G34" s="687"/>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42</v>
      </c>
      <c r="C35" s="183"/>
      <c r="D35" s="183"/>
      <c r="E35" s="184"/>
      <c r="F35" s="184"/>
      <c r="G35" s="685"/>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20" customFormat="1" ht="24.95" hidden="1" customHeight="1" thickBot="1" x14ac:dyDescent="0.3">
      <c r="A36" s="221"/>
      <c r="B36" s="216" t="s">
        <v>74</v>
      </c>
      <c r="C36" s="217"/>
      <c r="D36" s="217"/>
      <c r="E36" s="217"/>
      <c r="F36" s="217"/>
      <c r="G36" s="686"/>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c r="JM36" s="219"/>
      <c r="JN36" s="219"/>
      <c r="JO36" s="219"/>
      <c r="JP36" s="219"/>
      <c r="JQ36" s="219"/>
      <c r="JR36" s="219"/>
      <c r="JS36" s="219"/>
      <c r="JT36" s="219"/>
      <c r="JU36" s="219"/>
      <c r="JV36" s="219"/>
      <c r="JW36" s="219"/>
      <c r="JX36" s="219"/>
      <c r="JY36" s="219"/>
      <c r="JZ36" s="219"/>
      <c r="KA36" s="219"/>
      <c r="KB36" s="219"/>
      <c r="KC36" s="219"/>
      <c r="KD36" s="219"/>
      <c r="KE36" s="219"/>
      <c r="KF36" s="219"/>
      <c r="KG36" s="219"/>
      <c r="KH36" s="219"/>
      <c r="KI36" s="219"/>
      <c r="KJ36" s="219"/>
      <c r="KK36" s="219"/>
      <c r="KL36" s="219"/>
      <c r="KM36" s="219"/>
      <c r="KN36" s="219"/>
      <c r="KO36" s="219"/>
      <c r="KP36" s="219"/>
      <c r="KQ36" s="219"/>
      <c r="KR36" s="219"/>
      <c r="KS36" s="219"/>
      <c r="KT36" s="219"/>
      <c r="KU36" s="219"/>
      <c r="KV36" s="219"/>
      <c r="KW36" s="219"/>
      <c r="KX36" s="219"/>
      <c r="KY36" s="219"/>
      <c r="KZ36" s="219"/>
      <c r="LA36" s="219"/>
      <c r="LB36" s="219"/>
      <c r="LC36" s="219"/>
      <c r="LD36" s="219"/>
      <c r="LE36" s="219"/>
      <c r="LF36" s="219"/>
      <c r="LG36" s="219"/>
      <c r="LH36" s="219"/>
      <c r="LI36" s="219"/>
      <c r="LJ36" s="219"/>
      <c r="LK36" s="219"/>
      <c r="LL36" s="219"/>
      <c r="LM36" s="219"/>
      <c r="LN36" s="219"/>
      <c r="LO36" s="219"/>
      <c r="LP36" s="219"/>
      <c r="LQ36" s="219"/>
      <c r="LR36" s="219"/>
      <c r="LS36" s="219"/>
      <c r="LT36" s="219"/>
      <c r="LU36" s="219"/>
      <c r="LV36" s="219"/>
      <c r="LW36" s="219"/>
      <c r="LX36" s="219"/>
      <c r="LY36" s="219"/>
      <c r="LZ36" s="219"/>
      <c r="MA36" s="219"/>
      <c r="MB36" s="219"/>
      <c r="MC36" s="219"/>
      <c r="MD36" s="219"/>
      <c r="ME36" s="219"/>
      <c r="MF36" s="219"/>
      <c r="MG36" s="219"/>
      <c r="MH36" s="219"/>
      <c r="MI36" s="219"/>
      <c r="MJ36" s="219"/>
      <c r="MK36" s="219"/>
      <c r="ML36" s="219"/>
      <c r="MM36" s="219"/>
      <c r="MN36" s="219"/>
      <c r="MO36" s="219"/>
      <c r="MP36" s="219"/>
      <c r="MQ36" s="219"/>
      <c r="MR36" s="219"/>
      <c r="MS36" s="219"/>
      <c r="MT36" s="219"/>
      <c r="MU36" s="219"/>
      <c r="MV36" s="219"/>
      <c r="MW36" s="219"/>
      <c r="MX36" s="219"/>
      <c r="MY36" s="219"/>
      <c r="MZ36" s="219"/>
      <c r="NA36" s="219"/>
      <c r="NB36" s="219"/>
      <c r="NC36" s="219"/>
      <c r="ND36" s="219"/>
      <c r="NE36" s="219"/>
      <c r="NF36" s="219"/>
      <c r="NG36" s="219"/>
      <c r="NH36" s="219"/>
      <c r="NI36" s="219"/>
      <c r="NJ36" s="219"/>
      <c r="NK36" s="219"/>
      <c r="NL36" s="219"/>
      <c r="NM36" s="219"/>
      <c r="NN36" s="219"/>
      <c r="NO36" s="219"/>
      <c r="NP36" s="219"/>
      <c r="NQ36" s="219"/>
      <c r="NR36" s="219"/>
      <c r="NS36" s="219"/>
      <c r="NT36" s="219"/>
      <c r="NU36" s="219"/>
      <c r="NV36" s="219"/>
      <c r="NW36" s="219"/>
      <c r="NX36" s="219"/>
      <c r="NY36" s="219"/>
      <c r="NZ36" s="219"/>
      <c r="OA36" s="219"/>
      <c r="OB36" s="219"/>
      <c r="OC36" s="219"/>
      <c r="OD36" s="219"/>
      <c r="OE36" s="219"/>
      <c r="OF36" s="219"/>
      <c r="OG36" s="219"/>
      <c r="OH36" s="219"/>
      <c r="OI36" s="219"/>
      <c r="OJ36" s="219"/>
      <c r="OK36" s="219"/>
      <c r="OL36" s="219"/>
      <c r="OM36" s="219"/>
      <c r="ON36" s="219"/>
      <c r="OO36" s="219"/>
      <c r="OP36" s="219"/>
      <c r="OQ36" s="219"/>
      <c r="OR36" s="219"/>
      <c r="OS36" s="219"/>
      <c r="OT36" s="219"/>
      <c r="OU36" s="219"/>
      <c r="OV36" s="219"/>
      <c r="OW36" s="219"/>
      <c r="OX36" s="219"/>
      <c r="OY36" s="219"/>
      <c r="OZ36" s="219"/>
      <c r="PA36" s="219"/>
      <c r="PB36" s="219"/>
      <c r="PC36" s="219"/>
      <c r="PD36" s="219"/>
      <c r="PE36" s="219"/>
      <c r="PF36" s="219"/>
      <c r="PG36" s="219"/>
      <c r="PH36" s="219"/>
      <c r="PI36" s="219"/>
      <c r="PJ36" s="219"/>
      <c r="PK36" s="219"/>
      <c r="PL36" s="219"/>
      <c r="PM36" s="219"/>
      <c r="PN36" s="219"/>
      <c r="PO36" s="219"/>
      <c r="PP36" s="219"/>
      <c r="PQ36" s="219"/>
      <c r="PR36" s="219"/>
      <c r="PS36" s="219"/>
      <c r="PT36" s="219"/>
      <c r="PU36" s="219"/>
      <c r="PV36" s="219"/>
      <c r="PW36" s="219"/>
      <c r="PX36" s="219"/>
      <c r="PY36" s="219"/>
      <c r="PZ36" s="219"/>
      <c r="QA36" s="219"/>
      <c r="QB36" s="219"/>
      <c r="QC36" s="219"/>
      <c r="QD36" s="219"/>
      <c r="QE36" s="219"/>
      <c r="QF36" s="219"/>
      <c r="QG36" s="219"/>
      <c r="QH36" s="219"/>
      <c r="QI36" s="219"/>
      <c r="QJ36" s="219"/>
      <c r="QK36" s="219"/>
      <c r="QL36" s="219"/>
      <c r="QM36" s="219"/>
      <c r="QN36" s="219"/>
      <c r="QO36" s="219"/>
      <c r="QP36" s="219"/>
      <c r="QQ36" s="219"/>
      <c r="QR36" s="219"/>
      <c r="QS36" s="219"/>
      <c r="QT36" s="219"/>
      <c r="QU36" s="219"/>
      <c r="QV36" s="219"/>
      <c r="QW36" s="219"/>
      <c r="QX36" s="219"/>
      <c r="QY36" s="219"/>
      <c r="QZ36" s="219"/>
      <c r="RA36" s="219"/>
      <c r="RB36" s="219"/>
      <c r="RC36" s="219"/>
      <c r="RD36" s="219"/>
      <c r="RE36" s="219"/>
      <c r="RF36" s="219"/>
      <c r="RG36" s="219"/>
      <c r="RH36" s="219"/>
      <c r="RI36" s="219"/>
      <c r="RJ36" s="219"/>
      <c r="RK36" s="219"/>
      <c r="RL36" s="219"/>
      <c r="RM36" s="219"/>
      <c r="RN36" s="219"/>
      <c r="RO36" s="219"/>
      <c r="RP36" s="219"/>
      <c r="RQ36" s="219"/>
      <c r="RR36" s="219"/>
      <c r="RS36" s="219"/>
      <c r="RT36" s="219"/>
      <c r="RU36" s="219"/>
      <c r="RV36" s="219"/>
      <c r="RW36" s="219"/>
      <c r="RX36" s="219"/>
      <c r="RY36" s="219"/>
      <c r="RZ36" s="219"/>
      <c r="SA36" s="219"/>
      <c r="SB36" s="219"/>
      <c r="SC36" s="219"/>
      <c r="SD36" s="219"/>
      <c r="SE36" s="219"/>
      <c r="SF36" s="219"/>
      <c r="SG36" s="219"/>
      <c r="SH36" s="219"/>
      <c r="SI36" s="219"/>
      <c r="SJ36" s="219"/>
      <c r="SK36" s="219"/>
      <c r="SL36" s="219"/>
      <c r="SM36" s="219"/>
      <c r="SN36" s="219"/>
      <c r="SO36" s="219"/>
      <c r="SP36" s="219"/>
      <c r="SQ36" s="219"/>
      <c r="SR36" s="219"/>
      <c r="SS36" s="219"/>
      <c r="ST36" s="219"/>
      <c r="SU36" s="219"/>
      <c r="SV36" s="219"/>
      <c r="SW36" s="219"/>
      <c r="SX36" s="219"/>
      <c r="SY36" s="219"/>
      <c r="SZ36" s="219"/>
      <c r="TA36" s="219"/>
      <c r="TB36" s="219"/>
      <c r="TC36" s="219"/>
      <c r="TD36" s="219"/>
      <c r="TE36" s="219"/>
      <c r="TF36" s="219"/>
      <c r="TG36" s="219"/>
      <c r="TH36" s="219"/>
      <c r="TI36" s="219"/>
      <c r="TJ36" s="219"/>
      <c r="TK36" s="219"/>
      <c r="TL36" s="219"/>
      <c r="TM36" s="219"/>
      <c r="TN36" s="219"/>
      <c r="TO36" s="219"/>
      <c r="TP36" s="219"/>
      <c r="TQ36" s="219"/>
      <c r="TR36" s="219"/>
      <c r="TS36" s="219"/>
      <c r="TT36" s="219"/>
      <c r="TU36" s="219"/>
      <c r="TV36" s="219"/>
      <c r="TW36" s="219"/>
      <c r="TX36" s="219"/>
      <c r="TY36" s="219"/>
      <c r="TZ36" s="219"/>
      <c r="UA36" s="219"/>
      <c r="UB36" s="219"/>
      <c r="UC36" s="219"/>
      <c r="UD36" s="219"/>
      <c r="UE36" s="219"/>
      <c r="UF36" s="219"/>
      <c r="UG36" s="219"/>
      <c r="UH36" s="219"/>
      <c r="UI36" s="219"/>
      <c r="UJ36" s="219"/>
      <c r="UK36" s="219"/>
      <c r="UL36" s="219"/>
      <c r="UM36" s="219"/>
      <c r="UN36" s="219"/>
      <c r="UO36" s="219"/>
      <c r="UP36" s="219"/>
      <c r="UQ36" s="219"/>
      <c r="UR36" s="219"/>
      <c r="US36" s="219"/>
      <c r="UT36" s="219"/>
      <c r="UU36" s="219"/>
      <c r="UV36" s="219"/>
      <c r="UW36" s="219"/>
      <c r="UX36" s="219"/>
      <c r="UY36" s="219"/>
      <c r="UZ36" s="219"/>
      <c r="VA36" s="219"/>
      <c r="VB36" s="219"/>
      <c r="VC36" s="219"/>
      <c r="VD36" s="219"/>
      <c r="VE36" s="219"/>
      <c r="VF36" s="219"/>
      <c r="VG36" s="219"/>
      <c r="VH36" s="219"/>
      <c r="VI36" s="219"/>
      <c r="VJ36" s="219"/>
      <c r="VK36" s="219"/>
      <c r="VL36" s="219"/>
      <c r="VM36" s="219"/>
      <c r="VN36" s="219"/>
      <c r="VO36" s="219"/>
      <c r="VP36" s="219"/>
      <c r="VQ36" s="219"/>
      <c r="VR36" s="219"/>
      <c r="VS36" s="219"/>
      <c r="VT36" s="219"/>
      <c r="VU36" s="219"/>
      <c r="VV36" s="219"/>
      <c r="VW36" s="219"/>
      <c r="VX36" s="219"/>
      <c r="VY36" s="219"/>
      <c r="VZ36" s="219"/>
      <c r="WA36" s="219"/>
      <c r="WB36" s="219"/>
      <c r="WC36" s="219"/>
      <c r="WD36" s="219"/>
      <c r="WE36" s="219"/>
      <c r="WF36" s="219"/>
      <c r="WG36" s="219"/>
      <c r="WH36" s="219"/>
      <c r="WI36" s="219"/>
      <c r="WJ36" s="219"/>
      <c r="WK36" s="219"/>
      <c r="WL36" s="219"/>
      <c r="WM36" s="219"/>
      <c r="WN36" s="219"/>
      <c r="WO36" s="219"/>
      <c r="WP36" s="219"/>
      <c r="WQ36" s="219"/>
      <c r="WR36" s="219"/>
      <c r="WS36" s="219"/>
      <c r="WT36" s="219"/>
      <c r="WU36" s="219"/>
      <c r="WV36" s="219"/>
      <c r="WW36" s="219"/>
      <c r="WX36" s="219"/>
      <c r="WY36" s="219"/>
      <c r="WZ36" s="219"/>
      <c r="XA36" s="219"/>
      <c r="XB36" s="219"/>
      <c r="XC36" s="219"/>
      <c r="XD36" s="219"/>
      <c r="XE36" s="219"/>
      <c r="XF36" s="219"/>
      <c r="XG36" s="219"/>
      <c r="XH36" s="219"/>
      <c r="XI36" s="219"/>
      <c r="XJ36" s="219"/>
      <c r="XK36" s="219"/>
      <c r="XL36" s="219"/>
      <c r="XM36" s="219"/>
      <c r="XN36" s="219"/>
      <c r="XO36" s="219"/>
      <c r="XP36" s="219"/>
      <c r="XQ36" s="219"/>
      <c r="XR36" s="219"/>
      <c r="XS36" s="219"/>
      <c r="XT36" s="219"/>
      <c r="XU36" s="219"/>
      <c r="XV36" s="219"/>
      <c r="XW36" s="219"/>
      <c r="XX36" s="219"/>
      <c r="XY36" s="219"/>
      <c r="XZ36" s="219"/>
      <c r="YA36" s="219"/>
      <c r="YB36" s="219"/>
      <c r="YC36" s="219"/>
      <c r="YD36" s="219"/>
      <c r="YE36" s="219"/>
      <c r="YF36" s="219"/>
      <c r="YG36" s="219"/>
      <c r="YH36" s="219"/>
      <c r="YI36" s="219"/>
      <c r="YJ36" s="219"/>
      <c r="YK36" s="219"/>
      <c r="YL36" s="219"/>
      <c r="YM36" s="219"/>
      <c r="YN36" s="219"/>
      <c r="YO36" s="219"/>
      <c r="YP36" s="219"/>
      <c r="YQ36" s="219"/>
      <c r="YR36" s="219"/>
      <c r="YS36" s="219"/>
      <c r="YT36" s="219"/>
      <c r="YU36" s="219"/>
      <c r="YV36" s="219"/>
      <c r="YW36" s="219"/>
      <c r="YX36" s="219"/>
      <c r="YY36" s="219"/>
      <c r="YZ36" s="219"/>
      <c r="ZA36" s="219"/>
      <c r="ZB36" s="219"/>
      <c r="ZC36" s="219"/>
      <c r="ZD36" s="219"/>
      <c r="ZE36" s="219"/>
      <c r="ZF36" s="219"/>
      <c r="ZG36" s="219"/>
      <c r="ZH36" s="219"/>
      <c r="ZI36" s="219"/>
      <c r="ZJ36" s="219"/>
      <c r="ZK36" s="219"/>
      <c r="ZL36" s="219"/>
      <c r="ZM36" s="219"/>
      <c r="ZN36" s="219"/>
      <c r="ZO36" s="219"/>
      <c r="ZP36" s="219"/>
      <c r="ZQ36" s="219"/>
      <c r="ZR36" s="219"/>
      <c r="ZS36" s="219"/>
      <c r="ZT36" s="219"/>
      <c r="ZU36" s="219"/>
      <c r="ZV36" s="219"/>
      <c r="ZW36" s="219"/>
      <c r="ZX36" s="219"/>
      <c r="ZY36" s="219"/>
      <c r="ZZ36" s="219"/>
      <c r="AAA36" s="219"/>
      <c r="AAB36" s="219"/>
      <c r="AAC36" s="219"/>
      <c r="AAD36" s="219"/>
      <c r="AAE36" s="219"/>
      <c r="AAF36" s="219"/>
      <c r="AAG36" s="219"/>
      <c r="AAH36" s="219"/>
      <c r="AAI36" s="219"/>
      <c r="AAJ36" s="219"/>
      <c r="AAK36" s="219"/>
      <c r="AAL36" s="219"/>
      <c r="AAM36" s="219"/>
      <c r="AAN36" s="219"/>
      <c r="AAO36" s="219"/>
      <c r="AAP36" s="219"/>
      <c r="AAQ36" s="219"/>
      <c r="AAR36" s="219"/>
      <c r="AAS36" s="219"/>
      <c r="AAT36" s="219"/>
      <c r="AAU36" s="219"/>
      <c r="AAV36" s="219"/>
      <c r="AAW36" s="219"/>
      <c r="AAX36" s="219"/>
      <c r="AAY36" s="219"/>
      <c r="AAZ36" s="219"/>
      <c r="ABA36" s="219"/>
      <c r="ABB36" s="219"/>
      <c r="ABC36" s="219"/>
      <c r="ABD36" s="219"/>
      <c r="ABE36" s="219"/>
      <c r="ABF36" s="219"/>
      <c r="ABG36" s="219"/>
      <c r="ABH36" s="219"/>
      <c r="ABI36" s="219"/>
      <c r="ABJ36" s="219"/>
      <c r="ABK36" s="219"/>
      <c r="ABL36" s="219"/>
      <c r="ABM36" s="219"/>
      <c r="ABN36" s="219"/>
      <c r="ABO36" s="219"/>
      <c r="ABP36" s="219"/>
      <c r="ABQ36" s="219"/>
      <c r="ABR36" s="219"/>
      <c r="ABS36" s="219"/>
      <c r="ABT36" s="219"/>
      <c r="ABU36" s="219"/>
      <c r="ABV36" s="219"/>
      <c r="ABW36" s="219"/>
      <c r="ABX36" s="219"/>
      <c r="ABY36" s="219"/>
      <c r="ABZ36" s="219"/>
      <c r="ACA36" s="219"/>
      <c r="ACB36" s="219"/>
      <c r="ACC36" s="219"/>
      <c r="ACD36" s="219"/>
      <c r="ACE36" s="219"/>
      <c r="ACF36" s="219"/>
      <c r="ACG36" s="219"/>
      <c r="ACH36" s="219"/>
      <c r="ACI36" s="219"/>
      <c r="ACJ36" s="219"/>
      <c r="ACK36" s="219"/>
      <c r="ACL36" s="219"/>
      <c r="ACM36" s="219"/>
      <c r="ACN36" s="219"/>
      <c r="ACO36" s="219"/>
      <c r="ACP36" s="219"/>
      <c r="ACQ36" s="219"/>
      <c r="ACR36" s="219"/>
      <c r="ACS36" s="219"/>
      <c r="ACT36" s="219"/>
      <c r="ACU36" s="219"/>
      <c r="ACV36" s="219"/>
      <c r="ACW36" s="219"/>
      <c r="ACX36" s="219"/>
      <c r="ACY36" s="219"/>
      <c r="ACZ36" s="219"/>
      <c r="ADA36" s="219"/>
      <c r="ADB36" s="219"/>
      <c r="ADC36" s="219"/>
      <c r="ADD36" s="219"/>
      <c r="ADE36" s="219"/>
      <c r="ADF36" s="219"/>
      <c r="ADG36" s="219"/>
      <c r="ADH36" s="219"/>
      <c r="ADI36" s="219"/>
      <c r="ADJ36" s="219"/>
      <c r="ADK36" s="219"/>
      <c r="ADL36" s="219"/>
      <c r="ADM36" s="219"/>
      <c r="ADN36" s="219"/>
      <c r="ADO36" s="219"/>
      <c r="ADP36" s="219"/>
      <c r="ADQ36" s="219"/>
      <c r="ADR36" s="219"/>
      <c r="ADS36" s="219"/>
      <c r="ADT36" s="219"/>
      <c r="ADU36" s="219"/>
      <c r="ADV36" s="219"/>
      <c r="ADW36" s="219"/>
      <c r="ADX36" s="219"/>
      <c r="ADY36" s="219"/>
      <c r="ADZ36" s="219"/>
      <c r="AEA36" s="219"/>
      <c r="AEB36" s="219"/>
      <c r="AEC36" s="219"/>
      <c r="AED36" s="219"/>
      <c r="AEE36" s="219"/>
      <c r="AEF36" s="219"/>
      <c r="AEG36" s="219"/>
      <c r="AEH36" s="219"/>
      <c r="AEI36" s="219"/>
      <c r="AEJ36" s="219"/>
      <c r="AEK36" s="219"/>
      <c r="AEL36" s="219"/>
      <c r="AEM36" s="219"/>
      <c r="AEN36" s="219"/>
      <c r="AEO36" s="219"/>
      <c r="AEP36" s="219"/>
      <c r="AEQ36" s="219"/>
      <c r="AER36" s="219"/>
      <c r="AES36" s="219"/>
      <c r="AET36" s="219"/>
      <c r="AEU36" s="219"/>
      <c r="AEV36" s="219"/>
      <c r="AEW36" s="219"/>
      <c r="AEX36" s="219"/>
      <c r="AEY36" s="219"/>
      <c r="AEZ36" s="219"/>
      <c r="AFA36" s="219"/>
      <c r="AFB36" s="219"/>
      <c r="AFC36" s="219"/>
      <c r="AFD36" s="219"/>
      <c r="AFE36" s="219"/>
      <c r="AFF36" s="219"/>
      <c r="AFG36" s="219"/>
      <c r="AFH36" s="219"/>
      <c r="AFI36" s="219"/>
      <c r="AFJ36" s="219"/>
      <c r="AFK36" s="219"/>
      <c r="AFL36" s="219"/>
      <c r="AFM36" s="219"/>
      <c r="AFN36" s="219"/>
      <c r="AFO36" s="219"/>
      <c r="AFP36" s="219"/>
      <c r="AFQ36" s="219"/>
      <c r="AFR36" s="219"/>
      <c r="AFS36" s="219"/>
      <c r="AFT36" s="219"/>
      <c r="AFU36" s="219"/>
      <c r="AFV36" s="219"/>
      <c r="AFW36" s="219"/>
      <c r="AFX36" s="219"/>
      <c r="AFY36" s="219"/>
      <c r="AFZ36" s="219"/>
      <c r="AGA36" s="219"/>
      <c r="AGB36" s="219"/>
      <c r="AGC36" s="219"/>
      <c r="AGD36" s="219"/>
      <c r="AGE36" s="219"/>
      <c r="AGF36" s="219"/>
      <c r="AGG36" s="219"/>
      <c r="AGH36" s="219"/>
      <c r="AGI36" s="219"/>
      <c r="AGJ36" s="219"/>
      <c r="AGK36" s="219"/>
      <c r="AGL36" s="219"/>
      <c r="AGM36" s="219"/>
      <c r="AGN36" s="219"/>
      <c r="AGO36" s="219"/>
      <c r="AGP36" s="219"/>
      <c r="AGQ36" s="219"/>
      <c r="AGR36" s="219"/>
      <c r="AGS36" s="219"/>
      <c r="AGT36" s="219"/>
      <c r="AGU36" s="219"/>
      <c r="AGV36" s="219"/>
      <c r="AGW36" s="219"/>
      <c r="AGX36" s="219"/>
      <c r="AGY36" s="219"/>
      <c r="AGZ36" s="219"/>
      <c r="AHA36" s="219"/>
      <c r="AHB36" s="219"/>
      <c r="AHC36" s="219"/>
      <c r="AHD36" s="219"/>
      <c r="AHE36" s="219"/>
      <c r="AHF36" s="219"/>
      <c r="AHG36" s="219"/>
      <c r="AHH36" s="219"/>
      <c r="AHI36" s="219"/>
      <c r="AHJ36" s="219"/>
      <c r="AHK36" s="219"/>
      <c r="AHL36" s="219"/>
      <c r="AHM36" s="219"/>
      <c r="AHN36" s="219"/>
      <c r="AHO36" s="219"/>
      <c r="AHP36" s="219"/>
      <c r="AHQ36" s="219"/>
      <c r="AHR36" s="219"/>
      <c r="AHS36" s="219"/>
      <c r="AHT36" s="219"/>
      <c r="AHU36" s="219"/>
      <c r="AHV36" s="219"/>
      <c r="AHW36" s="219"/>
      <c r="AHX36" s="219"/>
      <c r="AHY36" s="219"/>
      <c r="AHZ36" s="219"/>
      <c r="AIA36" s="219"/>
      <c r="AIB36" s="219"/>
      <c r="AIC36" s="219"/>
      <c r="AID36" s="219"/>
      <c r="AIE36" s="219"/>
      <c r="AIF36" s="219"/>
      <c r="AIG36" s="219"/>
      <c r="AIH36" s="219"/>
      <c r="AII36" s="219"/>
      <c r="AIJ36" s="219"/>
      <c r="AIK36" s="219"/>
      <c r="AIL36" s="219"/>
      <c r="AIM36" s="219"/>
      <c r="AIN36" s="219"/>
      <c r="AIO36" s="219"/>
      <c r="AIP36" s="219"/>
      <c r="AIQ36" s="219"/>
      <c r="AIR36" s="219"/>
      <c r="AIS36" s="219"/>
      <c r="AIT36" s="219"/>
      <c r="AIU36" s="219"/>
      <c r="AIV36" s="219"/>
      <c r="AIW36" s="219"/>
      <c r="AIX36" s="219"/>
      <c r="AIY36" s="219"/>
      <c r="AIZ36" s="219"/>
      <c r="AJA36" s="219"/>
      <c r="AJB36" s="219"/>
      <c r="AJC36" s="219"/>
      <c r="AJD36" s="219"/>
      <c r="AJE36" s="219"/>
      <c r="AJF36" s="219"/>
      <c r="AJG36" s="219"/>
      <c r="AJH36" s="219"/>
      <c r="AJI36" s="219"/>
      <c r="AJJ36" s="219"/>
      <c r="AJK36" s="219"/>
      <c r="AJL36" s="219"/>
      <c r="AJM36" s="219"/>
      <c r="AJN36" s="219"/>
      <c r="AJO36" s="219"/>
      <c r="AJP36" s="219"/>
      <c r="AJQ36" s="219"/>
      <c r="AJR36" s="219"/>
      <c r="AJS36" s="219"/>
      <c r="AJT36" s="219"/>
      <c r="AJU36" s="219"/>
      <c r="AJV36" s="219"/>
      <c r="AJW36" s="219"/>
      <c r="AJX36" s="219"/>
      <c r="AJY36" s="219"/>
      <c r="AJZ36" s="219"/>
      <c r="AKA36" s="219"/>
      <c r="AKB36" s="219"/>
      <c r="AKC36" s="219"/>
      <c r="AKD36" s="219"/>
      <c r="AKE36" s="219"/>
      <c r="AKF36" s="219"/>
      <c r="AKG36" s="219"/>
      <c r="AKH36" s="219"/>
      <c r="AKI36" s="219"/>
      <c r="AKJ36" s="219"/>
      <c r="AKK36" s="219"/>
      <c r="AKL36" s="219"/>
      <c r="AKM36" s="219"/>
      <c r="AKN36" s="219"/>
      <c r="AKO36" s="219"/>
      <c r="AKP36" s="219"/>
      <c r="AKQ36" s="219"/>
      <c r="AKR36" s="219"/>
      <c r="AKS36" s="219"/>
      <c r="AKT36" s="219"/>
      <c r="AKU36" s="219"/>
      <c r="AKV36" s="219"/>
      <c r="AKW36" s="219"/>
      <c r="AKX36" s="219"/>
      <c r="AKY36" s="219"/>
      <c r="AKZ36" s="219"/>
      <c r="ALA36" s="219"/>
      <c r="ALB36" s="219"/>
      <c r="ALC36" s="219"/>
      <c r="ALD36" s="219"/>
      <c r="ALE36" s="219"/>
      <c r="ALF36" s="219"/>
      <c r="ALG36" s="219"/>
      <c r="ALH36" s="219"/>
      <c r="ALI36" s="219"/>
      <c r="ALJ36" s="219"/>
      <c r="ALK36" s="219"/>
      <c r="ALL36" s="219"/>
      <c r="ALM36" s="219"/>
      <c r="ALN36" s="219"/>
      <c r="ALO36" s="219"/>
      <c r="ALP36" s="219"/>
      <c r="ALQ36" s="219"/>
      <c r="ALR36" s="219"/>
      <c r="ALS36" s="219"/>
      <c r="ALT36" s="219"/>
      <c r="ALU36" s="219"/>
      <c r="ALV36" s="219"/>
      <c r="ALW36" s="219"/>
      <c r="ALX36" s="219"/>
      <c r="ALY36" s="219"/>
      <c r="ALZ36" s="219"/>
      <c r="AMA36" s="219"/>
      <c r="AMB36" s="219"/>
      <c r="AMC36" s="219"/>
      <c r="AMD36" s="219"/>
      <c r="AME36" s="219"/>
      <c r="AMF36" s="219"/>
      <c r="AMG36" s="219"/>
      <c r="AMH36" s="219"/>
      <c r="AMI36" s="219"/>
      <c r="AMJ36" s="219"/>
      <c r="AMK36" s="219"/>
      <c r="AML36" s="219"/>
      <c r="AMM36" s="219"/>
      <c r="AMN36" s="219"/>
      <c r="AMO36" s="219"/>
      <c r="AMP36" s="219"/>
      <c r="AMQ36" s="219"/>
      <c r="AMR36" s="219"/>
      <c r="AMS36" s="219"/>
      <c r="AMT36" s="219"/>
      <c r="AMU36" s="219"/>
      <c r="AMV36" s="219"/>
      <c r="AMW36" s="219"/>
      <c r="AMX36" s="219"/>
      <c r="AMY36" s="219"/>
      <c r="AMZ36" s="219"/>
      <c r="ANA36" s="219"/>
      <c r="ANB36" s="219"/>
      <c r="ANC36" s="219"/>
      <c r="AND36" s="219"/>
      <c r="ANE36" s="219"/>
      <c r="ANF36" s="219"/>
      <c r="ANG36" s="219"/>
      <c r="ANH36" s="219"/>
      <c r="ANI36" s="219"/>
      <c r="ANJ36" s="219"/>
      <c r="ANK36" s="219"/>
      <c r="ANL36" s="219"/>
      <c r="ANM36" s="219"/>
      <c r="ANN36" s="219"/>
      <c r="ANO36" s="219"/>
      <c r="ANP36" s="219"/>
      <c r="ANQ36" s="219"/>
      <c r="ANR36" s="219"/>
      <c r="ANS36" s="219"/>
      <c r="ANT36" s="219"/>
      <c r="ANU36" s="219"/>
      <c r="ANV36" s="219"/>
      <c r="ANW36" s="219"/>
      <c r="ANX36" s="219"/>
      <c r="ANY36" s="219"/>
      <c r="ANZ36" s="219"/>
      <c r="AOA36" s="219"/>
      <c r="AOB36" s="219"/>
      <c r="AOC36" s="219"/>
      <c r="AOD36" s="219"/>
      <c r="AOE36" s="219"/>
      <c r="AOF36" s="219"/>
      <c r="AOG36" s="219"/>
      <c r="AOH36" s="219"/>
      <c r="AOI36" s="219"/>
      <c r="AOJ36" s="219"/>
      <c r="AOK36" s="219"/>
      <c r="AOL36" s="219"/>
      <c r="AOM36" s="219"/>
      <c r="AON36" s="219"/>
      <c r="AOO36" s="219"/>
      <c r="AOP36" s="219"/>
      <c r="AOQ36" s="219"/>
      <c r="AOR36" s="219"/>
      <c r="AOS36" s="219"/>
      <c r="AOT36" s="219"/>
      <c r="AOU36" s="219"/>
      <c r="AOV36" s="219"/>
      <c r="AOW36" s="219"/>
      <c r="AOX36" s="219"/>
      <c r="AOY36" s="219"/>
      <c r="AOZ36" s="219"/>
      <c r="APA36" s="219"/>
      <c r="APB36" s="219"/>
      <c r="APC36" s="219"/>
      <c r="APD36" s="219"/>
      <c r="APE36" s="219"/>
      <c r="APF36" s="219"/>
      <c r="APG36" s="219"/>
      <c r="APH36" s="219"/>
      <c r="API36" s="219"/>
      <c r="APJ36" s="219"/>
      <c r="APK36" s="219"/>
      <c r="APL36" s="219"/>
      <c r="APM36" s="219"/>
      <c r="APN36" s="219"/>
      <c r="APO36" s="219"/>
      <c r="APP36" s="219"/>
      <c r="APQ36" s="219"/>
      <c r="APR36" s="219"/>
      <c r="APS36" s="219"/>
      <c r="APT36" s="219"/>
      <c r="APU36" s="219"/>
      <c r="APV36" s="219"/>
      <c r="APW36" s="219"/>
      <c r="APX36" s="219"/>
      <c r="APY36" s="219"/>
      <c r="APZ36" s="219"/>
      <c r="AQA36" s="219"/>
      <c r="AQB36" s="219"/>
      <c r="AQC36" s="219"/>
      <c r="AQD36" s="219"/>
      <c r="AQE36" s="219"/>
      <c r="AQF36" s="219"/>
      <c r="AQG36" s="219"/>
      <c r="AQH36" s="219"/>
      <c r="AQI36" s="219"/>
      <c r="AQJ36" s="219"/>
      <c r="AQK36" s="219"/>
      <c r="AQL36" s="219"/>
      <c r="AQM36" s="219"/>
      <c r="AQN36" s="219"/>
      <c r="AQO36" s="219"/>
      <c r="AQP36" s="219"/>
      <c r="AQQ36" s="219"/>
      <c r="AQR36" s="219"/>
      <c r="AQS36" s="219"/>
      <c r="AQT36" s="219"/>
      <c r="AQU36" s="219"/>
      <c r="AQV36" s="219"/>
      <c r="AQW36" s="219"/>
      <c r="AQX36" s="219"/>
      <c r="AQY36" s="219"/>
      <c r="AQZ36" s="219"/>
      <c r="ARA36" s="219"/>
      <c r="ARB36" s="219"/>
      <c r="ARC36" s="219"/>
      <c r="ARD36" s="219"/>
      <c r="ARE36" s="219"/>
      <c r="ARF36" s="219"/>
      <c r="ARG36" s="219"/>
      <c r="ARH36" s="219"/>
      <c r="ARI36" s="219"/>
      <c r="ARJ36" s="219"/>
      <c r="ARK36" s="219"/>
      <c r="ARL36" s="219"/>
      <c r="ARM36" s="219"/>
      <c r="ARN36" s="219"/>
      <c r="ARO36" s="219"/>
      <c r="ARP36" s="219"/>
      <c r="ARQ36" s="219"/>
      <c r="ARR36" s="219"/>
      <c r="ARS36" s="219"/>
      <c r="ART36" s="219"/>
      <c r="ARU36" s="219"/>
      <c r="ARV36" s="219"/>
      <c r="ARW36" s="219"/>
      <c r="ARX36" s="219"/>
      <c r="ARY36" s="219"/>
      <c r="ARZ36" s="219"/>
      <c r="ASA36" s="219"/>
      <c r="ASB36" s="219"/>
      <c r="ASC36" s="219"/>
      <c r="ASD36" s="219"/>
      <c r="ASE36" s="219"/>
      <c r="ASF36" s="219"/>
      <c r="ASG36" s="219"/>
      <c r="ASH36" s="219"/>
      <c r="ASI36" s="219"/>
      <c r="ASJ36" s="219"/>
      <c r="ASK36" s="219"/>
      <c r="ASL36" s="219"/>
      <c r="ASM36" s="219"/>
      <c r="ASN36" s="219"/>
      <c r="ASO36" s="219"/>
      <c r="ASP36" s="219"/>
      <c r="ASQ36" s="219"/>
      <c r="ASR36" s="219"/>
      <c r="ASS36" s="219"/>
      <c r="AST36" s="219"/>
      <c r="ASU36" s="219"/>
      <c r="ASV36" s="219"/>
      <c r="ASW36" s="219"/>
      <c r="ASX36" s="219"/>
      <c r="ASY36" s="219"/>
      <c r="ASZ36" s="219"/>
      <c r="ATA36" s="219"/>
      <c r="ATB36" s="219"/>
      <c r="ATC36" s="219"/>
      <c r="ATD36" s="219"/>
      <c r="ATE36" s="219"/>
      <c r="ATF36" s="219"/>
      <c r="ATG36" s="219"/>
      <c r="ATH36" s="219"/>
      <c r="ATI36" s="219"/>
      <c r="ATJ36" s="219"/>
      <c r="ATK36" s="219"/>
      <c r="ATL36" s="219"/>
      <c r="ATM36" s="219"/>
      <c r="ATN36" s="219"/>
      <c r="ATO36" s="219"/>
      <c r="ATP36" s="219"/>
      <c r="ATQ36" s="219"/>
      <c r="ATR36" s="219"/>
      <c r="ATS36" s="219"/>
      <c r="ATT36" s="219"/>
      <c r="ATU36" s="219"/>
      <c r="ATV36" s="219"/>
      <c r="ATW36" s="219"/>
      <c r="ATX36" s="219"/>
      <c r="ATY36" s="219"/>
      <c r="ATZ36" s="219"/>
      <c r="AUA36" s="219"/>
      <c r="AUB36" s="219"/>
      <c r="AUC36" s="219"/>
      <c r="AUD36" s="219"/>
      <c r="AUE36" s="219"/>
      <c r="AUF36" s="219"/>
      <c r="AUG36" s="219"/>
      <c r="AUH36" s="219"/>
      <c r="AUI36" s="219"/>
      <c r="AUJ36" s="219"/>
      <c r="AUK36" s="219"/>
      <c r="AUL36" s="219"/>
      <c r="AUM36" s="219"/>
      <c r="AUN36" s="219"/>
      <c r="AUO36" s="219"/>
      <c r="AUP36" s="219"/>
      <c r="AUQ36" s="219"/>
      <c r="AUR36" s="219"/>
      <c r="AUS36" s="219"/>
      <c r="AUT36" s="219"/>
      <c r="AUU36" s="219"/>
      <c r="AUV36" s="219"/>
      <c r="AUW36" s="219"/>
      <c r="AUX36" s="219"/>
      <c r="AUY36" s="219"/>
      <c r="AUZ36" s="219"/>
      <c r="AVA36" s="219"/>
      <c r="AVB36" s="219"/>
      <c r="AVC36" s="219"/>
      <c r="AVD36" s="219"/>
      <c r="AVE36" s="219"/>
      <c r="AVF36" s="219"/>
      <c r="AVG36" s="219"/>
      <c r="AVH36" s="219"/>
      <c r="AVI36" s="219"/>
      <c r="AVJ36" s="219"/>
      <c r="AVK36" s="219"/>
      <c r="AVL36" s="219"/>
      <c r="AVM36" s="219"/>
      <c r="AVN36" s="219"/>
      <c r="AVO36" s="219"/>
      <c r="AVP36" s="219"/>
      <c r="AVQ36" s="219"/>
      <c r="AVR36" s="219"/>
      <c r="AVS36" s="219"/>
      <c r="AVT36" s="219"/>
      <c r="AVU36" s="219"/>
      <c r="AVV36" s="219"/>
      <c r="AVW36" s="219"/>
      <c r="AVX36" s="219"/>
      <c r="AVY36" s="219"/>
      <c r="AVZ36" s="219"/>
      <c r="AWA36" s="219"/>
      <c r="AWB36" s="219"/>
      <c r="AWC36" s="219"/>
      <c r="AWD36" s="219"/>
      <c r="AWE36" s="219"/>
      <c r="AWF36" s="219"/>
      <c r="AWG36" s="219"/>
      <c r="AWH36" s="219"/>
      <c r="AWI36" s="219"/>
      <c r="AWJ36" s="219"/>
      <c r="AWK36" s="219"/>
      <c r="AWL36" s="219"/>
      <c r="AWM36" s="219"/>
      <c r="AWN36" s="219"/>
      <c r="AWO36" s="219"/>
      <c r="AWP36" s="219"/>
      <c r="AWQ36" s="219"/>
      <c r="AWR36" s="219"/>
      <c r="AWS36" s="219"/>
      <c r="AWT36" s="219"/>
      <c r="AWU36" s="219"/>
      <c r="AWV36" s="219"/>
      <c r="AWW36" s="219"/>
      <c r="AWX36" s="219"/>
      <c r="AWY36" s="219"/>
      <c r="AWZ36" s="219"/>
      <c r="AXA36" s="219"/>
      <c r="AXB36" s="219"/>
      <c r="AXC36" s="219"/>
      <c r="AXD36" s="219"/>
      <c r="AXE36" s="219"/>
      <c r="AXF36" s="219"/>
      <c r="AXG36" s="219"/>
      <c r="AXH36" s="219"/>
      <c r="AXI36" s="219"/>
      <c r="AXJ36" s="219"/>
      <c r="AXK36" s="219"/>
      <c r="AXL36" s="219"/>
      <c r="AXM36" s="219"/>
      <c r="AXN36" s="219"/>
      <c r="AXO36" s="219"/>
      <c r="AXP36" s="219"/>
      <c r="AXQ36" s="219"/>
      <c r="AXR36" s="219"/>
      <c r="AXS36" s="219"/>
      <c r="AXT36" s="219"/>
      <c r="AXU36" s="219"/>
      <c r="AXV36" s="219"/>
      <c r="AXW36" s="219"/>
      <c r="AXX36" s="219"/>
      <c r="AXY36" s="219"/>
      <c r="AXZ36" s="219"/>
      <c r="AYA36" s="219"/>
      <c r="AYB36" s="219"/>
      <c r="AYC36" s="219"/>
      <c r="AYD36" s="219"/>
      <c r="AYE36" s="219"/>
      <c r="AYF36" s="219"/>
      <c r="AYG36" s="219"/>
      <c r="AYH36" s="219"/>
      <c r="AYI36" s="219"/>
      <c r="AYJ36" s="219"/>
      <c r="AYK36" s="219"/>
      <c r="AYL36" s="219"/>
      <c r="AYM36" s="219"/>
      <c r="AYN36" s="219"/>
      <c r="AYO36" s="219"/>
      <c r="AYP36" s="219"/>
      <c r="AYQ36" s="219"/>
      <c r="AYR36" s="219"/>
      <c r="AYS36" s="219"/>
      <c r="AYT36" s="219"/>
      <c r="AYU36" s="219"/>
      <c r="AYV36" s="219"/>
      <c r="AYW36" s="219"/>
      <c r="AYX36" s="219"/>
      <c r="AYY36" s="219"/>
      <c r="AYZ36" s="219"/>
      <c r="AZA36" s="219"/>
      <c r="AZB36" s="219"/>
      <c r="AZC36" s="219"/>
      <c r="AZD36" s="219"/>
      <c r="AZE36" s="219"/>
      <c r="AZF36" s="219"/>
      <c r="AZG36" s="219"/>
      <c r="AZH36" s="219"/>
      <c r="AZI36" s="219"/>
      <c r="AZJ36" s="219"/>
      <c r="AZK36" s="219"/>
      <c r="AZL36" s="219"/>
      <c r="AZM36" s="219"/>
      <c r="AZN36" s="219"/>
      <c r="AZO36" s="219"/>
      <c r="AZP36" s="219"/>
      <c r="AZQ36" s="219"/>
      <c r="AZR36" s="219"/>
      <c r="AZS36" s="219"/>
      <c r="AZT36" s="219"/>
      <c r="AZU36" s="219"/>
      <c r="AZV36" s="219"/>
      <c r="AZW36" s="219"/>
      <c r="AZX36" s="219"/>
      <c r="AZY36" s="219"/>
      <c r="AZZ36" s="219"/>
      <c r="BAA36" s="219"/>
      <c r="BAB36" s="219"/>
      <c r="BAC36" s="219"/>
      <c r="BAD36" s="219"/>
      <c r="BAE36" s="219"/>
      <c r="BAF36" s="219"/>
      <c r="BAG36" s="219"/>
      <c r="BAH36" s="219"/>
      <c r="BAI36" s="219"/>
      <c r="BAJ36" s="219"/>
      <c r="BAK36" s="219"/>
      <c r="BAL36" s="219"/>
      <c r="BAM36" s="219"/>
      <c r="BAN36" s="219"/>
      <c r="BAO36" s="219"/>
      <c r="BAP36" s="219"/>
      <c r="BAQ36" s="219"/>
      <c r="BAR36" s="219"/>
      <c r="BAS36" s="219"/>
      <c r="BAT36" s="219"/>
      <c r="BAU36" s="219"/>
      <c r="BAV36" s="219"/>
      <c r="BAW36" s="219"/>
      <c r="BAX36" s="219"/>
      <c r="BAY36" s="219"/>
      <c r="BAZ36" s="219"/>
      <c r="BBA36" s="219"/>
      <c r="BBB36" s="219"/>
      <c r="BBC36" s="219"/>
      <c r="BBD36" s="219"/>
      <c r="BBE36" s="219"/>
      <c r="BBF36" s="219"/>
      <c r="BBG36" s="219"/>
      <c r="BBH36" s="219"/>
      <c r="BBI36" s="219"/>
      <c r="BBJ36" s="219"/>
      <c r="BBK36" s="219"/>
      <c r="BBL36" s="219"/>
      <c r="BBM36" s="219"/>
      <c r="BBN36" s="219"/>
      <c r="BBO36" s="219"/>
      <c r="BBP36" s="219"/>
      <c r="BBQ36" s="219"/>
      <c r="BBR36" s="219"/>
      <c r="BBS36" s="219"/>
      <c r="BBT36" s="219"/>
      <c r="BBU36" s="219"/>
      <c r="BBV36" s="219"/>
      <c r="BBW36" s="219"/>
      <c r="BBX36" s="219"/>
      <c r="BBY36" s="219"/>
      <c r="BBZ36" s="219"/>
      <c r="BCA36" s="219"/>
      <c r="BCB36" s="219"/>
      <c r="BCC36" s="219"/>
      <c r="BCD36" s="219"/>
      <c r="BCE36" s="219"/>
      <c r="BCF36" s="219"/>
      <c r="BCG36" s="219"/>
      <c r="BCH36" s="219"/>
      <c r="BCI36" s="219"/>
      <c r="BCJ36" s="219"/>
      <c r="BCK36" s="219"/>
      <c r="BCL36" s="219"/>
      <c r="BCM36" s="219"/>
      <c r="BCN36" s="219"/>
      <c r="BCO36" s="219"/>
      <c r="BCP36" s="219"/>
      <c r="BCQ36" s="219"/>
      <c r="BCR36" s="219"/>
      <c r="BCS36" s="219"/>
      <c r="BCT36" s="219"/>
      <c r="BCU36" s="219"/>
      <c r="BCV36" s="219"/>
      <c r="BCW36" s="219"/>
      <c r="BCX36" s="219"/>
      <c r="BCY36" s="219"/>
      <c r="BCZ36" s="219"/>
      <c r="BDA36" s="219"/>
      <c r="BDB36" s="219"/>
      <c r="BDC36" s="219"/>
      <c r="BDD36" s="219"/>
      <c r="BDE36" s="219"/>
      <c r="BDF36" s="219"/>
      <c r="BDG36" s="219"/>
      <c r="BDH36" s="219"/>
      <c r="BDI36" s="219"/>
      <c r="BDJ36" s="219"/>
      <c r="BDK36" s="219"/>
      <c r="BDL36" s="219"/>
      <c r="BDM36" s="219"/>
      <c r="BDN36" s="219"/>
      <c r="BDO36" s="219"/>
      <c r="BDP36" s="219"/>
      <c r="BDQ36" s="219"/>
      <c r="BDR36" s="219"/>
      <c r="BDS36" s="219"/>
      <c r="BDT36" s="219"/>
      <c r="BDU36" s="219"/>
      <c r="BDV36" s="219"/>
      <c r="BDW36" s="219"/>
      <c r="BDX36" s="219"/>
      <c r="BDY36" s="219"/>
      <c r="BDZ36" s="219"/>
      <c r="BEA36" s="219"/>
      <c r="BEB36" s="219"/>
      <c r="BEC36" s="219"/>
      <c r="BED36" s="219"/>
      <c r="BEE36" s="219"/>
      <c r="BEF36" s="219"/>
      <c r="BEG36" s="219"/>
      <c r="BEH36" s="219"/>
      <c r="BEI36" s="219"/>
      <c r="BEJ36" s="219"/>
      <c r="BEK36" s="219"/>
      <c r="BEL36" s="219"/>
      <c r="BEM36" s="219"/>
      <c r="BEN36" s="219"/>
      <c r="BEO36" s="219"/>
      <c r="BEP36" s="219"/>
      <c r="BEQ36" s="219"/>
      <c r="BER36" s="219"/>
      <c r="BES36" s="219"/>
      <c r="BET36" s="219"/>
      <c r="BEU36" s="219"/>
      <c r="BEV36" s="219"/>
      <c r="BEW36" s="219"/>
      <c r="BEX36" s="219"/>
      <c r="BEY36" s="219"/>
      <c r="BEZ36" s="219"/>
      <c r="BFA36" s="219"/>
      <c r="BFB36" s="219"/>
      <c r="BFC36" s="219"/>
      <c r="BFD36" s="219"/>
      <c r="BFE36" s="219"/>
      <c r="BFF36" s="219"/>
      <c r="BFG36" s="219"/>
      <c r="BFH36" s="219"/>
      <c r="BFI36" s="219"/>
      <c r="BFJ36" s="219"/>
      <c r="BFK36" s="219"/>
      <c r="BFL36" s="219"/>
      <c r="BFM36" s="219"/>
      <c r="BFN36" s="219"/>
      <c r="BFO36" s="219"/>
      <c r="BFP36" s="219"/>
      <c r="BFQ36" s="219"/>
      <c r="BFR36" s="219"/>
      <c r="BFS36" s="219"/>
      <c r="BFT36" s="219"/>
      <c r="BFU36" s="219"/>
      <c r="BFV36" s="219"/>
      <c r="BFW36" s="219"/>
      <c r="BFX36" s="219"/>
      <c r="BFY36" s="219"/>
      <c r="BFZ36" s="219"/>
      <c r="BGA36" s="219"/>
      <c r="BGB36" s="219"/>
      <c r="BGC36" s="219"/>
      <c r="BGD36" s="219"/>
      <c r="BGE36" s="219"/>
      <c r="BGF36" s="219"/>
      <c r="BGG36" s="219"/>
      <c r="BGH36" s="219"/>
      <c r="BGI36" s="219"/>
      <c r="BGJ36" s="219"/>
      <c r="BGK36" s="219"/>
      <c r="BGL36" s="219"/>
      <c r="BGM36" s="219"/>
      <c r="BGN36" s="219"/>
      <c r="BGO36" s="219"/>
      <c r="BGP36" s="219"/>
      <c r="BGQ36" s="219"/>
      <c r="BGR36" s="219"/>
      <c r="BGS36" s="219"/>
      <c r="BGT36" s="219"/>
      <c r="BGU36" s="219"/>
      <c r="BGV36" s="219"/>
      <c r="BGW36" s="219"/>
      <c r="BGX36" s="219"/>
      <c r="BGY36" s="219"/>
      <c r="BGZ36" s="219"/>
      <c r="BHA36" s="219"/>
      <c r="BHB36" s="219"/>
      <c r="BHC36" s="219"/>
      <c r="BHD36" s="219"/>
      <c r="BHE36" s="219"/>
      <c r="BHF36" s="219"/>
      <c r="BHG36" s="219"/>
      <c r="BHH36" s="219"/>
      <c r="BHI36" s="219"/>
      <c r="BHJ36" s="219"/>
      <c r="BHK36" s="219"/>
      <c r="BHL36" s="219"/>
      <c r="BHM36" s="219"/>
      <c r="BHN36" s="219"/>
      <c r="BHO36" s="219"/>
      <c r="BHP36" s="219"/>
      <c r="BHQ36" s="219"/>
      <c r="BHR36" s="219"/>
      <c r="BHS36" s="219"/>
      <c r="BHT36" s="219"/>
      <c r="BHU36" s="219"/>
      <c r="BHV36" s="219"/>
      <c r="BHW36" s="219"/>
      <c r="BHX36" s="219"/>
      <c r="BHY36" s="219"/>
      <c r="BHZ36" s="219"/>
      <c r="BIA36" s="219"/>
      <c r="BIB36" s="219"/>
      <c r="BIC36" s="219"/>
      <c r="BID36" s="219"/>
      <c r="BIE36" s="219"/>
      <c r="BIF36" s="219"/>
      <c r="BIG36" s="219"/>
      <c r="BIH36" s="219"/>
      <c r="BII36" s="219"/>
      <c r="BIJ36" s="219"/>
      <c r="BIK36" s="219"/>
      <c r="BIL36" s="219"/>
      <c r="BIM36" s="219"/>
      <c r="BIN36" s="219"/>
      <c r="BIO36" s="219"/>
      <c r="BIP36" s="219"/>
      <c r="BIQ36" s="219"/>
      <c r="BIR36" s="219"/>
      <c r="BIS36" s="219"/>
      <c r="BIT36" s="219"/>
      <c r="BIU36" s="219"/>
      <c r="BIV36" s="219"/>
      <c r="BIW36" s="219"/>
      <c r="BIX36" s="219"/>
      <c r="BIY36" s="219"/>
      <c r="BIZ36" s="219"/>
      <c r="BJA36" s="219"/>
      <c r="BJB36" s="219"/>
      <c r="BJC36" s="219"/>
      <c r="BJD36" s="219"/>
      <c r="BJE36" s="219"/>
      <c r="BJF36" s="219"/>
      <c r="BJG36" s="219"/>
      <c r="BJH36" s="219"/>
      <c r="BJI36" s="219"/>
      <c r="BJJ36" s="219"/>
      <c r="BJK36" s="219"/>
      <c r="BJL36" s="219"/>
      <c r="BJM36" s="219"/>
      <c r="BJN36" s="219"/>
      <c r="BJO36" s="219"/>
      <c r="BJP36" s="219"/>
      <c r="BJQ36" s="219"/>
      <c r="BJR36" s="219"/>
      <c r="BJS36" s="219"/>
      <c r="BJT36" s="219"/>
      <c r="BJU36" s="219"/>
      <c r="BJV36" s="219"/>
      <c r="BJW36" s="219"/>
      <c r="BJX36" s="219"/>
      <c r="BJY36" s="219"/>
      <c r="BJZ36" s="219"/>
      <c r="BKA36" s="219"/>
      <c r="BKB36" s="219"/>
      <c r="BKC36" s="219"/>
      <c r="BKD36" s="219"/>
      <c r="BKE36" s="219"/>
      <c r="BKF36" s="219"/>
      <c r="BKG36" s="219"/>
      <c r="BKH36" s="219"/>
      <c r="BKI36" s="219"/>
      <c r="BKJ36" s="219"/>
      <c r="BKK36" s="219"/>
      <c r="BKL36" s="219"/>
      <c r="BKM36" s="219"/>
      <c r="BKN36" s="219"/>
      <c r="BKO36" s="219"/>
      <c r="BKP36" s="219"/>
      <c r="BKQ36" s="219"/>
      <c r="BKR36" s="219"/>
      <c r="BKS36" s="219"/>
      <c r="BKT36" s="219"/>
      <c r="BKU36" s="219"/>
      <c r="BKV36" s="219"/>
      <c r="BKW36" s="219"/>
      <c r="BKX36" s="219"/>
      <c r="BKY36" s="219"/>
      <c r="BKZ36" s="219"/>
      <c r="BLA36" s="219"/>
      <c r="BLB36" s="219"/>
      <c r="BLC36" s="219"/>
      <c r="BLD36" s="219"/>
      <c r="BLE36" s="219"/>
      <c r="BLF36" s="219"/>
      <c r="BLG36" s="219"/>
      <c r="BLH36" s="219"/>
      <c r="BLI36" s="219"/>
      <c r="BLJ36" s="219"/>
      <c r="BLK36" s="219"/>
      <c r="BLL36" s="219"/>
      <c r="BLM36" s="219"/>
      <c r="BLN36" s="219"/>
      <c r="BLO36" s="219"/>
      <c r="BLP36" s="219"/>
      <c r="BLQ36" s="219"/>
      <c r="BLR36" s="219"/>
      <c r="BLS36" s="219"/>
      <c r="BLT36" s="219"/>
      <c r="BLU36" s="219"/>
      <c r="BLV36" s="219"/>
      <c r="BLW36" s="219"/>
      <c r="BLX36" s="219"/>
      <c r="BLY36" s="219"/>
      <c r="BLZ36" s="219"/>
      <c r="BMA36" s="219"/>
      <c r="BMB36" s="219"/>
      <c r="BMC36" s="219"/>
      <c r="BMD36" s="219"/>
      <c r="BME36" s="219"/>
      <c r="BMF36" s="219"/>
      <c r="BMG36" s="219"/>
      <c r="BMH36" s="219"/>
      <c r="BMI36" s="219"/>
      <c r="BMJ36" s="219"/>
      <c r="BMK36" s="219"/>
      <c r="BML36" s="219"/>
      <c r="BMM36" s="219"/>
      <c r="BMN36" s="219"/>
      <c r="BMO36" s="219"/>
      <c r="BMP36" s="219"/>
      <c r="BMQ36" s="219"/>
      <c r="BMR36" s="219"/>
      <c r="BMS36" s="219"/>
      <c r="BMT36" s="219"/>
      <c r="BMU36" s="219"/>
      <c r="BMV36" s="219"/>
      <c r="BMW36" s="219"/>
      <c r="BMX36" s="219"/>
      <c r="BMY36" s="219"/>
      <c r="BMZ36" s="219"/>
      <c r="BNA36" s="219"/>
      <c r="BNB36" s="219"/>
      <c r="BNC36" s="219"/>
      <c r="BND36" s="219"/>
      <c r="BNE36" s="219"/>
      <c r="BNF36" s="219"/>
      <c r="BNG36" s="219"/>
      <c r="BNH36" s="219"/>
      <c r="BNI36" s="219"/>
      <c r="BNJ36" s="219"/>
      <c r="BNK36" s="219"/>
      <c r="BNL36" s="219"/>
      <c r="BNM36" s="219"/>
      <c r="BNN36" s="219"/>
      <c r="BNO36" s="219"/>
      <c r="BNP36" s="219"/>
      <c r="BNQ36" s="219"/>
      <c r="BNR36" s="219"/>
      <c r="BNS36" s="219"/>
      <c r="BNT36" s="219"/>
      <c r="BNU36" s="219"/>
      <c r="BNV36" s="219"/>
      <c r="BNW36" s="219"/>
      <c r="BNX36" s="219"/>
      <c r="BNY36" s="219"/>
      <c r="BNZ36" s="219"/>
      <c r="BOA36" s="219"/>
      <c r="BOB36" s="219"/>
      <c r="BOC36" s="219"/>
      <c r="BOD36" s="219"/>
      <c r="BOE36" s="219"/>
      <c r="BOF36" s="219"/>
      <c r="BOG36" s="219"/>
      <c r="BOH36" s="219"/>
      <c r="BOI36" s="219"/>
      <c r="BOJ36" s="219"/>
      <c r="BOK36" s="219"/>
      <c r="BOL36" s="219"/>
      <c r="BOM36" s="219"/>
      <c r="BON36" s="219"/>
      <c r="BOO36" s="219"/>
      <c r="BOP36" s="219"/>
      <c r="BOQ36" s="219"/>
      <c r="BOR36" s="219"/>
      <c r="BOS36" s="219"/>
      <c r="BOT36" s="219"/>
      <c r="BOU36" s="219"/>
      <c r="BOV36" s="219"/>
      <c r="BOW36" s="219"/>
      <c r="BOX36" s="219"/>
      <c r="BOY36" s="219"/>
      <c r="BOZ36" s="219"/>
      <c r="BPA36" s="219"/>
      <c r="BPB36" s="219"/>
      <c r="BPC36" s="219"/>
      <c r="BPD36" s="219"/>
      <c r="BPE36" s="219"/>
      <c r="BPF36" s="219"/>
      <c r="BPG36" s="219"/>
      <c r="BPH36" s="219"/>
      <c r="BPI36" s="219"/>
      <c r="BPJ36" s="219"/>
      <c r="BPK36" s="219"/>
      <c r="BPL36" s="219"/>
      <c r="BPM36" s="219"/>
      <c r="BPN36" s="219"/>
      <c r="BPO36" s="219"/>
      <c r="BPP36" s="219"/>
      <c r="BPQ36" s="219"/>
      <c r="BPR36" s="219"/>
      <c r="BPS36" s="219"/>
      <c r="BPT36" s="219"/>
      <c r="BPU36" s="219"/>
      <c r="BPV36" s="219"/>
      <c r="BPW36" s="219"/>
      <c r="BPX36" s="219"/>
      <c r="BPY36" s="219"/>
      <c r="BPZ36" s="219"/>
      <c r="BQA36" s="219"/>
      <c r="BQB36" s="219"/>
      <c r="BQC36" s="219"/>
      <c r="BQD36" s="219"/>
      <c r="BQE36" s="219"/>
      <c r="BQF36" s="219"/>
      <c r="BQG36" s="219"/>
      <c r="BQH36" s="219"/>
      <c r="BQI36" s="219"/>
      <c r="BQJ36" s="219"/>
      <c r="BQK36" s="219"/>
      <c r="BQL36" s="219"/>
      <c r="BQM36" s="219"/>
      <c r="BQN36" s="219"/>
      <c r="BQO36" s="219"/>
      <c r="BQP36" s="219"/>
      <c r="BQQ36" s="219"/>
      <c r="BQR36" s="219"/>
      <c r="BQS36" s="219"/>
      <c r="BQT36" s="219"/>
      <c r="BQU36" s="219"/>
      <c r="BQV36" s="219"/>
      <c r="BQW36" s="219"/>
      <c r="BQX36" s="219"/>
      <c r="BQY36" s="219"/>
      <c r="BQZ36" s="219"/>
      <c r="BRA36" s="219"/>
      <c r="BRB36" s="219"/>
      <c r="BRC36" s="219"/>
      <c r="BRD36" s="219"/>
      <c r="BRE36" s="219"/>
      <c r="BRF36" s="219"/>
      <c r="BRG36" s="219"/>
      <c r="BRH36" s="219"/>
      <c r="BRI36" s="219"/>
      <c r="BRJ36" s="219"/>
      <c r="BRK36" s="219"/>
      <c r="BRL36" s="219"/>
      <c r="BRM36" s="219"/>
      <c r="BRN36" s="219"/>
      <c r="BRO36" s="219"/>
      <c r="BRP36" s="219"/>
      <c r="BRQ36" s="219"/>
      <c r="BRR36" s="219"/>
      <c r="BRS36" s="219"/>
      <c r="BRT36" s="219"/>
      <c r="BRU36" s="219"/>
      <c r="BRV36" s="219"/>
      <c r="BRW36" s="219"/>
      <c r="BRX36" s="219"/>
      <c r="BRY36" s="219"/>
      <c r="BRZ36" s="219"/>
      <c r="BSA36" s="219"/>
      <c r="BSB36" s="219"/>
      <c r="BSC36" s="219"/>
      <c r="BSD36" s="219"/>
      <c r="BSE36" s="219"/>
      <c r="BSF36" s="219"/>
      <c r="BSG36" s="219"/>
      <c r="BSH36" s="219"/>
      <c r="BSI36" s="219"/>
      <c r="BSJ36" s="219"/>
      <c r="BSK36" s="219"/>
      <c r="BSL36" s="219"/>
      <c r="BSM36" s="219"/>
      <c r="BSN36" s="219"/>
      <c r="BSO36" s="219"/>
      <c r="BSP36" s="219"/>
      <c r="BSQ36" s="219"/>
      <c r="BSR36" s="219"/>
      <c r="BSS36" s="219"/>
      <c r="BST36" s="219"/>
      <c r="BSU36" s="219"/>
      <c r="BSV36" s="219"/>
      <c r="BSW36" s="219"/>
      <c r="BSX36" s="219"/>
      <c r="BSY36" s="219"/>
      <c r="BSZ36" s="219"/>
      <c r="BTA36" s="219"/>
      <c r="BTB36" s="219"/>
      <c r="BTC36" s="219"/>
      <c r="BTD36" s="219"/>
      <c r="BTE36" s="219"/>
      <c r="BTF36" s="219"/>
      <c r="BTG36" s="219"/>
      <c r="BTH36" s="219"/>
      <c r="BTI36" s="219"/>
      <c r="BTJ36" s="219"/>
      <c r="BTK36" s="219"/>
      <c r="BTL36" s="219"/>
      <c r="BTM36" s="219"/>
      <c r="BTN36" s="219"/>
      <c r="BTO36" s="219"/>
      <c r="BTP36" s="219"/>
      <c r="BTQ36" s="219"/>
      <c r="BTR36" s="219"/>
      <c r="BTS36" s="219"/>
      <c r="BTT36" s="219"/>
      <c r="BTU36" s="219"/>
      <c r="BTV36" s="219"/>
      <c r="BTW36" s="219"/>
      <c r="BTX36" s="219"/>
      <c r="BTY36" s="219"/>
      <c r="BTZ36" s="219"/>
      <c r="BUA36" s="219"/>
      <c r="BUB36" s="219"/>
      <c r="BUC36" s="219"/>
      <c r="BUD36" s="219"/>
      <c r="BUE36" s="219"/>
      <c r="BUF36" s="219"/>
      <c r="BUG36" s="219"/>
      <c r="BUH36" s="219"/>
      <c r="BUI36" s="219"/>
      <c r="BUJ36" s="219"/>
      <c r="BUK36" s="219"/>
      <c r="BUL36" s="219"/>
      <c r="BUM36" s="219"/>
      <c r="BUN36" s="219"/>
      <c r="BUO36" s="219"/>
      <c r="BUP36" s="219"/>
      <c r="BUQ36" s="219"/>
      <c r="BUR36" s="219"/>
      <c r="BUS36" s="219"/>
      <c r="BUT36" s="219"/>
      <c r="BUU36" s="219"/>
      <c r="BUV36" s="219"/>
      <c r="BUW36" s="219"/>
      <c r="BUX36" s="219"/>
      <c r="BUY36" s="219"/>
      <c r="BUZ36" s="219"/>
      <c r="BVA36" s="219"/>
      <c r="BVB36" s="219"/>
      <c r="BVC36" s="219"/>
      <c r="BVD36" s="219"/>
      <c r="BVE36" s="219"/>
      <c r="BVF36" s="219"/>
      <c r="BVG36" s="219"/>
      <c r="BVH36" s="219"/>
      <c r="BVI36" s="219"/>
      <c r="BVJ36" s="219"/>
      <c r="BVK36" s="219"/>
      <c r="BVL36" s="219"/>
      <c r="BVM36" s="219"/>
      <c r="BVN36" s="219"/>
      <c r="BVO36" s="219"/>
      <c r="BVP36" s="219"/>
      <c r="BVQ36" s="219"/>
      <c r="BVR36" s="219"/>
      <c r="BVS36" s="219"/>
      <c r="BVT36" s="219"/>
      <c r="BVU36" s="219"/>
      <c r="BVV36" s="219"/>
      <c r="BVW36" s="219"/>
      <c r="BVX36" s="219"/>
      <c r="BVY36" s="219"/>
      <c r="BVZ36" s="219"/>
      <c r="BWA36" s="219"/>
      <c r="BWB36" s="219"/>
      <c r="BWC36" s="219"/>
      <c r="BWD36" s="219"/>
      <c r="BWE36" s="219"/>
      <c r="BWF36" s="219"/>
      <c r="BWG36" s="219"/>
      <c r="BWH36" s="219"/>
      <c r="BWI36" s="219"/>
      <c r="BWJ36" s="219"/>
      <c r="BWK36" s="219"/>
      <c r="BWL36" s="219"/>
      <c r="BWM36" s="219"/>
      <c r="BWN36" s="219"/>
      <c r="BWO36" s="219"/>
      <c r="BWP36" s="219"/>
      <c r="BWQ36" s="219"/>
      <c r="BWR36" s="219"/>
      <c r="BWS36" s="219"/>
      <c r="BWT36" s="219"/>
      <c r="BWU36" s="219"/>
      <c r="BWV36" s="219"/>
      <c r="BWW36" s="219"/>
      <c r="BWX36" s="219"/>
      <c r="BWY36" s="219"/>
      <c r="BWZ36" s="219"/>
      <c r="BXA36" s="219"/>
      <c r="BXB36" s="219"/>
      <c r="BXC36" s="219"/>
      <c r="BXD36" s="219"/>
      <c r="BXE36" s="219"/>
      <c r="BXF36" s="219"/>
      <c r="BXG36" s="219"/>
      <c r="BXH36" s="219"/>
      <c r="BXI36" s="219"/>
      <c r="BXJ36" s="219"/>
      <c r="BXK36" s="219"/>
      <c r="BXL36" s="219"/>
      <c r="BXM36" s="219"/>
      <c r="BXN36" s="219"/>
      <c r="BXO36" s="219"/>
      <c r="BXP36" s="219"/>
      <c r="BXQ36" s="219"/>
      <c r="BXR36" s="219"/>
      <c r="BXS36" s="219"/>
      <c r="BXT36" s="219"/>
      <c r="BXU36" s="219"/>
      <c r="BXV36" s="219"/>
      <c r="BXW36" s="219"/>
      <c r="BXX36" s="219"/>
      <c r="BXY36" s="219"/>
      <c r="BXZ36" s="219"/>
      <c r="BYA36" s="219"/>
      <c r="BYB36" s="219"/>
      <c r="BYC36" s="219"/>
      <c r="BYD36" s="219"/>
      <c r="BYE36" s="219"/>
      <c r="BYF36" s="219"/>
      <c r="BYG36" s="219"/>
    </row>
    <row r="37" spans="1:2009" s="101" customFormat="1" ht="13.5" hidden="1" customHeight="1" thickBot="1" x14ac:dyDescent="0.3">
      <c r="A37" s="98"/>
      <c r="B37" s="98"/>
      <c r="C37" s="170"/>
      <c r="D37" s="170"/>
      <c r="E37" s="170"/>
      <c r="F37" s="170"/>
      <c r="G37" s="676"/>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48</v>
      </c>
      <c r="B38" s="145"/>
      <c r="C38" s="187"/>
      <c r="D38" s="187"/>
      <c r="E38" s="188"/>
      <c r="F38" s="188"/>
      <c r="G38" s="688"/>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141</v>
      </c>
      <c r="C39" s="189">
        <v>3708.37</v>
      </c>
      <c r="D39" s="189">
        <v>3708.33</v>
      </c>
      <c r="E39" s="190">
        <v>3708.33</v>
      </c>
      <c r="F39" s="190"/>
      <c r="G39" s="689">
        <f>ROUND(SUM(C39:F39),5)</f>
        <v>11125.03</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359</v>
      </c>
      <c r="C40" s="189">
        <v>3250</v>
      </c>
      <c r="D40" s="189"/>
      <c r="E40" s="190"/>
      <c r="F40" s="190"/>
      <c r="G40" s="689">
        <f>ROUND(SUM(C40:F40),5)</f>
        <v>3250</v>
      </c>
      <c r="H40" s="99"/>
      <c r="I40" s="726"/>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17" t="s">
        <v>379</v>
      </c>
      <c r="C41" s="189">
        <v>297.55</v>
      </c>
      <c r="D41" s="189"/>
      <c r="E41" s="190"/>
      <c r="F41" s="190"/>
      <c r="G41" s="689">
        <f>ROUND(SUM(C41:F41),5)</f>
        <v>297.55</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116" customFormat="1" ht="24.95" customHeight="1" x14ac:dyDescent="0.25">
      <c r="A42" s="146"/>
      <c r="B42" s="117" t="s">
        <v>376</v>
      </c>
      <c r="C42" s="189"/>
      <c r="D42" s="189"/>
      <c r="E42" s="190"/>
      <c r="F42" s="190"/>
      <c r="G42" s="689">
        <f>ROUND(SUM(C42:F42),5)</f>
        <v>0</v>
      </c>
      <c r="H42" s="99"/>
      <c r="I42" s="726"/>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6" customFormat="1" ht="24.95" customHeight="1" x14ac:dyDescent="0.25">
      <c r="A43" s="146"/>
      <c r="B43" s="128" t="s">
        <v>49</v>
      </c>
      <c r="C43" s="189">
        <f>861.36+11683.12</f>
        <v>12544.480000000001</v>
      </c>
      <c r="D43" s="189">
        <v>11628.22</v>
      </c>
      <c r="E43" s="190">
        <v>13091.86</v>
      </c>
      <c r="F43" s="190">
        <v>10550.4</v>
      </c>
      <c r="G43" s="689">
        <f>ROUND(SUM(C43:F43),5)</f>
        <v>47814.96</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225" customFormat="1" ht="24.95" customHeight="1" thickBot="1" x14ac:dyDescent="0.3">
      <c r="A44" s="222"/>
      <c r="B44" s="223" t="s">
        <v>50</v>
      </c>
      <c r="C44" s="224">
        <f>SUM(C39:C43)</f>
        <v>19800.400000000001</v>
      </c>
      <c r="D44" s="224">
        <f>SUM(D39:D43)</f>
        <v>15336.55</v>
      </c>
      <c r="E44" s="224">
        <f>SUM(E39:E43)</f>
        <v>16800.190000000002</v>
      </c>
      <c r="F44" s="224">
        <f>SUM(F39:F43)</f>
        <v>10550.4</v>
      </c>
      <c r="G44" s="690">
        <f>SUM(G39:G43)</f>
        <v>62487.54</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08"/>
      <c r="EJ44" s="208"/>
      <c r="EK44" s="208"/>
      <c r="EL44" s="208"/>
      <c r="EM44" s="208"/>
      <c r="EN44" s="208"/>
      <c r="EO44" s="208"/>
      <c r="EP44" s="208"/>
      <c r="EQ44" s="208"/>
      <c r="ER44" s="208"/>
      <c r="ES44" s="208"/>
      <c r="ET44" s="208"/>
      <c r="EU44" s="208"/>
      <c r="EV44" s="208"/>
      <c r="EW44" s="208"/>
      <c r="EX44" s="208"/>
      <c r="EY44" s="208"/>
      <c r="EZ44" s="208"/>
      <c r="FA44" s="208"/>
      <c r="FB44" s="208"/>
      <c r="FC44" s="208"/>
      <c r="FD44" s="208"/>
      <c r="FE44" s="208"/>
      <c r="FF44" s="208"/>
      <c r="FG44" s="208"/>
      <c r="FH44" s="208"/>
      <c r="FI44" s="208"/>
      <c r="FJ44" s="208"/>
      <c r="FK44" s="208"/>
      <c r="FL44" s="208"/>
      <c r="FM44" s="208"/>
      <c r="FN44" s="208"/>
      <c r="FO44" s="208"/>
      <c r="FP44" s="208"/>
      <c r="FQ44" s="208"/>
      <c r="FR44" s="208"/>
      <c r="FS44" s="208"/>
      <c r="FT44" s="208"/>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c r="JS44" s="208"/>
      <c r="JT44" s="208"/>
      <c r="JU44" s="208"/>
      <c r="JV44" s="208"/>
      <c r="JW44" s="208"/>
      <c r="JX44" s="208"/>
      <c r="JY44" s="208"/>
      <c r="JZ44" s="208"/>
      <c r="KA44" s="208"/>
      <c r="KB44" s="208"/>
      <c r="KC44" s="208"/>
      <c r="KD44" s="208"/>
      <c r="KE44" s="208"/>
      <c r="KF44" s="208"/>
      <c r="KG44" s="208"/>
      <c r="KH44" s="208"/>
      <c r="KI44" s="208"/>
      <c r="KJ44" s="208"/>
      <c r="KK44" s="208"/>
      <c r="KL44" s="208"/>
      <c r="KM44" s="208"/>
      <c r="KN44" s="208"/>
      <c r="KO44" s="208"/>
      <c r="KP44" s="208"/>
      <c r="KQ44" s="208"/>
      <c r="KR44" s="208"/>
      <c r="KS44" s="208"/>
      <c r="KT44" s="208"/>
      <c r="KU44" s="208"/>
      <c r="KV44" s="208"/>
      <c r="KW44" s="208"/>
      <c r="KX44" s="208"/>
      <c r="KY44" s="208"/>
      <c r="KZ44" s="208"/>
      <c r="LA44" s="208"/>
      <c r="LB44" s="208"/>
      <c r="LC44" s="208"/>
      <c r="LD44" s="208"/>
      <c r="LE44" s="208"/>
      <c r="LF44" s="208"/>
      <c r="LG44" s="208"/>
      <c r="LH44" s="208"/>
      <c r="LI44" s="208"/>
      <c r="LJ44" s="208"/>
      <c r="LK44" s="208"/>
      <c r="LL44" s="208"/>
      <c r="LM44" s="208"/>
      <c r="LN44" s="208"/>
      <c r="LO44" s="208"/>
      <c r="LP44" s="208"/>
      <c r="LQ44" s="208"/>
      <c r="LR44" s="208"/>
      <c r="LS44" s="208"/>
      <c r="LT44" s="208"/>
      <c r="LU44" s="208"/>
      <c r="LV44" s="208"/>
      <c r="LW44" s="208"/>
      <c r="LX44" s="208"/>
      <c r="LY44" s="208"/>
      <c r="LZ44" s="208"/>
      <c r="MA44" s="208"/>
      <c r="MB44" s="208"/>
      <c r="MC44" s="208"/>
      <c r="MD44" s="208"/>
      <c r="ME44" s="208"/>
      <c r="MF44" s="208"/>
      <c r="MG44" s="208"/>
      <c r="MH44" s="208"/>
      <c r="MI44" s="208"/>
      <c r="MJ44" s="208"/>
      <c r="MK44" s="208"/>
      <c r="ML44" s="208"/>
      <c r="MM44" s="208"/>
      <c r="MN44" s="208"/>
      <c r="MO44" s="208"/>
      <c r="MP44" s="208"/>
      <c r="MQ44" s="208"/>
      <c r="MR44" s="208"/>
      <c r="MS44" s="208"/>
      <c r="MT44" s="208"/>
      <c r="MU44" s="208"/>
      <c r="MV44" s="208"/>
      <c r="MW44" s="208"/>
      <c r="MX44" s="208"/>
      <c r="MY44" s="208"/>
      <c r="MZ44" s="208"/>
      <c r="NA44" s="208"/>
      <c r="NB44" s="208"/>
      <c r="NC44" s="208"/>
      <c r="ND44" s="208"/>
      <c r="NE44" s="208"/>
      <c r="NF44" s="208"/>
      <c r="NG44" s="208"/>
      <c r="NH44" s="208"/>
      <c r="NI44" s="208"/>
      <c r="NJ44" s="208"/>
      <c r="NK44" s="208"/>
      <c r="NL44" s="208"/>
      <c r="NM44" s="208"/>
      <c r="NN44" s="208"/>
      <c r="NO44" s="208"/>
      <c r="NP44" s="208"/>
      <c r="NQ44" s="208"/>
      <c r="NR44" s="208"/>
      <c r="NS44" s="208"/>
      <c r="NT44" s="208"/>
      <c r="NU44" s="208"/>
      <c r="NV44" s="208"/>
      <c r="NW44" s="208"/>
      <c r="NX44" s="208"/>
      <c r="NY44" s="208"/>
      <c r="NZ44" s="208"/>
      <c r="OA44" s="208"/>
      <c r="OB44" s="208"/>
      <c r="OC44" s="208"/>
      <c r="OD44" s="208"/>
      <c r="OE44" s="208"/>
      <c r="OF44" s="208"/>
      <c r="OG44" s="208"/>
      <c r="OH44" s="208"/>
      <c r="OI44" s="208"/>
      <c r="OJ44" s="208"/>
      <c r="OK44" s="208"/>
      <c r="OL44" s="208"/>
      <c r="OM44" s="208"/>
      <c r="ON44" s="208"/>
      <c r="OO44" s="208"/>
      <c r="OP44" s="208"/>
      <c r="OQ44" s="208"/>
      <c r="OR44" s="208"/>
      <c r="OS44" s="208"/>
      <c r="OT44" s="208"/>
      <c r="OU44" s="208"/>
      <c r="OV44" s="208"/>
      <c r="OW44" s="208"/>
      <c r="OX44" s="208"/>
      <c r="OY44" s="208"/>
      <c r="OZ44" s="208"/>
      <c r="PA44" s="208"/>
      <c r="PB44" s="208"/>
      <c r="PC44" s="208"/>
      <c r="PD44" s="208"/>
      <c r="PE44" s="208"/>
      <c r="PF44" s="208"/>
      <c r="PG44" s="208"/>
      <c r="PH44" s="208"/>
      <c r="PI44" s="208"/>
      <c r="PJ44" s="208"/>
      <c r="PK44" s="208"/>
      <c r="PL44" s="208"/>
      <c r="PM44" s="208"/>
      <c r="PN44" s="208"/>
      <c r="PO44" s="208"/>
      <c r="PP44" s="208"/>
      <c r="PQ44" s="208"/>
      <c r="PR44" s="208"/>
      <c r="PS44" s="208"/>
      <c r="PT44" s="208"/>
      <c r="PU44" s="208"/>
      <c r="PV44" s="208"/>
      <c r="PW44" s="208"/>
      <c r="PX44" s="208"/>
      <c r="PY44" s="208"/>
      <c r="PZ44" s="208"/>
      <c r="QA44" s="208"/>
      <c r="QB44" s="208"/>
      <c r="QC44" s="208"/>
      <c r="QD44" s="208"/>
      <c r="QE44" s="208"/>
      <c r="QF44" s="208"/>
      <c r="QG44" s="208"/>
      <c r="QH44" s="208"/>
      <c r="QI44" s="208"/>
      <c r="QJ44" s="208"/>
      <c r="QK44" s="208"/>
      <c r="QL44" s="208"/>
      <c r="QM44" s="208"/>
      <c r="QN44" s="208"/>
      <c r="QO44" s="208"/>
      <c r="QP44" s="208"/>
      <c r="QQ44" s="208"/>
      <c r="QR44" s="208"/>
      <c r="QS44" s="208"/>
      <c r="QT44" s="208"/>
      <c r="QU44" s="208"/>
      <c r="QV44" s="208"/>
      <c r="QW44" s="208"/>
      <c r="QX44" s="208"/>
      <c r="QY44" s="208"/>
      <c r="QZ44" s="208"/>
      <c r="RA44" s="208"/>
      <c r="RB44" s="208"/>
      <c r="RC44" s="208"/>
      <c r="RD44" s="208"/>
      <c r="RE44" s="208"/>
      <c r="RF44" s="208"/>
      <c r="RG44" s="208"/>
      <c r="RH44" s="208"/>
      <c r="RI44" s="208"/>
      <c r="RJ44" s="208"/>
      <c r="RK44" s="208"/>
      <c r="RL44" s="208"/>
      <c r="RM44" s="208"/>
      <c r="RN44" s="208"/>
      <c r="RO44" s="208"/>
      <c r="RP44" s="208"/>
      <c r="RQ44" s="208"/>
      <c r="RR44" s="208"/>
      <c r="RS44" s="208"/>
      <c r="RT44" s="208"/>
      <c r="RU44" s="208"/>
      <c r="RV44" s="208"/>
      <c r="RW44" s="208"/>
      <c r="RX44" s="208"/>
      <c r="RY44" s="208"/>
      <c r="RZ44" s="208"/>
      <c r="SA44" s="208"/>
      <c r="SB44" s="208"/>
      <c r="SC44" s="208"/>
      <c r="SD44" s="208"/>
      <c r="SE44" s="208"/>
      <c r="SF44" s="208"/>
      <c r="SG44" s="208"/>
      <c r="SH44" s="208"/>
      <c r="SI44" s="208"/>
      <c r="SJ44" s="208"/>
      <c r="SK44" s="208"/>
      <c r="SL44" s="208"/>
      <c r="SM44" s="208"/>
      <c r="SN44" s="208"/>
      <c r="SO44" s="208"/>
      <c r="SP44" s="208"/>
      <c r="SQ44" s="208"/>
      <c r="SR44" s="208"/>
      <c r="SS44" s="208"/>
      <c r="ST44" s="208"/>
      <c r="SU44" s="208"/>
      <c r="SV44" s="208"/>
      <c r="SW44" s="208"/>
      <c r="SX44" s="208"/>
      <c r="SY44" s="208"/>
      <c r="SZ44" s="208"/>
      <c r="TA44" s="208"/>
      <c r="TB44" s="208"/>
      <c r="TC44" s="208"/>
      <c r="TD44" s="208"/>
      <c r="TE44" s="208"/>
      <c r="TF44" s="208"/>
      <c r="TG44" s="208"/>
      <c r="TH44" s="208"/>
      <c r="TI44" s="208"/>
      <c r="TJ44" s="208"/>
      <c r="TK44" s="208"/>
      <c r="TL44" s="208"/>
      <c r="TM44" s="208"/>
      <c r="TN44" s="208"/>
      <c r="TO44" s="208"/>
      <c r="TP44" s="208"/>
      <c r="TQ44" s="208"/>
      <c r="TR44" s="208"/>
      <c r="TS44" s="208"/>
      <c r="TT44" s="208"/>
      <c r="TU44" s="208"/>
      <c r="TV44" s="208"/>
      <c r="TW44" s="208"/>
      <c r="TX44" s="208"/>
      <c r="TY44" s="208"/>
      <c r="TZ44" s="208"/>
      <c r="UA44" s="208"/>
      <c r="UB44" s="208"/>
      <c r="UC44" s="208"/>
      <c r="UD44" s="208"/>
      <c r="UE44" s="208"/>
      <c r="UF44" s="208"/>
      <c r="UG44" s="208"/>
      <c r="UH44" s="208"/>
      <c r="UI44" s="208"/>
      <c r="UJ44" s="208"/>
      <c r="UK44" s="208"/>
      <c r="UL44" s="208"/>
      <c r="UM44" s="208"/>
      <c r="UN44" s="208"/>
      <c r="UO44" s="208"/>
      <c r="UP44" s="208"/>
      <c r="UQ44" s="208"/>
      <c r="UR44" s="208"/>
      <c r="US44" s="208"/>
      <c r="UT44" s="208"/>
      <c r="UU44" s="208"/>
      <c r="UV44" s="208"/>
      <c r="UW44" s="208"/>
      <c r="UX44" s="208"/>
      <c r="UY44" s="208"/>
      <c r="UZ44" s="208"/>
      <c r="VA44" s="208"/>
      <c r="VB44" s="208"/>
      <c r="VC44" s="208"/>
      <c r="VD44" s="208"/>
      <c r="VE44" s="208"/>
      <c r="VF44" s="208"/>
      <c r="VG44" s="208"/>
      <c r="VH44" s="208"/>
      <c r="VI44" s="208"/>
      <c r="VJ44" s="208"/>
      <c r="VK44" s="208"/>
      <c r="VL44" s="208"/>
      <c r="VM44" s="208"/>
      <c r="VN44" s="208"/>
      <c r="VO44" s="208"/>
      <c r="VP44" s="208"/>
      <c r="VQ44" s="208"/>
      <c r="VR44" s="208"/>
      <c r="VS44" s="208"/>
      <c r="VT44" s="208"/>
      <c r="VU44" s="208"/>
      <c r="VV44" s="208"/>
      <c r="VW44" s="208"/>
      <c r="VX44" s="208"/>
      <c r="VY44" s="208"/>
      <c r="VZ44" s="208"/>
      <c r="WA44" s="208"/>
      <c r="WB44" s="208"/>
      <c r="WC44" s="208"/>
      <c r="WD44" s="208"/>
      <c r="WE44" s="208"/>
      <c r="WF44" s="208"/>
      <c r="WG44" s="208"/>
      <c r="WH44" s="208"/>
      <c r="WI44" s="208"/>
      <c r="WJ44" s="208"/>
      <c r="WK44" s="208"/>
      <c r="WL44" s="208"/>
      <c r="WM44" s="208"/>
      <c r="WN44" s="208"/>
      <c r="WO44" s="208"/>
      <c r="WP44" s="208"/>
      <c r="WQ44" s="208"/>
      <c r="WR44" s="208"/>
      <c r="WS44" s="208"/>
      <c r="WT44" s="208"/>
      <c r="WU44" s="208"/>
      <c r="WV44" s="208"/>
      <c r="WW44" s="208"/>
      <c r="WX44" s="208"/>
      <c r="WY44" s="208"/>
      <c r="WZ44" s="208"/>
      <c r="XA44" s="208"/>
      <c r="XB44" s="208"/>
      <c r="XC44" s="208"/>
      <c r="XD44" s="208"/>
      <c r="XE44" s="208"/>
      <c r="XF44" s="208"/>
      <c r="XG44" s="208"/>
      <c r="XH44" s="208"/>
      <c r="XI44" s="208"/>
      <c r="XJ44" s="208"/>
      <c r="XK44" s="208"/>
      <c r="XL44" s="208"/>
      <c r="XM44" s="208"/>
      <c r="XN44" s="208"/>
      <c r="XO44" s="208"/>
      <c r="XP44" s="208"/>
      <c r="XQ44" s="208"/>
      <c r="XR44" s="208"/>
      <c r="XS44" s="208"/>
      <c r="XT44" s="208"/>
      <c r="XU44" s="208"/>
      <c r="XV44" s="208"/>
      <c r="XW44" s="208"/>
      <c r="XX44" s="208"/>
      <c r="XY44" s="208"/>
      <c r="XZ44" s="208"/>
      <c r="YA44" s="208"/>
      <c r="YB44" s="208"/>
      <c r="YC44" s="208"/>
      <c r="YD44" s="208"/>
      <c r="YE44" s="208"/>
      <c r="YF44" s="208"/>
      <c r="YG44" s="208"/>
      <c r="YH44" s="208"/>
      <c r="YI44" s="208"/>
      <c r="YJ44" s="208"/>
      <c r="YK44" s="208"/>
      <c r="YL44" s="208"/>
      <c r="YM44" s="208"/>
      <c r="YN44" s="208"/>
      <c r="YO44" s="208"/>
      <c r="YP44" s="208"/>
      <c r="YQ44" s="208"/>
      <c r="YR44" s="208"/>
      <c r="YS44" s="208"/>
      <c r="YT44" s="208"/>
      <c r="YU44" s="208"/>
      <c r="YV44" s="208"/>
      <c r="YW44" s="208"/>
      <c r="YX44" s="208"/>
      <c r="YY44" s="208"/>
      <c r="YZ44" s="208"/>
      <c r="ZA44" s="208"/>
      <c r="ZB44" s="208"/>
      <c r="ZC44" s="208"/>
      <c r="ZD44" s="208"/>
      <c r="ZE44" s="208"/>
      <c r="ZF44" s="208"/>
      <c r="ZG44" s="208"/>
      <c r="ZH44" s="208"/>
      <c r="ZI44" s="208"/>
      <c r="ZJ44" s="208"/>
      <c r="ZK44" s="208"/>
      <c r="ZL44" s="208"/>
      <c r="ZM44" s="208"/>
      <c r="ZN44" s="208"/>
      <c r="ZO44" s="208"/>
      <c r="ZP44" s="208"/>
      <c r="ZQ44" s="208"/>
      <c r="ZR44" s="208"/>
      <c r="ZS44" s="208"/>
      <c r="ZT44" s="208"/>
      <c r="ZU44" s="208"/>
      <c r="ZV44" s="208"/>
      <c r="ZW44" s="208"/>
      <c r="ZX44" s="208"/>
      <c r="ZY44" s="208"/>
      <c r="ZZ44" s="208"/>
      <c r="AAA44" s="208"/>
      <c r="AAB44" s="208"/>
      <c r="AAC44" s="208"/>
      <c r="AAD44" s="208"/>
      <c r="AAE44" s="208"/>
      <c r="AAF44" s="208"/>
      <c r="AAG44" s="208"/>
      <c r="AAH44" s="208"/>
      <c r="AAI44" s="208"/>
      <c r="AAJ44" s="208"/>
      <c r="AAK44" s="208"/>
      <c r="AAL44" s="208"/>
      <c r="AAM44" s="208"/>
      <c r="AAN44" s="208"/>
      <c r="AAO44" s="208"/>
      <c r="AAP44" s="208"/>
      <c r="AAQ44" s="208"/>
      <c r="AAR44" s="208"/>
      <c r="AAS44" s="208"/>
      <c r="AAT44" s="208"/>
      <c r="AAU44" s="208"/>
      <c r="AAV44" s="208"/>
      <c r="AAW44" s="208"/>
      <c r="AAX44" s="208"/>
      <c r="AAY44" s="208"/>
      <c r="AAZ44" s="208"/>
      <c r="ABA44" s="208"/>
      <c r="ABB44" s="208"/>
      <c r="ABC44" s="208"/>
      <c r="ABD44" s="208"/>
      <c r="ABE44" s="208"/>
      <c r="ABF44" s="208"/>
      <c r="ABG44" s="208"/>
      <c r="ABH44" s="208"/>
      <c r="ABI44" s="208"/>
      <c r="ABJ44" s="208"/>
      <c r="ABK44" s="208"/>
      <c r="ABL44" s="208"/>
      <c r="ABM44" s="208"/>
      <c r="ABN44" s="208"/>
      <c r="ABO44" s="208"/>
      <c r="ABP44" s="208"/>
      <c r="ABQ44" s="208"/>
      <c r="ABR44" s="208"/>
      <c r="ABS44" s="208"/>
      <c r="ABT44" s="208"/>
      <c r="ABU44" s="208"/>
      <c r="ABV44" s="208"/>
      <c r="ABW44" s="208"/>
      <c r="ABX44" s="208"/>
      <c r="ABY44" s="208"/>
      <c r="ABZ44" s="208"/>
      <c r="ACA44" s="208"/>
      <c r="ACB44" s="208"/>
      <c r="ACC44" s="208"/>
      <c r="ACD44" s="208"/>
      <c r="ACE44" s="208"/>
      <c r="ACF44" s="208"/>
      <c r="ACG44" s="208"/>
      <c r="ACH44" s="208"/>
      <c r="ACI44" s="208"/>
      <c r="ACJ44" s="208"/>
      <c r="ACK44" s="208"/>
      <c r="ACL44" s="208"/>
      <c r="ACM44" s="208"/>
      <c r="ACN44" s="208"/>
      <c r="ACO44" s="208"/>
      <c r="ACP44" s="208"/>
      <c r="ACQ44" s="208"/>
      <c r="ACR44" s="208"/>
      <c r="ACS44" s="208"/>
      <c r="ACT44" s="208"/>
      <c r="ACU44" s="208"/>
      <c r="ACV44" s="208"/>
      <c r="ACW44" s="208"/>
      <c r="ACX44" s="208"/>
      <c r="ACY44" s="208"/>
      <c r="ACZ44" s="208"/>
      <c r="ADA44" s="208"/>
      <c r="ADB44" s="208"/>
      <c r="ADC44" s="208"/>
      <c r="ADD44" s="208"/>
      <c r="ADE44" s="208"/>
      <c r="ADF44" s="208"/>
      <c r="ADG44" s="208"/>
      <c r="ADH44" s="208"/>
      <c r="ADI44" s="208"/>
      <c r="ADJ44" s="208"/>
      <c r="ADK44" s="208"/>
      <c r="ADL44" s="208"/>
      <c r="ADM44" s="208"/>
      <c r="ADN44" s="208"/>
      <c r="ADO44" s="208"/>
      <c r="ADP44" s="208"/>
      <c r="ADQ44" s="208"/>
      <c r="ADR44" s="208"/>
      <c r="ADS44" s="208"/>
      <c r="ADT44" s="208"/>
      <c r="ADU44" s="208"/>
      <c r="ADV44" s="208"/>
      <c r="ADW44" s="208"/>
      <c r="ADX44" s="208"/>
      <c r="ADY44" s="208"/>
      <c r="ADZ44" s="208"/>
      <c r="AEA44" s="208"/>
      <c r="AEB44" s="208"/>
      <c r="AEC44" s="208"/>
      <c r="AED44" s="208"/>
      <c r="AEE44" s="208"/>
      <c r="AEF44" s="208"/>
      <c r="AEG44" s="208"/>
      <c r="AEH44" s="208"/>
      <c r="AEI44" s="208"/>
      <c r="AEJ44" s="208"/>
      <c r="AEK44" s="208"/>
      <c r="AEL44" s="208"/>
      <c r="AEM44" s="208"/>
      <c r="AEN44" s="208"/>
      <c r="AEO44" s="208"/>
      <c r="AEP44" s="208"/>
      <c r="AEQ44" s="208"/>
      <c r="AER44" s="208"/>
      <c r="AES44" s="208"/>
      <c r="AET44" s="208"/>
      <c r="AEU44" s="208"/>
      <c r="AEV44" s="208"/>
      <c r="AEW44" s="208"/>
      <c r="AEX44" s="208"/>
      <c r="AEY44" s="208"/>
      <c r="AEZ44" s="208"/>
      <c r="AFA44" s="208"/>
      <c r="AFB44" s="208"/>
      <c r="AFC44" s="208"/>
      <c r="AFD44" s="208"/>
      <c r="AFE44" s="208"/>
      <c r="AFF44" s="208"/>
      <c r="AFG44" s="208"/>
      <c r="AFH44" s="208"/>
      <c r="AFI44" s="208"/>
      <c r="AFJ44" s="208"/>
      <c r="AFK44" s="208"/>
      <c r="AFL44" s="208"/>
      <c r="AFM44" s="208"/>
      <c r="AFN44" s="208"/>
      <c r="AFO44" s="208"/>
      <c r="AFP44" s="208"/>
      <c r="AFQ44" s="208"/>
      <c r="AFR44" s="208"/>
      <c r="AFS44" s="208"/>
      <c r="AFT44" s="208"/>
      <c r="AFU44" s="208"/>
      <c r="AFV44" s="208"/>
      <c r="AFW44" s="208"/>
      <c r="AFX44" s="208"/>
      <c r="AFY44" s="208"/>
      <c r="AFZ44" s="208"/>
      <c r="AGA44" s="208"/>
      <c r="AGB44" s="208"/>
      <c r="AGC44" s="208"/>
      <c r="AGD44" s="208"/>
      <c r="AGE44" s="208"/>
      <c r="AGF44" s="208"/>
      <c r="AGG44" s="208"/>
      <c r="AGH44" s="208"/>
      <c r="AGI44" s="208"/>
      <c r="AGJ44" s="208"/>
      <c r="AGK44" s="208"/>
      <c r="AGL44" s="208"/>
      <c r="AGM44" s="208"/>
      <c r="AGN44" s="208"/>
      <c r="AGO44" s="208"/>
      <c r="AGP44" s="208"/>
      <c r="AGQ44" s="208"/>
      <c r="AGR44" s="208"/>
      <c r="AGS44" s="208"/>
      <c r="AGT44" s="208"/>
      <c r="AGU44" s="208"/>
      <c r="AGV44" s="208"/>
      <c r="AGW44" s="208"/>
      <c r="AGX44" s="208"/>
      <c r="AGY44" s="208"/>
      <c r="AGZ44" s="208"/>
      <c r="AHA44" s="208"/>
      <c r="AHB44" s="208"/>
      <c r="AHC44" s="208"/>
      <c r="AHD44" s="208"/>
      <c r="AHE44" s="208"/>
      <c r="AHF44" s="208"/>
      <c r="AHG44" s="208"/>
      <c r="AHH44" s="208"/>
      <c r="AHI44" s="208"/>
      <c r="AHJ44" s="208"/>
      <c r="AHK44" s="208"/>
      <c r="AHL44" s="208"/>
      <c r="AHM44" s="208"/>
      <c r="AHN44" s="208"/>
      <c r="AHO44" s="208"/>
      <c r="AHP44" s="208"/>
      <c r="AHQ44" s="208"/>
      <c r="AHR44" s="208"/>
      <c r="AHS44" s="208"/>
      <c r="AHT44" s="208"/>
      <c r="AHU44" s="208"/>
      <c r="AHV44" s="208"/>
      <c r="AHW44" s="208"/>
      <c r="AHX44" s="208"/>
      <c r="AHY44" s="208"/>
      <c r="AHZ44" s="208"/>
      <c r="AIA44" s="208"/>
      <c r="AIB44" s="208"/>
      <c r="AIC44" s="208"/>
      <c r="AID44" s="208"/>
      <c r="AIE44" s="208"/>
      <c r="AIF44" s="208"/>
      <c r="AIG44" s="208"/>
      <c r="AIH44" s="208"/>
      <c r="AII44" s="208"/>
      <c r="AIJ44" s="208"/>
      <c r="AIK44" s="208"/>
      <c r="AIL44" s="208"/>
      <c r="AIM44" s="208"/>
      <c r="AIN44" s="208"/>
      <c r="AIO44" s="208"/>
      <c r="AIP44" s="208"/>
      <c r="AIQ44" s="208"/>
      <c r="AIR44" s="208"/>
      <c r="AIS44" s="208"/>
      <c r="AIT44" s="208"/>
      <c r="AIU44" s="208"/>
      <c r="AIV44" s="208"/>
      <c r="AIW44" s="208"/>
      <c r="AIX44" s="208"/>
      <c r="AIY44" s="208"/>
      <c r="AIZ44" s="208"/>
      <c r="AJA44" s="208"/>
      <c r="AJB44" s="208"/>
      <c r="AJC44" s="208"/>
      <c r="AJD44" s="208"/>
      <c r="AJE44" s="208"/>
      <c r="AJF44" s="208"/>
      <c r="AJG44" s="208"/>
      <c r="AJH44" s="208"/>
      <c r="AJI44" s="208"/>
      <c r="AJJ44" s="208"/>
      <c r="AJK44" s="208"/>
      <c r="AJL44" s="208"/>
      <c r="AJM44" s="208"/>
      <c r="AJN44" s="208"/>
      <c r="AJO44" s="208"/>
      <c r="AJP44" s="208"/>
      <c r="AJQ44" s="208"/>
      <c r="AJR44" s="208"/>
      <c r="AJS44" s="208"/>
      <c r="AJT44" s="208"/>
      <c r="AJU44" s="208"/>
      <c r="AJV44" s="208"/>
      <c r="AJW44" s="208"/>
      <c r="AJX44" s="208"/>
      <c r="AJY44" s="208"/>
      <c r="AJZ44" s="208"/>
      <c r="AKA44" s="208"/>
      <c r="AKB44" s="208"/>
      <c r="AKC44" s="208"/>
      <c r="AKD44" s="208"/>
      <c r="AKE44" s="208"/>
      <c r="AKF44" s="208"/>
      <c r="AKG44" s="208"/>
      <c r="AKH44" s="208"/>
      <c r="AKI44" s="208"/>
      <c r="AKJ44" s="208"/>
      <c r="AKK44" s="208"/>
      <c r="AKL44" s="208"/>
      <c r="AKM44" s="208"/>
      <c r="AKN44" s="208"/>
      <c r="AKO44" s="208"/>
      <c r="AKP44" s="208"/>
      <c r="AKQ44" s="208"/>
      <c r="AKR44" s="208"/>
      <c r="AKS44" s="208"/>
      <c r="AKT44" s="208"/>
      <c r="AKU44" s="208"/>
      <c r="AKV44" s="208"/>
      <c r="AKW44" s="208"/>
      <c r="AKX44" s="208"/>
      <c r="AKY44" s="208"/>
      <c r="AKZ44" s="208"/>
      <c r="ALA44" s="208"/>
      <c r="ALB44" s="208"/>
      <c r="ALC44" s="208"/>
      <c r="ALD44" s="208"/>
      <c r="ALE44" s="208"/>
      <c r="ALF44" s="208"/>
      <c r="ALG44" s="208"/>
      <c r="ALH44" s="208"/>
      <c r="ALI44" s="208"/>
      <c r="ALJ44" s="208"/>
      <c r="ALK44" s="208"/>
      <c r="ALL44" s="208"/>
      <c r="ALM44" s="208"/>
      <c r="ALN44" s="208"/>
      <c r="ALO44" s="208"/>
      <c r="ALP44" s="208"/>
      <c r="ALQ44" s="208"/>
      <c r="ALR44" s="208"/>
      <c r="ALS44" s="208"/>
      <c r="ALT44" s="208"/>
      <c r="ALU44" s="208"/>
      <c r="ALV44" s="208"/>
      <c r="ALW44" s="208"/>
      <c r="ALX44" s="208"/>
      <c r="ALY44" s="208"/>
      <c r="ALZ44" s="208"/>
      <c r="AMA44" s="208"/>
      <c r="AMB44" s="208"/>
      <c r="AMC44" s="208"/>
      <c r="AMD44" s="208"/>
      <c r="AME44" s="208"/>
      <c r="AMF44" s="208"/>
      <c r="AMG44" s="208"/>
      <c r="AMH44" s="208"/>
      <c r="AMI44" s="208"/>
      <c r="AMJ44" s="208"/>
      <c r="AMK44" s="208"/>
      <c r="AML44" s="208"/>
      <c r="AMM44" s="208"/>
      <c r="AMN44" s="208"/>
      <c r="AMO44" s="208"/>
      <c r="AMP44" s="208"/>
      <c r="AMQ44" s="208"/>
      <c r="AMR44" s="208"/>
      <c r="AMS44" s="208"/>
      <c r="AMT44" s="208"/>
      <c r="AMU44" s="208"/>
      <c r="AMV44" s="208"/>
      <c r="AMW44" s="208"/>
      <c r="AMX44" s="208"/>
      <c r="AMY44" s="208"/>
      <c r="AMZ44" s="208"/>
      <c r="ANA44" s="208"/>
      <c r="ANB44" s="208"/>
      <c r="ANC44" s="208"/>
      <c r="AND44" s="208"/>
      <c r="ANE44" s="208"/>
      <c r="ANF44" s="208"/>
      <c r="ANG44" s="208"/>
      <c r="ANH44" s="208"/>
      <c r="ANI44" s="208"/>
      <c r="ANJ44" s="208"/>
      <c r="ANK44" s="208"/>
      <c r="ANL44" s="208"/>
      <c r="ANM44" s="208"/>
      <c r="ANN44" s="208"/>
      <c r="ANO44" s="208"/>
      <c r="ANP44" s="208"/>
      <c r="ANQ44" s="208"/>
      <c r="ANR44" s="208"/>
      <c r="ANS44" s="208"/>
      <c r="ANT44" s="208"/>
      <c r="ANU44" s="208"/>
      <c r="ANV44" s="208"/>
      <c r="ANW44" s="208"/>
      <c r="ANX44" s="208"/>
      <c r="ANY44" s="208"/>
      <c r="ANZ44" s="208"/>
      <c r="AOA44" s="208"/>
      <c r="AOB44" s="208"/>
      <c r="AOC44" s="208"/>
      <c r="AOD44" s="208"/>
      <c r="AOE44" s="208"/>
      <c r="AOF44" s="208"/>
      <c r="AOG44" s="208"/>
      <c r="AOH44" s="208"/>
      <c r="AOI44" s="208"/>
      <c r="AOJ44" s="208"/>
      <c r="AOK44" s="208"/>
      <c r="AOL44" s="208"/>
      <c r="AOM44" s="208"/>
      <c r="AON44" s="208"/>
      <c r="AOO44" s="208"/>
      <c r="AOP44" s="208"/>
      <c r="AOQ44" s="208"/>
      <c r="AOR44" s="208"/>
      <c r="AOS44" s="208"/>
      <c r="AOT44" s="208"/>
      <c r="AOU44" s="208"/>
      <c r="AOV44" s="208"/>
      <c r="AOW44" s="208"/>
      <c r="AOX44" s="208"/>
      <c r="AOY44" s="208"/>
      <c r="AOZ44" s="208"/>
      <c r="APA44" s="208"/>
      <c r="APB44" s="208"/>
      <c r="APC44" s="208"/>
      <c r="APD44" s="208"/>
      <c r="APE44" s="208"/>
      <c r="APF44" s="208"/>
      <c r="APG44" s="208"/>
      <c r="APH44" s="208"/>
      <c r="API44" s="208"/>
      <c r="APJ44" s="208"/>
      <c r="APK44" s="208"/>
      <c r="APL44" s="208"/>
      <c r="APM44" s="208"/>
      <c r="APN44" s="208"/>
      <c r="APO44" s="208"/>
      <c r="APP44" s="208"/>
      <c r="APQ44" s="208"/>
      <c r="APR44" s="208"/>
      <c r="APS44" s="208"/>
      <c r="APT44" s="208"/>
      <c r="APU44" s="208"/>
      <c r="APV44" s="208"/>
      <c r="APW44" s="208"/>
      <c r="APX44" s="208"/>
      <c r="APY44" s="208"/>
      <c r="APZ44" s="208"/>
      <c r="AQA44" s="208"/>
      <c r="AQB44" s="208"/>
      <c r="AQC44" s="208"/>
      <c r="AQD44" s="208"/>
      <c r="AQE44" s="208"/>
      <c r="AQF44" s="208"/>
      <c r="AQG44" s="208"/>
      <c r="AQH44" s="208"/>
      <c r="AQI44" s="208"/>
      <c r="AQJ44" s="208"/>
      <c r="AQK44" s="208"/>
      <c r="AQL44" s="208"/>
      <c r="AQM44" s="208"/>
      <c r="AQN44" s="208"/>
      <c r="AQO44" s="208"/>
      <c r="AQP44" s="208"/>
      <c r="AQQ44" s="208"/>
      <c r="AQR44" s="208"/>
      <c r="AQS44" s="208"/>
      <c r="AQT44" s="208"/>
      <c r="AQU44" s="208"/>
      <c r="AQV44" s="208"/>
      <c r="AQW44" s="208"/>
      <c r="AQX44" s="208"/>
      <c r="AQY44" s="208"/>
      <c r="AQZ44" s="208"/>
      <c r="ARA44" s="208"/>
      <c r="ARB44" s="208"/>
      <c r="ARC44" s="208"/>
      <c r="ARD44" s="208"/>
      <c r="ARE44" s="208"/>
      <c r="ARF44" s="208"/>
      <c r="ARG44" s="208"/>
      <c r="ARH44" s="208"/>
      <c r="ARI44" s="208"/>
      <c r="ARJ44" s="208"/>
      <c r="ARK44" s="208"/>
      <c r="ARL44" s="208"/>
      <c r="ARM44" s="208"/>
      <c r="ARN44" s="208"/>
      <c r="ARO44" s="208"/>
      <c r="ARP44" s="208"/>
      <c r="ARQ44" s="208"/>
      <c r="ARR44" s="208"/>
      <c r="ARS44" s="208"/>
      <c r="ART44" s="208"/>
      <c r="ARU44" s="208"/>
      <c r="ARV44" s="208"/>
      <c r="ARW44" s="208"/>
      <c r="ARX44" s="208"/>
      <c r="ARY44" s="208"/>
      <c r="ARZ44" s="208"/>
      <c r="ASA44" s="208"/>
      <c r="ASB44" s="208"/>
      <c r="ASC44" s="208"/>
      <c r="ASD44" s="208"/>
      <c r="ASE44" s="208"/>
      <c r="ASF44" s="208"/>
      <c r="ASG44" s="208"/>
      <c r="ASH44" s="208"/>
      <c r="ASI44" s="208"/>
      <c r="ASJ44" s="208"/>
      <c r="ASK44" s="208"/>
      <c r="ASL44" s="208"/>
      <c r="ASM44" s="208"/>
      <c r="ASN44" s="208"/>
      <c r="ASO44" s="208"/>
      <c r="ASP44" s="208"/>
      <c r="ASQ44" s="208"/>
      <c r="ASR44" s="208"/>
      <c r="ASS44" s="208"/>
      <c r="AST44" s="208"/>
      <c r="ASU44" s="208"/>
      <c r="ASV44" s="208"/>
      <c r="ASW44" s="208"/>
      <c r="ASX44" s="208"/>
      <c r="ASY44" s="208"/>
      <c r="ASZ44" s="208"/>
      <c r="ATA44" s="208"/>
      <c r="ATB44" s="208"/>
      <c r="ATC44" s="208"/>
      <c r="ATD44" s="208"/>
      <c r="ATE44" s="208"/>
      <c r="ATF44" s="208"/>
      <c r="ATG44" s="208"/>
      <c r="ATH44" s="208"/>
      <c r="ATI44" s="208"/>
      <c r="ATJ44" s="208"/>
      <c r="ATK44" s="208"/>
      <c r="ATL44" s="208"/>
      <c r="ATM44" s="208"/>
      <c r="ATN44" s="208"/>
      <c r="ATO44" s="208"/>
      <c r="ATP44" s="208"/>
      <c r="ATQ44" s="208"/>
      <c r="ATR44" s="208"/>
      <c r="ATS44" s="208"/>
      <c r="ATT44" s="208"/>
      <c r="ATU44" s="208"/>
      <c r="ATV44" s="208"/>
      <c r="ATW44" s="208"/>
      <c r="ATX44" s="208"/>
      <c r="ATY44" s="208"/>
      <c r="ATZ44" s="208"/>
      <c r="AUA44" s="208"/>
      <c r="AUB44" s="208"/>
      <c r="AUC44" s="208"/>
      <c r="AUD44" s="208"/>
      <c r="AUE44" s="208"/>
      <c r="AUF44" s="208"/>
      <c r="AUG44" s="208"/>
      <c r="AUH44" s="208"/>
      <c r="AUI44" s="208"/>
      <c r="AUJ44" s="208"/>
      <c r="AUK44" s="208"/>
      <c r="AUL44" s="208"/>
      <c r="AUM44" s="208"/>
      <c r="AUN44" s="208"/>
      <c r="AUO44" s="208"/>
      <c r="AUP44" s="208"/>
      <c r="AUQ44" s="208"/>
      <c r="AUR44" s="208"/>
      <c r="AUS44" s="208"/>
      <c r="AUT44" s="208"/>
      <c r="AUU44" s="208"/>
      <c r="AUV44" s="208"/>
      <c r="AUW44" s="208"/>
      <c r="AUX44" s="208"/>
      <c r="AUY44" s="208"/>
      <c r="AUZ44" s="208"/>
      <c r="AVA44" s="208"/>
      <c r="AVB44" s="208"/>
      <c r="AVC44" s="208"/>
      <c r="AVD44" s="208"/>
      <c r="AVE44" s="208"/>
      <c r="AVF44" s="208"/>
      <c r="AVG44" s="208"/>
      <c r="AVH44" s="208"/>
      <c r="AVI44" s="208"/>
      <c r="AVJ44" s="208"/>
      <c r="AVK44" s="208"/>
      <c r="AVL44" s="208"/>
      <c r="AVM44" s="208"/>
      <c r="AVN44" s="208"/>
      <c r="AVO44" s="208"/>
      <c r="AVP44" s="208"/>
      <c r="AVQ44" s="208"/>
      <c r="AVR44" s="208"/>
      <c r="AVS44" s="208"/>
      <c r="AVT44" s="208"/>
      <c r="AVU44" s="208"/>
      <c r="AVV44" s="208"/>
      <c r="AVW44" s="208"/>
      <c r="AVX44" s="208"/>
      <c r="AVY44" s="208"/>
      <c r="AVZ44" s="208"/>
      <c r="AWA44" s="208"/>
      <c r="AWB44" s="208"/>
      <c r="AWC44" s="208"/>
      <c r="AWD44" s="208"/>
      <c r="AWE44" s="208"/>
      <c r="AWF44" s="208"/>
      <c r="AWG44" s="208"/>
      <c r="AWH44" s="208"/>
      <c r="AWI44" s="208"/>
      <c r="AWJ44" s="208"/>
      <c r="AWK44" s="208"/>
      <c r="AWL44" s="208"/>
      <c r="AWM44" s="208"/>
      <c r="AWN44" s="208"/>
      <c r="AWO44" s="208"/>
      <c r="AWP44" s="208"/>
      <c r="AWQ44" s="208"/>
      <c r="AWR44" s="208"/>
      <c r="AWS44" s="208"/>
      <c r="AWT44" s="208"/>
      <c r="AWU44" s="208"/>
      <c r="AWV44" s="208"/>
      <c r="AWW44" s="208"/>
      <c r="AWX44" s="208"/>
      <c r="AWY44" s="208"/>
      <c r="AWZ44" s="208"/>
      <c r="AXA44" s="208"/>
      <c r="AXB44" s="208"/>
      <c r="AXC44" s="208"/>
      <c r="AXD44" s="208"/>
      <c r="AXE44" s="208"/>
      <c r="AXF44" s="208"/>
      <c r="AXG44" s="208"/>
      <c r="AXH44" s="208"/>
      <c r="AXI44" s="208"/>
      <c r="AXJ44" s="208"/>
      <c r="AXK44" s="208"/>
      <c r="AXL44" s="208"/>
      <c r="AXM44" s="208"/>
      <c r="AXN44" s="208"/>
      <c r="AXO44" s="208"/>
      <c r="AXP44" s="208"/>
      <c r="AXQ44" s="208"/>
      <c r="AXR44" s="208"/>
      <c r="AXS44" s="208"/>
      <c r="AXT44" s="208"/>
      <c r="AXU44" s="208"/>
      <c r="AXV44" s="208"/>
      <c r="AXW44" s="208"/>
      <c r="AXX44" s="208"/>
      <c r="AXY44" s="208"/>
      <c r="AXZ44" s="208"/>
      <c r="AYA44" s="208"/>
      <c r="AYB44" s="208"/>
      <c r="AYC44" s="208"/>
      <c r="AYD44" s="208"/>
      <c r="AYE44" s="208"/>
      <c r="AYF44" s="208"/>
      <c r="AYG44" s="208"/>
      <c r="AYH44" s="208"/>
      <c r="AYI44" s="208"/>
      <c r="AYJ44" s="208"/>
      <c r="AYK44" s="208"/>
      <c r="AYL44" s="208"/>
      <c r="AYM44" s="208"/>
      <c r="AYN44" s="208"/>
      <c r="AYO44" s="208"/>
      <c r="AYP44" s="208"/>
      <c r="AYQ44" s="208"/>
      <c r="AYR44" s="208"/>
      <c r="AYS44" s="208"/>
      <c r="AYT44" s="208"/>
      <c r="AYU44" s="208"/>
      <c r="AYV44" s="208"/>
      <c r="AYW44" s="208"/>
      <c r="AYX44" s="208"/>
      <c r="AYY44" s="208"/>
      <c r="AYZ44" s="208"/>
      <c r="AZA44" s="208"/>
      <c r="AZB44" s="208"/>
      <c r="AZC44" s="208"/>
      <c r="AZD44" s="208"/>
      <c r="AZE44" s="208"/>
      <c r="AZF44" s="208"/>
      <c r="AZG44" s="208"/>
      <c r="AZH44" s="208"/>
      <c r="AZI44" s="208"/>
      <c r="AZJ44" s="208"/>
      <c r="AZK44" s="208"/>
      <c r="AZL44" s="208"/>
      <c r="AZM44" s="208"/>
      <c r="AZN44" s="208"/>
      <c r="AZO44" s="208"/>
      <c r="AZP44" s="208"/>
      <c r="AZQ44" s="208"/>
      <c r="AZR44" s="208"/>
      <c r="AZS44" s="208"/>
      <c r="AZT44" s="208"/>
      <c r="AZU44" s="208"/>
      <c r="AZV44" s="208"/>
      <c r="AZW44" s="208"/>
      <c r="AZX44" s="208"/>
      <c r="AZY44" s="208"/>
      <c r="AZZ44" s="208"/>
      <c r="BAA44" s="208"/>
      <c r="BAB44" s="208"/>
      <c r="BAC44" s="208"/>
      <c r="BAD44" s="208"/>
      <c r="BAE44" s="208"/>
      <c r="BAF44" s="208"/>
      <c r="BAG44" s="208"/>
      <c r="BAH44" s="208"/>
      <c r="BAI44" s="208"/>
      <c r="BAJ44" s="208"/>
      <c r="BAK44" s="208"/>
      <c r="BAL44" s="208"/>
      <c r="BAM44" s="208"/>
      <c r="BAN44" s="208"/>
      <c r="BAO44" s="208"/>
      <c r="BAP44" s="208"/>
      <c r="BAQ44" s="208"/>
      <c r="BAR44" s="208"/>
      <c r="BAS44" s="208"/>
      <c r="BAT44" s="208"/>
      <c r="BAU44" s="208"/>
      <c r="BAV44" s="208"/>
      <c r="BAW44" s="208"/>
      <c r="BAX44" s="208"/>
      <c r="BAY44" s="208"/>
      <c r="BAZ44" s="208"/>
      <c r="BBA44" s="208"/>
      <c r="BBB44" s="208"/>
      <c r="BBC44" s="208"/>
      <c r="BBD44" s="208"/>
      <c r="BBE44" s="208"/>
      <c r="BBF44" s="208"/>
      <c r="BBG44" s="208"/>
      <c r="BBH44" s="208"/>
      <c r="BBI44" s="208"/>
      <c r="BBJ44" s="208"/>
      <c r="BBK44" s="208"/>
      <c r="BBL44" s="208"/>
      <c r="BBM44" s="208"/>
      <c r="BBN44" s="208"/>
      <c r="BBO44" s="208"/>
      <c r="BBP44" s="208"/>
      <c r="BBQ44" s="208"/>
      <c r="BBR44" s="208"/>
      <c r="BBS44" s="208"/>
      <c r="BBT44" s="208"/>
      <c r="BBU44" s="208"/>
      <c r="BBV44" s="208"/>
      <c r="BBW44" s="208"/>
      <c r="BBX44" s="208"/>
      <c r="BBY44" s="208"/>
      <c r="BBZ44" s="208"/>
      <c r="BCA44" s="208"/>
      <c r="BCB44" s="208"/>
      <c r="BCC44" s="208"/>
      <c r="BCD44" s="208"/>
      <c r="BCE44" s="208"/>
      <c r="BCF44" s="208"/>
      <c r="BCG44" s="208"/>
      <c r="BCH44" s="208"/>
      <c r="BCI44" s="208"/>
      <c r="BCJ44" s="208"/>
      <c r="BCK44" s="208"/>
      <c r="BCL44" s="208"/>
      <c r="BCM44" s="208"/>
      <c r="BCN44" s="208"/>
      <c r="BCO44" s="208"/>
      <c r="BCP44" s="208"/>
      <c r="BCQ44" s="208"/>
      <c r="BCR44" s="208"/>
      <c r="BCS44" s="208"/>
      <c r="BCT44" s="208"/>
      <c r="BCU44" s="208"/>
      <c r="BCV44" s="208"/>
      <c r="BCW44" s="208"/>
      <c r="BCX44" s="208"/>
      <c r="BCY44" s="208"/>
      <c r="BCZ44" s="208"/>
      <c r="BDA44" s="208"/>
      <c r="BDB44" s="208"/>
      <c r="BDC44" s="208"/>
      <c r="BDD44" s="208"/>
      <c r="BDE44" s="208"/>
      <c r="BDF44" s="208"/>
      <c r="BDG44" s="208"/>
      <c r="BDH44" s="208"/>
      <c r="BDI44" s="208"/>
      <c r="BDJ44" s="208"/>
      <c r="BDK44" s="208"/>
      <c r="BDL44" s="208"/>
      <c r="BDM44" s="208"/>
      <c r="BDN44" s="208"/>
      <c r="BDO44" s="208"/>
      <c r="BDP44" s="208"/>
      <c r="BDQ44" s="208"/>
      <c r="BDR44" s="208"/>
      <c r="BDS44" s="208"/>
      <c r="BDT44" s="208"/>
      <c r="BDU44" s="208"/>
      <c r="BDV44" s="208"/>
      <c r="BDW44" s="208"/>
      <c r="BDX44" s="208"/>
      <c r="BDY44" s="208"/>
      <c r="BDZ44" s="208"/>
      <c r="BEA44" s="208"/>
      <c r="BEB44" s="208"/>
      <c r="BEC44" s="208"/>
      <c r="BED44" s="208"/>
      <c r="BEE44" s="208"/>
      <c r="BEF44" s="208"/>
      <c r="BEG44" s="208"/>
      <c r="BEH44" s="208"/>
      <c r="BEI44" s="208"/>
      <c r="BEJ44" s="208"/>
      <c r="BEK44" s="208"/>
      <c r="BEL44" s="208"/>
      <c r="BEM44" s="208"/>
      <c r="BEN44" s="208"/>
      <c r="BEO44" s="208"/>
      <c r="BEP44" s="208"/>
      <c r="BEQ44" s="208"/>
      <c r="BER44" s="208"/>
      <c r="BES44" s="208"/>
      <c r="BET44" s="208"/>
      <c r="BEU44" s="208"/>
      <c r="BEV44" s="208"/>
      <c r="BEW44" s="208"/>
      <c r="BEX44" s="208"/>
      <c r="BEY44" s="208"/>
      <c r="BEZ44" s="208"/>
      <c r="BFA44" s="208"/>
      <c r="BFB44" s="208"/>
      <c r="BFC44" s="208"/>
      <c r="BFD44" s="208"/>
      <c r="BFE44" s="208"/>
      <c r="BFF44" s="208"/>
      <c r="BFG44" s="208"/>
      <c r="BFH44" s="208"/>
      <c r="BFI44" s="208"/>
      <c r="BFJ44" s="208"/>
      <c r="BFK44" s="208"/>
      <c r="BFL44" s="208"/>
      <c r="BFM44" s="208"/>
      <c r="BFN44" s="208"/>
      <c r="BFO44" s="208"/>
      <c r="BFP44" s="208"/>
      <c r="BFQ44" s="208"/>
      <c r="BFR44" s="208"/>
      <c r="BFS44" s="208"/>
      <c r="BFT44" s="208"/>
      <c r="BFU44" s="208"/>
      <c r="BFV44" s="208"/>
      <c r="BFW44" s="208"/>
      <c r="BFX44" s="208"/>
      <c r="BFY44" s="208"/>
      <c r="BFZ44" s="208"/>
      <c r="BGA44" s="208"/>
      <c r="BGB44" s="208"/>
      <c r="BGC44" s="208"/>
      <c r="BGD44" s="208"/>
      <c r="BGE44" s="208"/>
      <c r="BGF44" s="208"/>
      <c r="BGG44" s="208"/>
      <c r="BGH44" s="208"/>
      <c r="BGI44" s="208"/>
      <c r="BGJ44" s="208"/>
      <c r="BGK44" s="208"/>
      <c r="BGL44" s="208"/>
      <c r="BGM44" s="208"/>
      <c r="BGN44" s="208"/>
      <c r="BGO44" s="208"/>
      <c r="BGP44" s="208"/>
      <c r="BGQ44" s="208"/>
      <c r="BGR44" s="208"/>
      <c r="BGS44" s="208"/>
      <c r="BGT44" s="208"/>
      <c r="BGU44" s="208"/>
      <c r="BGV44" s="208"/>
      <c r="BGW44" s="208"/>
      <c r="BGX44" s="208"/>
      <c r="BGY44" s="208"/>
      <c r="BGZ44" s="208"/>
      <c r="BHA44" s="208"/>
      <c r="BHB44" s="208"/>
      <c r="BHC44" s="208"/>
      <c r="BHD44" s="208"/>
      <c r="BHE44" s="208"/>
      <c r="BHF44" s="208"/>
      <c r="BHG44" s="208"/>
      <c r="BHH44" s="208"/>
      <c r="BHI44" s="208"/>
      <c r="BHJ44" s="208"/>
      <c r="BHK44" s="208"/>
      <c r="BHL44" s="208"/>
      <c r="BHM44" s="208"/>
      <c r="BHN44" s="208"/>
      <c r="BHO44" s="208"/>
      <c r="BHP44" s="208"/>
      <c r="BHQ44" s="208"/>
      <c r="BHR44" s="208"/>
      <c r="BHS44" s="208"/>
      <c r="BHT44" s="208"/>
      <c r="BHU44" s="208"/>
      <c r="BHV44" s="208"/>
      <c r="BHW44" s="208"/>
      <c r="BHX44" s="208"/>
      <c r="BHY44" s="208"/>
      <c r="BHZ44" s="208"/>
      <c r="BIA44" s="208"/>
      <c r="BIB44" s="208"/>
      <c r="BIC44" s="208"/>
      <c r="BID44" s="208"/>
      <c r="BIE44" s="208"/>
      <c r="BIF44" s="208"/>
      <c r="BIG44" s="208"/>
      <c r="BIH44" s="208"/>
      <c r="BII44" s="208"/>
      <c r="BIJ44" s="208"/>
      <c r="BIK44" s="208"/>
      <c r="BIL44" s="208"/>
      <c r="BIM44" s="208"/>
      <c r="BIN44" s="208"/>
      <c r="BIO44" s="208"/>
      <c r="BIP44" s="208"/>
      <c r="BIQ44" s="208"/>
      <c r="BIR44" s="208"/>
      <c r="BIS44" s="208"/>
      <c r="BIT44" s="208"/>
      <c r="BIU44" s="208"/>
      <c r="BIV44" s="208"/>
      <c r="BIW44" s="208"/>
      <c r="BIX44" s="208"/>
      <c r="BIY44" s="208"/>
      <c r="BIZ44" s="208"/>
      <c r="BJA44" s="208"/>
      <c r="BJB44" s="208"/>
      <c r="BJC44" s="208"/>
      <c r="BJD44" s="208"/>
      <c r="BJE44" s="208"/>
      <c r="BJF44" s="208"/>
      <c r="BJG44" s="208"/>
      <c r="BJH44" s="208"/>
      <c r="BJI44" s="208"/>
      <c r="BJJ44" s="208"/>
      <c r="BJK44" s="208"/>
      <c r="BJL44" s="208"/>
      <c r="BJM44" s="208"/>
      <c r="BJN44" s="208"/>
      <c r="BJO44" s="208"/>
      <c r="BJP44" s="208"/>
      <c r="BJQ44" s="208"/>
      <c r="BJR44" s="208"/>
      <c r="BJS44" s="208"/>
      <c r="BJT44" s="208"/>
      <c r="BJU44" s="208"/>
      <c r="BJV44" s="208"/>
      <c r="BJW44" s="208"/>
      <c r="BJX44" s="208"/>
      <c r="BJY44" s="208"/>
      <c r="BJZ44" s="208"/>
      <c r="BKA44" s="208"/>
      <c r="BKB44" s="208"/>
      <c r="BKC44" s="208"/>
      <c r="BKD44" s="208"/>
      <c r="BKE44" s="208"/>
      <c r="BKF44" s="208"/>
      <c r="BKG44" s="208"/>
      <c r="BKH44" s="208"/>
      <c r="BKI44" s="208"/>
      <c r="BKJ44" s="208"/>
      <c r="BKK44" s="208"/>
      <c r="BKL44" s="208"/>
      <c r="BKM44" s="208"/>
      <c r="BKN44" s="208"/>
      <c r="BKO44" s="208"/>
      <c r="BKP44" s="208"/>
      <c r="BKQ44" s="208"/>
      <c r="BKR44" s="208"/>
      <c r="BKS44" s="208"/>
      <c r="BKT44" s="208"/>
      <c r="BKU44" s="208"/>
      <c r="BKV44" s="208"/>
      <c r="BKW44" s="208"/>
      <c r="BKX44" s="208"/>
      <c r="BKY44" s="208"/>
      <c r="BKZ44" s="208"/>
      <c r="BLA44" s="208"/>
      <c r="BLB44" s="208"/>
      <c r="BLC44" s="208"/>
      <c r="BLD44" s="208"/>
      <c r="BLE44" s="208"/>
      <c r="BLF44" s="208"/>
      <c r="BLG44" s="208"/>
      <c r="BLH44" s="208"/>
      <c r="BLI44" s="208"/>
      <c r="BLJ44" s="208"/>
      <c r="BLK44" s="208"/>
      <c r="BLL44" s="208"/>
      <c r="BLM44" s="208"/>
      <c r="BLN44" s="208"/>
      <c r="BLO44" s="208"/>
      <c r="BLP44" s="208"/>
      <c r="BLQ44" s="208"/>
      <c r="BLR44" s="208"/>
      <c r="BLS44" s="208"/>
      <c r="BLT44" s="208"/>
      <c r="BLU44" s="208"/>
      <c r="BLV44" s="208"/>
      <c r="BLW44" s="208"/>
      <c r="BLX44" s="208"/>
      <c r="BLY44" s="208"/>
      <c r="BLZ44" s="208"/>
      <c r="BMA44" s="208"/>
      <c r="BMB44" s="208"/>
      <c r="BMC44" s="208"/>
      <c r="BMD44" s="208"/>
      <c r="BME44" s="208"/>
      <c r="BMF44" s="208"/>
      <c r="BMG44" s="208"/>
      <c r="BMH44" s="208"/>
      <c r="BMI44" s="208"/>
      <c r="BMJ44" s="208"/>
      <c r="BMK44" s="208"/>
      <c r="BML44" s="208"/>
      <c r="BMM44" s="208"/>
      <c r="BMN44" s="208"/>
      <c r="BMO44" s="208"/>
      <c r="BMP44" s="208"/>
      <c r="BMQ44" s="208"/>
      <c r="BMR44" s="208"/>
      <c r="BMS44" s="208"/>
      <c r="BMT44" s="208"/>
      <c r="BMU44" s="208"/>
      <c r="BMV44" s="208"/>
      <c r="BMW44" s="208"/>
      <c r="BMX44" s="208"/>
      <c r="BMY44" s="208"/>
      <c r="BMZ44" s="208"/>
      <c r="BNA44" s="208"/>
      <c r="BNB44" s="208"/>
      <c r="BNC44" s="208"/>
      <c r="BND44" s="208"/>
      <c r="BNE44" s="208"/>
      <c r="BNF44" s="208"/>
      <c r="BNG44" s="208"/>
      <c r="BNH44" s="208"/>
      <c r="BNI44" s="208"/>
      <c r="BNJ44" s="208"/>
      <c r="BNK44" s="208"/>
      <c r="BNL44" s="208"/>
      <c r="BNM44" s="208"/>
      <c r="BNN44" s="208"/>
      <c r="BNO44" s="208"/>
      <c r="BNP44" s="208"/>
      <c r="BNQ44" s="208"/>
      <c r="BNR44" s="208"/>
      <c r="BNS44" s="208"/>
      <c r="BNT44" s="208"/>
      <c r="BNU44" s="208"/>
      <c r="BNV44" s="208"/>
      <c r="BNW44" s="208"/>
      <c r="BNX44" s="208"/>
      <c r="BNY44" s="208"/>
      <c r="BNZ44" s="208"/>
      <c r="BOA44" s="208"/>
      <c r="BOB44" s="208"/>
      <c r="BOC44" s="208"/>
      <c r="BOD44" s="208"/>
      <c r="BOE44" s="208"/>
      <c r="BOF44" s="208"/>
      <c r="BOG44" s="208"/>
      <c r="BOH44" s="208"/>
      <c r="BOI44" s="208"/>
      <c r="BOJ44" s="208"/>
      <c r="BOK44" s="208"/>
      <c r="BOL44" s="208"/>
      <c r="BOM44" s="208"/>
      <c r="BON44" s="208"/>
      <c r="BOO44" s="208"/>
      <c r="BOP44" s="208"/>
      <c r="BOQ44" s="208"/>
      <c r="BOR44" s="208"/>
      <c r="BOS44" s="208"/>
      <c r="BOT44" s="208"/>
      <c r="BOU44" s="208"/>
      <c r="BOV44" s="208"/>
      <c r="BOW44" s="208"/>
      <c r="BOX44" s="208"/>
      <c r="BOY44" s="208"/>
      <c r="BOZ44" s="208"/>
      <c r="BPA44" s="208"/>
      <c r="BPB44" s="208"/>
      <c r="BPC44" s="208"/>
      <c r="BPD44" s="208"/>
      <c r="BPE44" s="208"/>
      <c r="BPF44" s="208"/>
      <c r="BPG44" s="208"/>
      <c r="BPH44" s="208"/>
      <c r="BPI44" s="208"/>
      <c r="BPJ44" s="208"/>
      <c r="BPK44" s="208"/>
      <c r="BPL44" s="208"/>
      <c r="BPM44" s="208"/>
      <c r="BPN44" s="208"/>
      <c r="BPO44" s="208"/>
      <c r="BPP44" s="208"/>
      <c r="BPQ44" s="208"/>
      <c r="BPR44" s="208"/>
      <c r="BPS44" s="208"/>
      <c r="BPT44" s="208"/>
      <c r="BPU44" s="208"/>
      <c r="BPV44" s="208"/>
      <c r="BPW44" s="208"/>
      <c r="BPX44" s="208"/>
      <c r="BPY44" s="208"/>
      <c r="BPZ44" s="208"/>
      <c r="BQA44" s="208"/>
      <c r="BQB44" s="208"/>
      <c r="BQC44" s="208"/>
      <c r="BQD44" s="208"/>
      <c r="BQE44" s="208"/>
      <c r="BQF44" s="208"/>
      <c r="BQG44" s="208"/>
      <c r="BQH44" s="208"/>
      <c r="BQI44" s="208"/>
      <c r="BQJ44" s="208"/>
      <c r="BQK44" s="208"/>
      <c r="BQL44" s="208"/>
      <c r="BQM44" s="208"/>
      <c r="BQN44" s="208"/>
      <c r="BQO44" s="208"/>
      <c r="BQP44" s="208"/>
      <c r="BQQ44" s="208"/>
      <c r="BQR44" s="208"/>
      <c r="BQS44" s="208"/>
      <c r="BQT44" s="208"/>
      <c r="BQU44" s="208"/>
      <c r="BQV44" s="208"/>
      <c r="BQW44" s="208"/>
      <c r="BQX44" s="208"/>
      <c r="BQY44" s="208"/>
      <c r="BQZ44" s="208"/>
      <c r="BRA44" s="208"/>
      <c r="BRB44" s="208"/>
      <c r="BRC44" s="208"/>
      <c r="BRD44" s="208"/>
      <c r="BRE44" s="208"/>
      <c r="BRF44" s="208"/>
      <c r="BRG44" s="208"/>
      <c r="BRH44" s="208"/>
      <c r="BRI44" s="208"/>
      <c r="BRJ44" s="208"/>
      <c r="BRK44" s="208"/>
      <c r="BRL44" s="208"/>
      <c r="BRM44" s="208"/>
      <c r="BRN44" s="208"/>
      <c r="BRO44" s="208"/>
      <c r="BRP44" s="208"/>
      <c r="BRQ44" s="208"/>
      <c r="BRR44" s="208"/>
      <c r="BRS44" s="208"/>
      <c r="BRT44" s="208"/>
      <c r="BRU44" s="208"/>
      <c r="BRV44" s="208"/>
      <c r="BRW44" s="208"/>
      <c r="BRX44" s="208"/>
      <c r="BRY44" s="208"/>
      <c r="BRZ44" s="208"/>
      <c r="BSA44" s="208"/>
      <c r="BSB44" s="208"/>
      <c r="BSC44" s="208"/>
      <c r="BSD44" s="208"/>
      <c r="BSE44" s="208"/>
      <c r="BSF44" s="208"/>
      <c r="BSG44" s="208"/>
      <c r="BSH44" s="208"/>
      <c r="BSI44" s="208"/>
      <c r="BSJ44" s="208"/>
      <c r="BSK44" s="208"/>
      <c r="BSL44" s="208"/>
      <c r="BSM44" s="208"/>
      <c r="BSN44" s="208"/>
      <c r="BSO44" s="208"/>
      <c r="BSP44" s="208"/>
      <c r="BSQ44" s="208"/>
      <c r="BSR44" s="208"/>
      <c r="BSS44" s="208"/>
      <c r="BST44" s="208"/>
      <c r="BSU44" s="208"/>
      <c r="BSV44" s="208"/>
      <c r="BSW44" s="208"/>
      <c r="BSX44" s="208"/>
      <c r="BSY44" s="208"/>
      <c r="BSZ44" s="208"/>
      <c r="BTA44" s="208"/>
      <c r="BTB44" s="208"/>
      <c r="BTC44" s="208"/>
      <c r="BTD44" s="208"/>
      <c r="BTE44" s="208"/>
      <c r="BTF44" s="208"/>
      <c r="BTG44" s="208"/>
      <c r="BTH44" s="208"/>
      <c r="BTI44" s="208"/>
      <c r="BTJ44" s="208"/>
      <c r="BTK44" s="208"/>
      <c r="BTL44" s="208"/>
      <c r="BTM44" s="208"/>
      <c r="BTN44" s="208"/>
      <c r="BTO44" s="208"/>
      <c r="BTP44" s="208"/>
      <c r="BTQ44" s="208"/>
      <c r="BTR44" s="208"/>
      <c r="BTS44" s="208"/>
      <c r="BTT44" s="208"/>
      <c r="BTU44" s="208"/>
      <c r="BTV44" s="208"/>
      <c r="BTW44" s="208"/>
      <c r="BTX44" s="208"/>
      <c r="BTY44" s="208"/>
      <c r="BTZ44" s="208"/>
      <c r="BUA44" s="208"/>
      <c r="BUB44" s="208"/>
      <c r="BUC44" s="208"/>
      <c r="BUD44" s="208"/>
      <c r="BUE44" s="208"/>
      <c r="BUF44" s="208"/>
      <c r="BUG44" s="208"/>
      <c r="BUH44" s="208"/>
      <c r="BUI44" s="208"/>
      <c r="BUJ44" s="208"/>
      <c r="BUK44" s="208"/>
      <c r="BUL44" s="208"/>
      <c r="BUM44" s="208"/>
      <c r="BUN44" s="208"/>
      <c r="BUO44" s="208"/>
      <c r="BUP44" s="208"/>
      <c r="BUQ44" s="208"/>
      <c r="BUR44" s="208"/>
      <c r="BUS44" s="208"/>
      <c r="BUT44" s="208"/>
      <c r="BUU44" s="208"/>
      <c r="BUV44" s="208"/>
      <c r="BUW44" s="208"/>
      <c r="BUX44" s="208"/>
      <c r="BUY44" s="208"/>
      <c r="BUZ44" s="208"/>
      <c r="BVA44" s="208"/>
      <c r="BVB44" s="208"/>
      <c r="BVC44" s="208"/>
      <c r="BVD44" s="208"/>
      <c r="BVE44" s="208"/>
      <c r="BVF44" s="208"/>
      <c r="BVG44" s="208"/>
      <c r="BVH44" s="208"/>
      <c r="BVI44" s="208"/>
      <c r="BVJ44" s="208"/>
      <c r="BVK44" s="208"/>
      <c r="BVL44" s="208"/>
      <c r="BVM44" s="208"/>
      <c r="BVN44" s="208"/>
      <c r="BVO44" s="208"/>
      <c r="BVP44" s="208"/>
      <c r="BVQ44" s="208"/>
      <c r="BVR44" s="208"/>
      <c r="BVS44" s="208"/>
      <c r="BVT44" s="208"/>
      <c r="BVU44" s="208"/>
      <c r="BVV44" s="208"/>
      <c r="BVW44" s="208"/>
      <c r="BVX44" s="208"/>
      <c r="BVY44" s="208"/>
      <c r="BVZ44" s="208"/>
      <c r="BWA44" s="208"/>
      <c r="BWB44" s="208"/>
      <c r="BWC44" s="208"/>
      <c r="BWD44" s="208"/>
      <c r="BWE44" s="208"/>
      <c r="BWF44" s="208"/>
      <c r="BWG44" s="208"/>
      <c r="BWH44" s="208"/>
      <c r="BWI44" s="208"/>
      <c r="BWJ44" s="208"/>
      <c r="BWK44" s="208"/>
      <c r="BWL44" s="208"/>
      <c r="BWM44" s="208"/>
      <c r="BWN44" s="208"/>
      <c r="BWO44" s="208"/>
      <c r="BWP44" s="208"/>
      <c r="BWQ44" s="208"/>
      <c r="BWR44" s="208"/>
      <c r="BWS44" s="208"/>
      <c r="BWT44" s="208"/>
      <c r="BWU44" s="208"/>
      <c r="BWV44" s="208"/>
      <c r="BWW44" s="208"/>
      <c r="BWX44" s="208"/>
      <c r="BWY44" s="208"/>
      <c r="BWZ44" s="208"/>
      <c r="BXA44" s="208"/>
      <c r="BXB44" s="208"/>
      <c r="BXC44" s="208"/>
      <c r="BXD44" s="208"/>
      <c r="BXE44" s="208"/>
      <c r="BXF44" s="208"/>
      <c r="BXG44" s="208"/>
      <c r="BXH44" s="208"/>
      <c r="BXI44" s="208"/>
      <c r="BXJ44" s="208"/>
      <c r="BXK44" s="208"/>
      <c r="BXL44" s="208"/>
      <c r="BXM44" s="208"/>
      <c r="BXN44" s="208"/>
      <c r="BXO44" s="208"/>
      <c r="BXP44" s="208"/>
      <c r="BXQ44" s="208"/>
      <c r="BXR44" s="208"/>
      <c r="BXS44" s="208"/>
      <c r="BXT44" s="208"/>
      <c r="BXU44" s="208"/>
      <c r="BXV44" s="208"/>
      <c r="BXW44" s="208"/>
      <c r="BXX44" s="208"/>
      <c r="BXY44" s="208"/>
      <c r="BXZ44" s="208"/>
      <c r="BYA44" s="208"/>
      <c r="BYB44" s="208"/>
      <c r="BYC44" s="208"/>
      <c r="BYD44" s="208"/>
      <c r="BYE44" s="208"/>
      <c r="BYF44" s="208"/>
      <c r="BYG44" s="208"/>
    </row>
    <row r="45" spans="1:2009" s="101" customFormat="1" ht="12.75" customHeight="1" thickBot="1" x14ac:dyDescent="0.3">
      <c r="A45" s="98"/>
      <c r="B45" s="129"/>
      <c r="C45" s="171"/>
      <c r="D45" s="171"/>
      <c r="E45" s="171"/>
      <c r="F45" s="171"/>
      <c r="G45" s="691"/>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147" t="s">
        <v>283</v>
      </c>
      <c r="B46" s="436"/>
      <c r="C46" s="437"/>
      <c r="D46" s="437"/>
      <c r="E46" s="437"/>
      <c r="F46" s="438"/>
      <c r="G46" s="692"/>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hidden="1" customHeight="1" x14ac:dyDescent="0.25">
      <c r="A47" s="382"/>
      <c r="B47" s="443" t="s">
        <v>444</v>
      </c>
      <c r="C47" s="469"/>
      <c r="D47" s="469"/>
      <c r="E47" s="445"/>
      <c r="F47" s="446"/>
      <c r="G47" s="693">
        <f>ROUND(SUM(C47:F47),5)</f>
        <v>0</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hidden="1" customHeight="1" x14ac:dyDescent="0.25">
      <c r="A48" s="382"/>
      <c r="B48" s="443" t="s">
        <v>297</v>
      </c>
      <c r="C48" s="469"/>
      <c r="D48" s="469"/>
      <c r="E48" s="469"/>
      <c r="F48" s="536"/>
      <c r="G48" s="693">
        <f>ROUND(SUM(C48:F48),5)</f>
        <v>0</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118" customFormat="1" ht="24.95" customHeight="1" x14ac:dyDescent="0.25">
      <c r="A49" s="383"/>
      <c r="B49" s="638" t="s">
        <v>378</v>
      </c>
      <c r="C49" s="470">
        <v>13761.25</v>
      </c>
      <c r="D49" s="470">
        <f>8957.04+39</f>
        <v>8996.0400000000009</v>
      </c>
      <c r="E49" s="470">
        <f>10778.81-39</f>
        <v>10739.81</v>
      </c>
      <c r="F49" s="639"/>
      <c r="G49" s="694">
        <f>ROUND(SUM(C49:F49),5)</f>
        <v>33497.1</v>
      </c>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c r="AML49" s="100"/>
      <c r="AMM49" s="100"/>
      <c r="AMN49" s="100"/>
      <c r="AMO49" s="100"/>
      <c r="AMP49" s="100"/>
      <c r="AMQ49" s="100"/>
      <c r="AMR49" s="100"/>
      <c r="AMS49" s="100"/>
      <c r="AMT49" s="100"/>
      <c r="AMU49" s="100"/>
      <c r="AMV49" s="100"/>
      <c r="AMW49" s="100"/>
      <c r="AMX49" s="100"/>
      <c r="AMY49" s="100"/>
      <c r="AMZ49" s="100"/>
      <c r="ANA49" s="100"/>
      <c r="ANB49" s="100"/>
      <c r="ANC49" s="100"/>
      <c r="AND49" s="100"/>
      <c r="ANE49" s="100"/>
      <c r="ANF49" s="100"/>
      <c r="ANG49" s="100"/>
      <c r="ANH49" s="100"/>
      <c r="ANI49" s="100"/>
      <c r="ANJ49" s="100"/>
      <c r="ANK49" s="100"/>
      <c r="ANL49" s="100"/>
      <c r="ANM49" s="100"/>
      <c r="ANN49" s="100"/>
      <c r="ANO49" s="100"/>
      <c r="ANP49" s="100"/>
      <c r="ANQ49" s="100"/>
      <c r="ANR49" s="100"/>
      <c r="ANS49" s="100"/>
      <c r="ANT49" s="100"/>
      <c r="ANU49" s="100"/>
      <c r="ANV49" s="100"/>
      <c r="ANW49" s="100"/>
      <c r="ANX49" s="100"/>
      <c r="ANY49" s="100"/>
      <c r="ANZ49" s="100"/>
      <c r="AOA49" s="100"/>
      <c r="AOB49" s="100"/>
      <c r="AOC49" s="100"/>
      <c r="AOD49" s="100"/>
      <c r="AOE49" s="100"/>
      <c r="AOF49" s="100"/>
      <c r="AOG49" s="100"/>
      <c r="AOH49" s="100"/>
      <c r="AOI49" s="100"/>
      <c r="AOJ49" s="100"/>
      <c r="AOK49" s="100"/>
      <c r="AOL49" s="100"/>
      <c r="AOM49" s="100"/>
      <c r="AON49" s="100"/>
      <c r="AOO49" s="100"/>
      <c r="AOP49" s="100"/>
      <c r="AOQ49" s="100"/>
      <c r="AOR49" s="100"/>
      <c r="AOS49" s="100"/>
      <c r="AOT49" s="100"/>
      <c r="AOU49" s="100"/>
      <c r="AOV49" s="100"/>
      <c r="AOW49" s="100"/>
      <c r="AOX49" s="100"/>
      <c r="AOY49" s="100"/>
      <c r="AOZ49" s="100"/>
      <c r="APA49" s="100"/>
      <c r="APB49" s="100"/>
      <c r="APC49" s="100"/>
      <c r="APD49" s="100"/>
      <c r="APE49" s="100"/>
      <c r="APF49" s="100"/>
      <c r="APG49" s="100"/>
      <c r="APH49" s="100"/>
      <c r="API49" s="100"/>
      <c r="APJ49" s="100"/>
      <c r="APK49" s="100"/>
      <c r="APL49" s="100"/>
      <c r="APM49" s="100"/>
      <c r="APN49" s="100"/>
      <c r="APO49" s="100"/>
      <c r="APP49" s="100"/>
      <c r="APQ49" s="100"/>
      <c r="APR49" s="100"/>
      <c r="APS49" s="100"/>
      <c r="APT49" s="100"/>
      <c r="APU49" s="100"/>
      <c r="APV49" s="100"/>
      <c r="APW49" s="100"/>
      <c r="APX49" s="100"/>
      <c r="APY49" s="100"/>
      <c r="APZ49" s="100"/>
      <c r="AQA49" s="100"/>
      <c r="AQB49" s="100"/>
      <c r="AQC49" s="100"/>
      <c r="AQD49" s="100"/>
      <c r="AQE49" s="100"/>
      <c r="AQF49" s="100"/>
      <c r="AQG49" s="100"/>
      <c r="AQH49" s="100"/>
      <c r="AQI49" s="100"/>
      <c r="AQJ49" s="100"/>
      <c r="AQK49" s="100"/>
      <c r="AQL49" s="100"/>
      <c r="AQM49" s="100"/>
      <c r="AQN49" s="100"/>
      <c r="AQO49" s="100"/>
      <c r="AQP49" s="100"/>
      <c r="AQQ49" s="100"/>
      <c r="AQR49" s="100"/>
      <c r="AQS49" s="100"/>
      <c r="AQT49" s="100"/>
      <c r="AQU49" s="100"/>
      <c r="AQV49" s="100"/>
      <c r="AQW49" s="100"/>
      <c r="AQX49" s="100"/>
      <c r="AQY49" s="100"/>
      <c r="AQZ49" s="100"/>
      <c r="ARA49" s="100"/>
      <c r="ARB49" s="100"/>
      <c r="ARC49" s="100"/>
      <c r="ARD49" s="100"/>
      <c r="ARE49" s="100"/>
      <c r="ARF49" s="100"/>
      <c r="ARG49" s="100"/>
      <c r="ARH49" s="100"/>
      <c r="ARI49" s="100"/>
      <c r="ARJ49" s="100"/>
      <c r="ARK49" s="100"/>
      <c r="ARL49" s="100"/>
      <c r="ARM49" s="100"/>
      <c r="ARN49" s="100"/>
      <c r="ARO49" s="100"/>
      <c r="ARP49" s="100"/>
      <c r="ARQ49" s="100"/>
      <c r="ARR49" s="100"/>
      <c r="ARS49" s="100"/>
      <c r="ART49" s="100"/>
      <c r="ARU49" s="100"/>
      <c r="ARV49" s="100"/>
      <c r="ARW49" s="100"/>
      <c r="ARX49" s="100"/>
      <c r="ARY49" s="100"/>
      <c r="ARZ49" s="100"/>
      <c r="ASA49" s="100"/>
      <c r="ASB49" s="100"/>
      <c r="ASC49" s="100"/>
      <c r="ASD49" s="100"/>
      <c r="ASE49" s="100"/>
      <c r="ASF49" s="100"/>
      <c r="ASG49" s="100"/>
      <c r="ASH49" s="100"/>
      <c r="ASI49" s="100"/>
      <c r="ASJ49" s="100"/>
      <c r="ASK49" s="100"/>
      <c r="ASL49" s="100"/>
      <c r="ASM49" s="100"/>
      <c r="ASN49" s="100"/>
      <c r="ASO49" s="100"/>
      <c r="ASP49" s="100"/>
      <c r="ASQ49" s="100"/>
      <c r="ASR49" s="100"/>
      <c r="ASS49" s="100"/>
      <c r="AST49" s="100"/>
      <c r="ASU49" s="100"/>
      <c r="ASV49" s="100"/>
      <c r="ASW49" s="100"/>
      <c r="ASX49" s="100"/>
      <c r="ASY49" s="100"/>
      <c r="ASZ49" s="100"/>
      <c r="ATA49" s="100"/>
      <c r="ATB49" s="100"/>
      <c r="ATC49" s="100"/>
      <c r="ATD49" s="100"/>
      <c r="ATE49" s="100"/>
      <c r="ATF49" s="100"/>
      <c r="ATG49" s="100"/>
      <c r="ATH49" s="100"/>
      <c r="ATI49" s="100"/>
      <c r="ATJ49" s="100"/>
      <c r="ATK49" s="100"/>
      <c r="ATL49" s="100"/>
      <c r="ATM49" s="100"/>
      <c r="ATN49" s="100"/>
      <c r="ATO49" s="100"/>
      <c r="ATP49" s="100"/>
      <c r="ATQ49" s="100"/>
      <c r="ATR49" s="100"/>
      <c r="ATS49" s="100"/>
      <c r="ATT49" s="100"/>
      <c r="ATU49" s="100"/>
      <c r="ATV49" s="100"/>
      <c r="ATW49" s="100"/>
      <c r="ATX49" s="100"/>
      <c r="ATY49" s="100"/>
      <c r="ATZ49" s="100"/>
      <c r="AUA49" s="100"/>
      <c r="AUB49" s="100"/>
      <c r="AUC49" s="100"/>
      <c r="AUD49" s="100"/>
      <c r="AUE49" s="100"/>
      <c r="AUF49" s="100"/>
      <c r="AUG49" s="100"/>
      <c r="AUH49" s="100"/>
      <c r="AUI49" s="100"/>
      <c r="AUJ49" s="100"/>
      <c r="AUK49" s="100"/>
      <c r="AUL49" s="100"/>
      <c r="AUM49" s="100"/>
      <c r="AUN49" s="100"/>
      <c r="AUO49" s="100"/>
      <c r="AUP49" s="100"/>
      <c r="AUQ49" s="100"/>
      <c r="AUR49" s="100"/>
      <c r="AUS49" s="100"/>
      <c r="AUT49" s="100"/>
      <c r="AUU49" s="100"/>
      <c r="AUV49" s="100"/>
      <c r="AUW49" s="100"/>
      <c r="AUX49" s="100"/>
      <c r="AUY49" s="100"/>
      <c r="AUZ49" s="100"/>
      <c r="AVA49" s="100"/>
      <c r="AVB49" s="100"/>
      <c r="AVC49" s="100"/>
      <c r="AVD49" s="100"/>
      <c r="AVE49" s="100"/>
      <c r="AVF49" s="100"/>
      <c r="AVG49" s="100"/>
      <c r="AVH49" s="100"/>
      <c r="AVI49" s="100"/>
      <c r="AVJ49" s="100"/>
      <c r="AVK49" s="100"/>
      <c r="AVL49" s="100"/>
      <c r="AVM49" s="100"/>
      <c r="AVN49" s="100"/>
      <c r="AVO49" s="100"/>
      <c r="AVP49" s="100"/>
      <c r="AVQ49" s="100"/>
      <c r="AVR49" s="100"/>
      <c r="AVS49" s="100"/>
      <c r="AVT49" s="100"/>
      <c r="AVU49" s="100"/>
      <c r="AVV49" s="100"/>
      <c r="AVW49" s="100"/>
      <c r="AVX49" s="100"/>
      <c r="AVY49" s="100"/>
      <c r="AVZ49" s="100"/>
      <c r="AWA49" s="100"/>
      <c r="AWB49" s="100"/>
      <c r="AWC49" s="100"/>
      <c r="AWD49" s="100"/>
      <c r="AWE49" s="100"/>
      <c r="AWF49" s="100"/>
      <c r="AWG49" s="100"/>
      <c r="AWH49" s="100"/>
      <c r="AWI49" s="100"/>
      <c r="AWJ49" s="100"/>
      <c r="AWK49" s="100"/>
      <c r="AWL49" s="100"/>
      <c r="AWM49" s="100"/>
      <c r="AWN49" s="100"/>
      <c r="AWO49" s="100"/>
      <c r="AWP49" s="100"/>
      <c r="AWQ49" s="100"/>
      <c r="AWR49" s="100"/>
      <c r="AWS49" s="100"/>
      <c r="AWT49" s="100"/>
      <c r="AWU49" s="100"/>
      <c r="AWV49" s="100"/>
      <c r="AWW49" s="100"/>
      <c r="AWX49" s="100"/>
      <c r="AWY49" s="100"/>
      <c r="AWZ49" s="100"/>
      <c r="AXA49" s="100"/>
      <c r="AXB49" s="100"/>
      <c r="AXC49" s="100"/>
      <c r="AXD49" s="100"/>
      <c r="AXE49" s="100"/>
      <c r="AXF49" s="100"/>
      <c r="AXG49" s="100"/>
      <c r="AXH49" s="100"/>
      <c r="AXI49" s="100"/>
      <c r="AXJ49" s="100"/>
      <c r="AXK49" s="100"/>
      <c r="AXL49" s="100"/>
      <c r="AXM49" s="100"/>
      <c r="AXN49" s="100"/>
      <c r="AXO49" s="100"/>
      <c r="AXP49" s="100"/>
      <c r="AXQ49" s="100"/>
      <c r="AXR49" s="100"/>
      <c r="AXS49" s="100"/>
      <c r="AXT49" s="100"/>
      <c r="AXU49" s="100"/>
      <c r="AXV49" s="100"/>
      <c r="AXW49" s="100"/>
      <c r="AXX49" s="100"/>
      <c r="AXY49" s="100"/>
      <c r="AXZ49" s="100"/>
      <c r="AYA49" s="100"/>
      <c r="AYB49" s="100"/>
      <c r="AYC49" s="100"/>
      <c r="AYD49" s="100"/>
      <c r="AYE49" s="100"/>
      <c r="AYF49" s="100"/>
      <c r="AYG49" s="100"/>
      <c r="AYH49" s="100"/>
      <c r="AYI49" s="100"/>
      <c r="AYJ49" s="100"/>
      <c r="AYK49" s="100"/>
      <c r="AYL49" s="100"/>
      <c r="AYM49" s="100"/>
      <c r="AYN49" s="100"/>
      <c r="AYO49" s="100"/>
      <c r="AYP49" s="100"/>
      <c r="AYQ49" s="100"/>
      <c r="AYR49" s="100"/>
      <c r="AYS49" s="100"/>
      <c r="AYT49" s="100"/>
      <c r="AYU49" s="100"/>
      <c r="AYV49" s="100"/>
      <c r="AYW49" s="100"/>
      <c r="AYX49" s="100"/>
      <c r="AYY49" s="100"/>
      <c r="AYZ49" s="100"/>
      <c r="AZA49" s="100"/>
      <c r="AZB49" s="100"/>
      <c r="AZC49" s="100"/>
      <c r="AZD49" s="100"/>
      <c r="AZE49" s="100"/>
      <c r="AZF49" s="100"/>
      <c r="AZG49" s="100"/>
      <c r="AZH49" s="100"/>
      <c r="AZI49" s="100"/>
      <c r="AZJ49" s="100"/>
      <c r="AZK49" s="100"/>
      <c r="AZL49" s="100"/>
      <c r="AZM49" s="100"/>
      <c r="AZN49" s="100"/>
      <c r="AZO49" s="100"/>
      <c r="AZP49" s="100"/>
      <c r="AZQ49" s="100"/>
      <c r="AZR49" s="100"/>
      <c r="AZS49" s="100"/>
      <c r="AZT49" s="100"/>
      <c r="AZU49" s="100"/>
      <c r="AZV49" s="100"/>
      <c r="AZW49" s="100"/>
      <c r="AZX49" s="100"/>
      <c r="AZY49" s="100"/>
      <c r="AZZ49" s="100"/>
      <c r="BAA49" s="100"/>
      <c r="BAB49" s="100"/>
      <c r="BAC49" s="100"/>
      <c r="BAD49" s="100"/>
      <c r="BAE49" s="100"/>
      <c r="BAF49" s="100"/>
      <c r="BAG49" s="100"/>
      <c r="BAH49" s="100"/>
      <c r="BAI49" s="100"/>
      <c r="BAJ49" s="100"/>
      <c r="BAK49" s="100"/>
      <c r="BAL49" s="100"/>
      <c r="BAM49" s="100"/>
      <c r="BAN49" s="100"/>
      <c r="BAO49" s="100"/>
      <c r="BAP49" s="100"/>
      <c r="BAQ49" s="100"/>
      <c r="BAR49" s="100"/>
      <c r="BAS49" s="100"/>
      <c r="BAT49" s="100"/>
      <c r="BAU49" s="100"/>
      <c r="BAV49" s="100"/>
      <c r="BAW49" s="100"/>
      <c r="BAX49" s="100"/>
      <c r="BAY49" s="100"/>
      <c r="BAZ49" s="100"/>
      <c r="BBA49" s="100"/>
      <c r="BBB49" s="100"/>
      <c r="BBC49" s="100"/>
      <c r="BBD49" s="100"/>
      <c r="BBE49" s="100"/>
      <c r="BBF49" s="100"/>
      <c r="BBG49" s="100"/>
      <c r="BBH49" s="100"/>
      <c r="BBI49" s="100"/>
      <c r="BBJ49" s="100"/>
      <c r="BBK49" s="100"/>
      <c r="BBL49" s="100"/>
      <c r="BBM49" s="100"/>
      <c r="BBN49" s="100"/>
      <c r="BBO49" s="100"/>
      <c r="BBP49" s="100"/>
      <c r="BBQ49" s="100"/>
      <c r="BBR49" s="100"/>
      <c r="BBS49" s="100"/>
      <c r="BBT49" s="100"/>
      <c r="BBU49" s="100"/>
      <c r="BBV49" s="100"/>
      <c r="BBW49" s="100"/>
      <c r="BBX49" s="100"/>
      <c r="BBY49" s="100"/>
      <c r="BBZ49" s="100"/>
      <c r="BCA49" s="100"/>
      <c r="BCB49" s="100"/>
      <c r="BCC49" s="100"/>
      <c r="BCD49" s="100"/>
      <c r="BCE49" s="100"/>
      <c r="BCF49" s="100"/>
      <c r="BCG49" s="100"/>
      <c r="BCH49" s="100"/>
      <c r="BCI49" s="100"/>
      <c r="BCJ49" s="100"/>
      <c r="BCK49" s="100"/>
      <c r="BCL49" s="100"/>
      <c r="BCM49" s="100"/>
      <c r="BCN49" s="100"/>
      <c r="BCO49" s="100"/>
      <c r="BCP49" s="100"/>
      <c r="BCQ49" s="100"/>
      <c r="BCR49" s="100"/>
      <c r="BCS49" s="100"/>
      <c r="BCT49" s="100"/>
      <c r="BCU49" s="100"/>
      <c r="BCV49" s="100"/>
      <c r="BCW49" s="100"/>
      <c r="BCX49" s="100"/>
      <c r="BCY49" s="100"/>
      <c r="BCZ49" s="100"/>
      <c r="BDA49" s="100"/>
      <c r="BDB49" s="100"/>
      <c r="BDC49" s="100"/>
      <c r="BDD49" s="100"/>
      <c r="BDE49" s="100"/>
      <c r="BDF49" s="100"/>
      <c r="BDG49" s="100"/>
      <c r="BDH49" s="100"/>
      <c r="BDI49" s="100"/>
      <c r="BDJ49" s="100"/>
      <c r="BDK49" s="100"/>
      <c r="BDL49" s="100"/>
      <c r="BDM49" s="100"/>
      <c r="BDN49" s="100"/>
      <c r="BDO49" s="100"/>
      <c r="BDP49" s="100"/>
      <c r="BDQ49" s="100"/>
      <c r="BDR49" s="100"/>
      <c r="BDS49" s="100"/>
      <c r="BDT49" s="100"/>
      <c r="BDU49" s="100"/>
      <c r="BDV49" s="100"/>
      <c r="BDW49" s="100"/>
      <c r="BDX49" s="100"/>
      <c r="BDY49" s="100"/>
      <c r="BDZ49" s="100"/>
      <c r="BEA49" s="100"/>
      <c r="BEB49" s="100"/>
      <c r="BEC49" s="100"/>
      <c r="BED49" s="100"/>
      <c r="BEE49" s="100"/>
      <c r="BEF49" s="100"/>
      <c r="BEG49" s="100"/>
      <c r="BEH49" s="100"/>
      <c r="BEI49" s="100"/>
      <c r="BEJ49" s="100"/>
      <c r="BEK49" s="100"/>
      <c r="BEL49" s="100"/>
      <c r="BEM49" s="100"/>
      <c r="BEN49" s="100"/>
      <c r="BEO49" s="100"/>
      <c r="BEP49" s="100"/>
      <c r="BEQ49" s="100"/>
      <c r="BER49" s="100"/>
      <c r="BES49" s="100"/>
      <c r="BET49" s="100"/>
      <c r="BEU49" s="100"/>
      <c r="BEV49" s="100"/>
      <c r="BEW49" s="100"/>
      <c r="BEX49" s="100"/>
      <c r="BEY49" s="100"/>
      <c r="BEZ49" s="100"/>
      <c r="BFA49" s="100"/>
      <c r="BFB49" s="100"/>
      <c r="BFC49" s="100"/>
      <c r="BFD49" s="100"/>
      <c r="BFE49" s="100"/>
      <c r="BFF49" s="100"/>
      <c r="BFG49" s="100"/>
      <c r="BFH49" s="100"/>
      <c r="BFI49" s="100"/>
      <c r="BFJ49" s="100"/>
      <c r="BFK49" s="100"/>
      <c r="BFL49" s="100"/>
      <c r="BFM49" s="100"/>
      <c r="BFN49" s="100"/>
      <c r="BFO49" s="100"/>
      <c r="BFP49" s="100"/>
      <c r="BFQ49" s="100"/>
      <c r="BFR49" s="100"/>
      <c r="BFS49" s="100"/>
      <c r="BFT49" s="100"/>
      <c r="BFU49" s="100"/>
      <c r="BFV49" s="100"/>
      <c r="BFW49" s="100"/>
      <c r="BFX49" s="100"/>
      <c r="BFY49" s="100"/>
      <c r="BFZ49" s="100"/>
      <c r="BGA49" s="100"/>
      <c r="BGB49" s="100"/>
      <c r="BGC49" s="100"/>
      <c r="BGD49" s="100"/>
      <c r="BGE49" s="100"/>
      <c r="BGF49" s="100"/>
      <c r="BGG49" s="100"/>
      <c r="BGH49" s="100"/>
      <c r="BGI49" s="100"/>
      <c r="BGJ49" s="100"/>
      <c r="BGK49" s="100"/>
      <c r="BGL49" s="100"/>
      <c r="BGM49" s="100"/>
      <c r="BGN49" s="100"/>
      <c r="BGO49" s="100"/>
      <c r="BGP49" s="100"/>
      <c r="BGQ49" s="100"/>
      <c r="BGR49" s="100"/>
      <c r="BGS49" s="100"/>
      <c r="BGT49" s="100"/>
      <c r="BGU49" s="100"/>
      <c r="BGV49" s="100"/>
      <c r="BGW49" s="100"/>
      <c r="BGX49" s="100"/>
      <c r="BGY49" s="100"/>
      <c r="BGZ49" s="100"/>
      <c r="BHA49" s="100"/>
      <c r="BHB49" s="100"/>
      <c r="BHC49" s="100"/>
      <c r="BHD49" s="100"/>
      <c r="BHE49" s="100"/>
      <c r="BHF49" s="100"/>
      <c r="BHG49" s="100"/>
      <c r="BHH49" s="100"/>
      <c r="BHI49" s="100"/>
      <c r="BHJ49" s="100"/>
      <c r="BHK49" s="100"/>
      <c r="BHL49" s="100"/>
      <c r="BHM49" s="100"/>
      <c r="BHN49" s="100"/>
      <c r="BHO49" s="100"/>
      <c r="BHP49" s="100"/>
      <c r="BHQ49" s="100"/>
      <c r="BHR49" s="100"/>
      <c r="BHS49" s="100"/>
      <c r="BHT49" s="100"/>
      <c r="BHU49" s="100"/>
      <c r="BHV49" s="100"/>
      <c r="BHW49" s="100"/>
      <c r="BHX49" s="100"/>
      <c r="BHY49" s="100"/>
      <c r="BHZ49" s="100"/>
      <c r="BIA49" s="100"/>
      <c r="BIB49" s="100"/>
      <c r="BIC49" s="100"/>
      <c r="BID49" s="100"/>
      <c r="BIE49" s="100"/>
      <c r="BIF49" s="100"/>
      <c r="BIG49" s="100"/>
      <c r="BIH49" s="100"/>
      <c r="BII49" s="100"/>
      <c r="BIJ49" s="100"/>
      <c r="BIK49" s="100"/>
      <c r="BIL49" s="100"/>
      <c r="BIM49" s="100"/>
      <c r="BIN49" s="100"/>
      <c r="BIO49" s="100"/>
      <c r="BIP49" s="100"/>
      <c r="BIQ49" s="100"/>
      <c r="BIR49" s="100"/>
      <c r="BIS49" s="100"/>
      <c r="BIT49" s="100"/>
      <c r="BIU49" s="100"/>
      <c r="BIV49" s="100"/>
      <c r="BIW49" s="100"/>
      <c r="BIX49" s="100"/>
      <c r="BIY49" s="100"/>
      <c r="BIZ49" s="100"/>
      <c r="BJA49" s="100"/>
      <c r="BJB49" s="100"/>
      <c r="BJC49" s="100"/>
      <c r="BJD49" s="100"/>
      <c r="BJE49" s="100"/>
      <c r="BJF49" s="100"/>
      <c r="BJG49" s="100"/>
      <c r="BJH49" s="100"/>
      <c r="BJI49" s="100"/>
      <c r="BJJ49" s="100"/>
      <c r="BJK49" s="100"/>
      <c r="BJL49" s="100"/>
      <c r="BJM49" s="100"/>
      <c r="BJN49" s="100"/>
      <c r="BJO49" s="100"/>
      <c r="BJP49" s="100"/>
      <c r="BJQ49" s="100"/>
      <c r="BJR49" s="100"/>
      <c r="BJS49" s="100"/>
      <c r="BJT49" s="100"/>
      <c r="BJU49" s="100"/>
      <c r="BJV49" s="100"/>
      <c r="BJW49" s="100"/>
      <c r="BJX49" s="100"/>
      <c r="BJY49" s="100"/>
      <c r="BJZ49" s="100"/>
      <c r="BKA49" s="100"/>
      <c r="BKB49" s="100"/>
      <c r="BKC49" s="100"/>
      <c r="BKD49" s="100"/>
      <c r="BKE49" s="100"/>
      <c r="BKF49" s="100"/>
      <c r="BKG49" s="100"/>
      <c r="BKH49" s="100"/>
      <c r="BKI49" s="100"/>
      <c r="BKJ49" s="100"/>
      <c r="BKK49" s="100"/>
      <c r="BKL49" s="100"/>
      <c r="BKM49" s="100"/>
      <c r="BKN49" s="100"/>
      <c r="BKO49" s="100"/>
      <c r="BKP49" s="100"/>
      <c r="BKQ49" s="100"/>
      <c r="BKR49" s="100"/>
      <c r="BKS49" s="100"/>
      <c r="BKT49" s="100"/>
      <c r="BKU49" s="100"/>
      <c r="BKV49" s="100"/>
      <c r="BKW49" s="100"/>
      <c r="BKX49" s="100"/>
      <c r="BKY49" s="100"/>
      <c r="BKZ49" s="100"/>
      <c r="BLA49" s="100"/>
      <c r="BLB49" s="100"/>
      <c r="BLC49" s="100"/>
      <c r="BLD49" s="100"/>
      <c r="BLE49" s="100"/>
      <c r="BLF49" s="100"/>
      <c r="BLG49" s="100"/>
      <c r="BLH49" s="100"/>
      <c r="BLI49" s="100"/>
      <c r="BLJ49" s="100"/>
      <c r="BLK49" s="100"/>
      <c r="BLL49" s="100"/>
      <c r="BLM49" s="100"/>
      <c r="BLN49" s="100"/>
      <c r="BLO49" s="100"/>
      <c r="BLP49" s="100"/>
      <c r="BLQ49" s="100"/>
      <c r="BLR49" s="100"/>
      <c r="BLS49" s="100"/>
      <c r="BLT49" s="100"/>
      <c r="BLU49" s="100"/>
      <c r="BLV49" s="100"/>
      <c r="BLW49" s="100"/>
      <c r="BLX49" s="100"/>
      <c r="BLY49" s="100"/>
      <c r="BLZ49" s="100"/>
      <c r="BMA49" s="100"/>
      <c r="BMB49" s="100"/>
      <c r="BMC49" s="100"/>
      <c r="BMD49" s="100"/>
      <c r="BME49" s="100"/>
      <c r="BMF49" s="100"/>
      <c r="BMG49" s="100"/>
      <c r="BMH49" s="100"/>
      <c r="BMI49" s="100"/>
      <c r="BMJ49" s="100"/>
      <c r="BMK49" s="100"/>
      <c r="BML49" s="100"/>
      <c r="BMM49" s="100"/>
      <c r="BMN49" s="100"/>
      <c r="BMO49" s="100"/>
      <c r="BMP49" s="100"/>
      <c r="BMQ49" s="100"/>
      <c r="BMR49" s="100"/>
      <c r="BMS49" s="100"/>
      <c r="BMT49" s="100"/>
      <c r="BMU49" s="100"/>
      <c r="BMV49" s="100"/>
      <c r="BMW49" s="100"/>
      <c r="BMX49" s="100"/>
      <c r="BMY49" s="100"/>
      <c r="BMZ49" s="100"/>
      <c r="BNA49" s="100"/>
      <c r="BNB49" s="100"/>
      <c r="BNC49" s="100"/>
      <c r="BND49" s="100"/>
      <c r="BNE49" s="100"/>
      <c r="BNF49" s="100"/>
      <c r="BNG49" s="100"/>
      <c r="BNH49" s="100"/>
      <c r="BNI49" s="100"/>
      <c r="BNJ49" s="100"/>
      <c r="BNK49" s="100"/>
      <c r="BNL49" s="100"/>
      <c r="BNM49" s="100"/>
      <c r="BNN49" s="100"/>
      <c r="BNO49" s="100"/>
      <c r="BNP49" s="100"/>
      <c r="BNQ49" s="100"/>
      <c r="BNR49" s="100"/>
      <c r="BNS49" s="100"/>
      <c r="BNT49" s="100"/>
      <c r="BNU49" s="100"/>
      <c r="BNV49" s="100"/>
      <c r="BNW49" s="100"/>
      <c r="BNX49" s="100"/>
      <c r="BNY49" s="100"/>
      <c r="BNZ49" s="100"/>
      <c r="BOA49" s="100"/>
      <c r="BOB49" s="100"/>
      <c r="BOC49" s="100"/>
      <c r="BOD49" s="100"/>
      <c r="BOE49" s="100"/>
      <c r="BOF49" s="100"/>
      <c r="BOG49" s="100"/>
      <c r="BOH49" s="100"/>
      <c r="BOI49" s="100"/>
      <c r="BOJ49" s="100"/>
      <c r="BOK49" s="100"/>
      <c r="BOL49" s="100"/>
      <c r="BOM49" s="100"/>
      <c r="BON49" s="100"/>
      <c r="BOO49" s="100"/>
      <c r="BOP49" s="100"/>
      <c r="BOQ49" s="100"/>
      <c r="BOR49" s="100"/>
      <c r="BOS49" s="100"/>
      <c r="BOT49" s="100"/>
      <c r="BOU49" s="100"/>
      <c r="BOV49" s="100"/>
      <c r="BOW49" s="100"/>
      <c r="BOX49" s="100"/>
      <c r="BOY49" s="100"/>
      <c r="BOZ49" s="100"/>
      <c r="BPA49" s="100"/>
      <c r="BPB49" s="100"/>
      <c r="BPC49" s="100"/>
      <c r="BPD49" s="100"/>
      <c r="BPE49" s="100"/>
      <c r="BPF49" s="100"/>
      <c r="BPG49" s="100"/>
      <c r="BPH49" s="100"/>
      <c r="BPI49" s="100"/>
      <c r="BPJ49" s="100"/>
      <c r="BPK49" s="100"/>
      <c r="BPL49" s="100"/>
      <c r="BPM49" s="100"/>
      <c r="BPN49" s="100"/>
      <c r="BPO49" s="100"/>
      <c r="BPP49" s="100"/>
      <c r="BPQ49" s="100"/>
      <c r="BPR49" s="100"/>
      <c r="BPS49" s="100"/>
      <c r="BPT49" s="100"/>
      <c r="BPU49" s="100"/>
      <c r="BPV49" s="100"/>
      <c r="BPW49" s="100"/>
      <c r="BPX49" s="100"/>
      <c r="BPY49" s="100"/>
      <c r="BPZ49" s="100"/>
      <c r="BQA49" s="100"/>
      <c r="BQB49" s="100"/>
      <c r="BQC49" s="100"/>
      <c r="BQD49" s="100"/>
      <c r="BQE49" s="100"/>
      <c r="BQF49" s="100"/>
      <c r="BQG49" s="100"/>
      <c r="BQH49" s="100"/>
      <c r="BQI49" s="100"/>
      <c r="BQJ49" s="100"/>
      <c r="BQK49" s="100"/>
      <c r="BQL49" s="100"/>
      <c r="BQM49" s="100"/>
      <c r="BQN49" s="100"/>
      <c r="BQO49" s="100"/>
      <c r="BQP49" s="100"/>
      <c r="BQQ49" s="100"/>
      <c r="BQR49" s="100"/>
      <c r="BQS49" s="100"/>
      <c r="BQT49" s="100"/>
      <c r="BQU49" s="100"/>
      <c r="BQV49" s="100"/>
      <c r="BQW49" s="100"/>
      <c r="BQX49" s="100"/>
      <c r="BQY49" s="100"/>
      <c r="BQZ49" s="100"/>
      <c r="BRA49" s="100"/>
      <c r="BRB49" s="100"/>
      <c r="BRC49" s="100"/>
      <c r="BRD49" s="100"/>
      <c r="BRE49" s="100"/>
      <c r="BRF49" s="100"/>
      <c r="BRG49" s="100"/>
      <c r="BRH49" s="100"/>
      <c r="BRI49" s="100"/>
      <c r="BRJ49" s="100"/>
      <c r="BRK49" s="100"/>
      <c r="BRL49" s="100"/>
      <c r="BRM49" s="100"/>
      <c r="BRN49" s="100"/>
      <c r="BRO49" s="100"/>
      <c r="BRP49" s="100"/>
      <c r="BRQ49" s="100"/>
      <c r="BRR49" s="100"/>
      <c r="BRS49" s="100"/>
      <c r="BRT49" s="100"/>
      <c r="BRU49" s="100"/>
      <c r="BRV49" s="100"/>
      <c r="BRW49" s="100"/>
      <c r="BRX49" s="100"/>
      <c r="BRY49" s="100"/>
      <c r="BRZ49" s="100"/>
      <c r="BSA49" s="100"/>
      <c r="BSB49" s="100"/>
      <c r="BSC49" s="100"/>
      <c r="BSD49" s="100"/>
      <c r="BSE49" s="100"/>
      <c r="BSF49" s="100"/>
      <c r="BSG49" s="100"/>
      <c r="BSH49" s="100"/>
      <c r="BSI49" s="100"/>
      <c r="BSJ49" s="100"/>
      <c r="BSK49" s="100"/>
      <c r="BSL49" s="100"/>
      <c r="BSM49" s="100"/>
      <c r="BSN49" s="100"/>
      <c r="BSO49" s="100"/>
      <c r="BSP49" s="100"/>
      <c r="BSQ49" s="100"/>
      <c r="BSR49" s="100"/>
      <c r="BSS49" s="100"/>
      <c r="BST49" s="100"/>
      <c r="BSU49" s="100"/>
      <c r="BSV49" s="100"/>
      <c r="BSW49" s="100"/>
      <c r="BSX49" s="100"/>
      <c r="BSY49" s="100"/>
      <c r="BSZ49" s="100"/>
      <c r="BTA49" s="100"/>
      <c r="BTB49" s="100"/>
      <c r="BTC49" s="100"/>
      <c r="BTD49" s="100"/>
      <c r="BTE49" s="100"/>
      <c r="BTF49" s="100"/>
      <c r="BTG49" s="100"/>
      <c r="BTH49" s="100"/>
      <c r="BTI49" s="100"/>
      <c r="BTJ49" s="100"/>
      <c r="BTK49" s="100"/>
      <c r="BTL49" s="100"/>
      <c r="BTM49" s="100"/>
      <c r="BTN49" s="100"/>
      <c r="BTO49" s="100"/>
      <c r="BTP49" s="100"/>
      <c r="BTQ49" s="100"/>
      <c r="BTR49" s="100"/>
      <c r="BTS49" s="100"/>
      <c r="BTT49" s="100"/>
      <c r="BTU49" s="100"/>
      <c r="BTV49" s="100"/>
      <c r="BTW49" s="100"/>
      <c r="BTX49" s="100"/>
      <c r="BTY49" s="100"/>
      <c r="BTZ49" s="100"/>
      <c r="BUA49" s="100"/>
      <c r="BUB49" s="100"/>
      <c r="BUC49" s="100"/>
      <c r="BUD49" s="100"/>
      <c r="BUE49" s="100"/>
      <c r="BUF49" s="100"/>
      <c r="BUG49" s="100"/>
      <c r="BUH49" s="100"/>
      <c r="BUI49" s="100"/>
      <c r="BUJ49" s="100"/>
      <c r="BUK49" s="100"/>
      <c r="BUL49" s="100"/>
      <c r="BUM49" s="100"/>
      <c r="BUN49" s="100"/>
      <c r="BUO49" s="100"/>
      <c r="BUP49" s="100"/>
      <c r="BUQ49" s="100"/>
      <c r="BUR49" s="100"/>
      <c r="BUS49" s="100"/>
      <c r="BUT49" s="100"/>
      <c r="BUU49" s="100"/>
      <c r="BUV49" s="100"/>
      <c r="BUW49" s="100"/>
      <c r="BUX49" s="100"/>
      <c r="BUY49" s="100"/>
      <c r="BUZ49" s="100"/>
      <c r="BVA49" s="100"/>
      <c r="BVB49" s="100"/>
      <c r="BVC49" s="100"/>
      <c r="BVD49" s="100"/>
      <c r="BVE49" s="100"/>
      <c r="BVF49" s="100"/>
      <c r="BVG49" s="100"/>
      <c r="BVH49" s="100"/>
      <c r="BVI49" s="100"/>
      <c r="BVJ49" s="100"/>
      <c r="BVK49" s="100"/>
      <c r="BVL49" s="100"/>
      <c r="BVM49" s="100"/>
      <c r="BVN49" s="100"/>
      <c r="BVO49" s="100"/>
      <c r="BVP49" s="100"/>
      <c r="BVQ49" s="100"/>
      <c r="BVR49" s="100"/>
      <c r="BVS49" s="100"/>
      <c r="BVT49" s="100"/>
      <c r="BVU49" s="100"/>
      <c r="BVV49" s="100"/>
      <c r="BVW49" s="100"/>
      <c r="BVX49" s="100"/>
      <c r="BVY49" s="100"/>
      <c r="BVZ49" s="100"/>
      <c r="BWA49" s="100"/>
      <c r="BWB49" s="100"/>
      <c r="BWC49" s="100"/>
      <c r="BWD49" s="100"/>
      <c r="BWE49" s="100"/>
      <c r="BWF49" s="100"/>
      <c r="BWG49" s="100"/>
      <c r="BWH49" s="100"/>
      <c r="BWI49" s="100"/>
      <c r="BWJ49" s="100"/>
      <c r="BWK49" s="100"/>
      <c r="BWL49" s="100"/>
      <c r="BWM49" s="100"/>
      <c r="BWN49" s="100"/>
      <c r="BWO49" s="100"/>
      <c r="BWP49" s="100"/>
      <c r="BWQ49" s="100"/>
      <c r="BWR49" s="100"/>
      <c r="BWS49" s="100"/>
      <c r="BWT49" s="100"/>
      <c r="BWU49" s="100"/>
      <c r="BWV49" s="100"/>
      <c r="BWW49" s="100"/>
      <c r="BWX49" s="100"/>
      <c r="BWY49" s="100"/>
      <c r="BWZ49" s="100"/>
      <c r="BXA49" s="100"/>
      <c r="BXB49" s="100"/>
      <c r="BXC49" s="100"/>
      <c r="BXD49" s="100"/>
      <c r="BXE49" s="100"/>
      <c r="BXF49" s="100"/>
      <c r="BXG49" s="100"/>
      <c r="BXH49" s="100"/>
      <c r="BXI49" s="100"/>
      <c r="BXJ49" s="100"/>
      <c r="BXK49" s="100"/>
      <c r="BXL49" s="100"/>
      <c r="BXM49" s="100"/>
      <c r="BXN49" s="100"/>
      <c r="BXO49" s="100"/>
      <c r="BXP49" s="100"/>
      <c r="BXQ49" s="100"/>
      <c r="BXR49" s="100"/>
      <c r="BXS49" s="100"/>
      <c r="BXT49" s="100"/>
      <c r="BXU49" s="100"/>
      <c r="BXV49" s="100"/>
      <c r="BXW49" s="100"/>
      <c r="BXX49" s="100"/>
      <c r="BXY49" s="100"/>
      <c r="BXZ49" s="100"/>
      <c r="BYA49" s="100"/>
      <c r="BYB49" s="100"/>
      <c r="BYC49" s="100"/>
      <c r="BYD49" s="100"/>
      <c r="BYE49" s="100"/>
      <c r="BYF49" s="100"/>
      <c r="BYG49" s="100"/>
    </row>
    <row r="50" spans="1:2009" s="118" customFormat="1" ht="24.95" hidden="1" customHeight="1" x14ac:dyDescent="0.25">
      <c r="A50" s="383"/>
      <c r="B50" s="443" t="s">
        <v>298</v>
      </c>
      <c r="C50" s="470"/>
      <c r="D50" s="470"/>
      <c r="E50" s="470"/>
      <c r="F50" s="447"/>
      <c r="G50" s="694">
        <f>ROUND(SUM(C50:F50),5)</f>
        <v>0</v>
      </c>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c r="AML50" s="100"/>
      <c r="AMM50" s="100"/>
      <c r="AMN50" s="100"/>
      <c r="AMO50" s="100"/>
      <c r="AMP50" s="100"/>
      <c r="AMQ50" s="100"/>
      <c r="AMR50" s="100"/>
      <c r="AMS50" s="100"/>
      <c r="AMT50" s="100"/>
      <c r="AMU50" s="100"/>
      <c r="AMV50" s="100"/>
      <c r="AMW50" s="100"/>
      <c r="AMX50" s="100"/>
      <c r="AMY50" s="100"/>
      <c r="AMZ50" s="100"/>
      <c r="ANA50" s="100"/>
      <c r="ANB50" s="100"/>
      <c r="ANC50" s="100"/>
      <c r="AND50" s="100"/>
      <c r="ANE50" s="100"/>
      <c r="ANF50" s="100"/>
      <c r="ANG50" s="100"/>
      <c r="ANH50" s="100"/>
      <c r="ANI50" s="100"/>
      <c r="ANJ50" s="100"/>
      <c r="ANK50" s="100"/>
      <c r="ANL50" s="100"/>
      <c r="ANM50" s="100"/>
      <c r="ANN50" s="100"/>
      <c r="ANO50" s="100"/>
      <c r="ANP50" s="100"/>
      <c r="ANQ50" s="100"/>
      <c r="ANR50" s="100"/>
      <c r="ANS50" s="100"/>
      <c r="ANT50" s="100"/>
      <c r="ANU50" s="100"/>
      <c r="ANV50" s="100"/>
      <c r="ANW50" s="100"/>
      <c r="ANX50" s="100"/>
      <c r="ANY50" s="100"/>
      <c r="ANZ50" s="100"/>
      <c r="AOA50" s="100"/>
      <c r="AOB50" s="100"/>
      <c r="AOC50" s="100"/>
      <c r="AOD50" s="100"/>
      <c r="AOE50" s="100"/>
      <c r="AOF50" s="100"/>
      <c r="AOG50" s="100"/>
      <c r="AOH50" s="100"/>
      <c r="AOI50" s="100"/>
      <c r="AOJ50" s="100"/>
      <c r="AOK50" s="100"/>
      <c r="AOL50" s="100"/>
      <c r="AOM50" s="100"/>
      <c r="AON50" s="100"/>
      <c r="AOO50" s="100"/>
      <c r="AOP50" s="100"/>
      <c r="AOQ50" s="100"/>
      <c r="AOR50" s="100"/>
      <c r="AOS50" s="100"/>
      <c r="AOT50" s="100"/>
      <c r="AOU50" s="100"/>
      <c r="AOV50" s="100"/>
      <c r="AOW50" s="100"/>
      <c r="AOX50" s="100"/>
      <c r="AOY50" s="100"/>
      <c r="AOZ50" s="100"/>
      <c r="APA50" s="100"/>
      <c r="APB50" s="100"/>
      <c r="APC50" s="100"/>
      <c r="APD50" s="100"/>
      <c r="APE50" s="100"/>
      <c r="APF50" s="100"/>
      <c r="APG50" s="100"/>
      <c r="APH50" s="100"/>
      <c r="API50" s="100"/>
      <c r="APJ50" s="100"/>
      <c r="APK50" s="100"/>
      <c r="APL50" s="100"/>
      <c r="APM50" s="100"/>
      <c r="APN50" s="100"/>
      <c r="APO50" s="100"/>
      <c r="APP50" s="100"/>
      <c r="APQ50" s="100"/>
      <c r="APR50" s="100"/>
      <c r="APS50" s="100"/>
      <c r="APT50" s="100"/>
      <c r="APU50" s="100"/>
      <c r="APV50" s="100"/>
      <c r="APW50" s="100"/>
      <c r="APX50" s="100"/>
      <c r="APY50" s="100"/>
      <c r="APZ50" s="100"/>
      <c r="AQA50" s="100"/>
      <c r="AQB50" s="100"/>
      <c r="AQC50" s="100"/>
      <c r="AQD50" s="100"/>
      <c r="AQE50" s="100"/>
      <c r="AQF50" s="100"/>
      <c r="AQG50" s="100"/>
      <c r="AQH50" s="100"/>
      <c r="AQI50" s="100"/>
      <c r="AQJ50" s="100"/>
      <c r="AQK50" s="100"/>
      <c r="AQL50" s="100"/>
      <c r="AQM50" s="100"/>
      <c r="AQN50" s="100"/>
      <c r="AQO50" s="100"/>
      <c r="AQP50" s="100"/>
      <c r="AQQ50" s="100"/>
      <c r="AQR50" s="100"/>
      <c r="AQS50" s="100"/>
      <c r="AQT50" s="100"/>
      <c r="AQU50" s="100"/>
      <c r="AQV50" s="100"/>
      <c r="AQW50" s="100"/>
      <c r="AQX50" s="100"/>
      <c r="AQY50" s="100"/>
      <c r="AQZ50" s="100"/>
      <c r="ARA50" s="100"/>
      <c r="ARB50" s="100"/>
      <c r="ARC50" s="100"/>
      <c r="ARD50" s="100"/>
      <c r="ARE50" s="100"/>
      <c r="ARF50" s="100"/>
      <c r="ARG50" s="100"/>
      <c r="ARH50" s="100"/>
      <c r="ARI50" s="100"/>
      <c r="ARJ50" s="100"/>
      <c r="ARK50" s="100"/>
      <c r="ARL50" s="100"/>
      <c r="ARM50" s="100"/>
      <c r="ARN50" s="100"/>
      <c r="ARO50" s="100"/>
      <c r="ARP50" s="100"/>
      <c r="ARQ50" s="100"/>
      <c r="ARR50" s="100"/>
      <c r="ARS50" s="100"/>
      <c r="ART50" s="100"/>
      <c r="ARU50" s="100"/>
      <c r="ARV50" s="100"/>
      <c r="ARW50" s="100"/>
      <c r="ARX50" s="100"/>
      <c r="ARY50" s="100"/>
      <c r="ARZ50" s="100"/>
      <c r="ASA50" s="100"/>
      <c r="ASB50" s="100"/>
      <c r="ASC50" s="100"/>
      <c r="ASD50" s="100"/>
      <c r="ASE50" s="100"/>
      <c r="ASF50" s="100"/>
      <c r="ASG50" s="100"/>
      <c r="ASH50" s="100"/>
      <c r="ASI50" s="100"/>
      <c r="ASJ50" s="100"/>
      <c r="ASK50" s="100"/>
      <c r="ASL50" s="100"/>
      <c r="ASM50" s="100"/>
      <c r="ASN50" s="100"/>
      <c r="ASO50" s="100"/>
      <c r="ASP50" s="100"/>
      <c r="ASQ50" s="100"/>
      <c r="ASR50" s="100"/>
      <c r="ASS50" s="100"/>
      <c r="AST50" s="100"/>
      <c r="ASU50" s="100"/>
      <c r="ASV50" s="100"/>
      <c r="ASW50" s="100"/>
      <c r="ASX50" s="100"/>
      <c r="ASY50" s="100"/>
      <c r="ASZ50" s="100"/>
      <c r="ATA50" s="100"/>
      <c r="ATB50" s="100"/>
      <c r="ATC50" s="100"/>
      <c r="ATD50" s="100"/>
      <c r="ATE50" s="100"/>
      <c r="ATF50" s="100"/>
      <c r="ATG50" s="100"/>
      <c r="ATH50" s="100"/>
      <c r="ATI50" s="100"/>
      <c r="ATJ50" s="100"/>
      <c r="ATK50" s="100"/>
      <c r="ATL50" s="100"/>
      <c r="ATM50" s="100"/>
      <c r="ATN50" s="100"/>
      <c r="ATO50" s="100"/>
      <c r="ATP50" s="100"/>
      <c r="ATQ50" s="100"/>
      <c r="ATR50" s="100"/>
      <c r="ATS50" s="100"/>
      <c r="ATT50" s="100"/>
      <c r="ATU50" s="100"/>
      <c r="ATV50" s="100"/>
      <c r="ATW50" s="100"/>
      <c r="ATX50" s="100"/>
      <c r="ATY50" s="100"/>
      <c r="ATZ50" s="100"/>
      <c r="AUA50" s="100"/>
      <c r="AUB50" s="100"/>
      <c r="AUC50" s="100"/>
      <c r="AUD50" s="100"/>
      <c r="AUE50" s="100"/>
      <c r="AUF50" s="100"/>
      <c r="AUG50" s="100"/>
      <c r="AUH50" s="100"/>
      <c r="AUI50" s="100"/>
      <c r="AUJ50" s="100"/>
      <c r="AUK50" s="100"/>
      <c r="AUL50" s="100"/>
      <c r="AUM50" s="100"/>
      <c r="AUN50" s="100"/>
      <c r="AUO50" s="100"/>
      <c r="AUP50" s="100"/>
      <c r="AUQ50" s="100"/>
      <c r="AUR50" s="100"/>
      <c r="AUS50" s="100"/>
      <c r="AUT50" s="100"/>
      <c r="AUU50" s="100"/>
      <c r="AUV50" s="100"/>
      <c r="AUW50" s="100"/>
      <c r="AUX50" s="100"/>
      <c r="AUY50" s="100"/>
      <c r="AUZ50" s="100"/>
      <c r="AVA50" s="100"/>
      <c r="AVB50" s="100"/>
      <c r="AVC50" s="100"/>
      <c r="AVD50" s="100"/>
      <c r="AVE50" s="100"/>
      <c r="AVF50" s="100"/>
      <c r="AVG50" s="100"/>
      <c r="AVH50" s="100"/>
      <c r="AVI50" s="100"/>
      <c r="AVJ50" s="100"/>
      <c r="AVK50" s="100"/>
      <c r="AVL50" s="100"/>
      <c r="AVM50" s="100"/>
      <c r="AVN50" s="100"/>
      <c r="AVO50" s="100"/>
      <c r="AVP50" s="100"/>
      <c r="AVQ50" s="100"/>
      <c r="AVR50" s="100"/>
      <c r="AVS50" s="100"/>
      <c r="AVT50" s="100"/>
      <c r="AVU50" s="100"/>
      <c r="AVV50" s="100"/>
      <c r="AVW50" s="100"/>
      <c r="AVX50" s="100"/>
      <c r="AVY50" s="100"/>
      <c r="AVZ50" s="100"/>
      <c r="AWA50" s="100"/>
      <c r="AWB50" s="100"/>
      <c r="AWC50" s="100"/>
      <c r="AWD50" s="100"/>
      <c r="AWE50" s="100"/>
      <c r="AWF50" s="100"/>
      <c r="AWG50" s="100"/>
      <c r="AWH50" s="100"/>
      <c r="AWI50" s="100"/>
      <c r="AWJ50" s="100"/>
      <c r="AWK50" s="100"/>
      <c r="AWL50" s="100"/>
      <c r="AWM50" s="100"/>
      <c r="AWN50" s="100"/>
      <c r="AWO50" s="100"/>
      <c r="AWP50" s="100"/>
      <c r="AWQ50" s="100"/>
      <c r="AWR50" s="100"/>
      <c r="AWS50" s="100"/>
      <c r="AWT50" s="100"/>
      <c r="AWU50" s="100"/>
      <c r="AWV50" s="100"/>
      <c r="AWW50" s="100"/>
      <c r="AWX50" s="100"/>
      <c r="AWY50" s="100"/>
      <c r="AWZ50" s="100"/>
      <c r="AXA50" s="100"/>
      <c r="AXB50" s="100"/>
      <c r="AXC50" s="100"/>
      <c r="AXD50" s="100"/>
      <c r="AXE50" s="100"/>
      <c r="AXF50" s="100"/>
      <c r="AXG50" s="100"/>
      <c r="AXH50" s="100"/>
      <c r="AXI50" s="100"/>
      <c r="AXJ50" s="100"/>
      <c r="AXK50" s="100"/>
      <c r="AXL50" s="100"/>
      <c r="AXM50" s="100"/>
      <c r="AXN50" s="100"/>
      <c r="AXO50" s="100"/>
      <c r="AXP50" s="100"/>
      <c r="AXQ50" s="100"/>
      <c r="AXR50" s="100"/>
      <c r="AXS50" s="100"/>
      <c r="AXT50" s="100"/>
      <c r="AXU50" s="100"/>
      <c r="AXV50" s="100"/>
      <c r="AXW50" s="100"/>
      <c r="AXX50" s="100"/>
      <c r="AXY50" s="100"/>
      <c r="AXZ50" s="100"/>
      <c r="AYA50" s="100"/>
      <c r="AYB50" s="100"/>
      <c r="AYC50" s="100"/>
      <c r="AYD50" s="100"/>
      <c r="AYE50" s="100"/>
      <c r="AYF50" s="100"/>
      <c r="AYG50" s="100"/>
      <c r="AYH50" s="100"/>
      <c r="AYI50" s="100"/>
      <c r="AYJ50" s="100"/>
      <c r="AYK50" s="100"/>
      <c r="AYL50" s="100"/>
      <c r="AYM50" s="100"/>
      <c r="AYN50" s="100"/>
      <c r="AYO50" s="100"/>
      <c r="AYP50" s="100"/>
      <c r="AYQ50" s="100"/>
      <c r="AYR50" s="100"/>
      <c r="AYS50" s="100"/>
      <c r="AYT50" s="100"/>
      <c r="AYU50" s="100"/>
      <c r="AYV50" s="100"/>
      <c r="AYW50" s="100"/>
      <c r="AYX50" s="100"/>
      <c r="AYY50" s="100"/>
      <c r="AYZ50" s="100"/>
      <c r="AZA50" s="100"/>
      <c r="AZB50" s="100"/>
      <c r="AZC50" s="100"/>
      <c r="AZD50" s="100"/>
      <c r="AZE50" s="100"/>
      <c r="AZF50" s="100"/>
      <c r="AZG50" s="100"/>
      <c r="AZH50" s="100"/>
      <c r="AZI50" s="100"/>
      <c r="AZJ50" s="100"/>
      <c r="AZK50" s="100"/>
      <c r="AZL50" s="100"/>
      <c r="AZM50" s="100"/>
      <c r="AZN50" s="100"/>
      <c r="AZO50" s="100"/>
      <c r="AZP50" s="100"/>
      <c r="AZQ50" s="100"/>
      <c r="AZR50" s="100"/>
      <c r="AZS50" s="100"/>
      <c r="AZT50" s="100"/>
      <c r="AZU50" s="100"/>
      <c r="AZV50" s="100"/>
      <c r="AZW50" s="100"/>
      <c r="AZX50" s="100"/>
      <c r="AZY50" s="100"/>
      <c r="AZZ50" s="100"/>
      <c r="BAA50" s="100"/>
      <c r="BAB50" s="100"/>
      <c r="BAC50" s="100"/>
      <c r="BAD50" s="100"/>
      <c r="BAE50" s="100"/>
      <c r="BAF50" s="100"/>
      <c r="BAG50" s="100"/>
      <c r="BAH50" s="100"/>
      <c r="BAI50" s="100"/>
      <c r="BAJ50" s="100"/>
      <c r="BAK50" s="100"/>
      <c r="BAL50" s="100"/>
      <c r="BAM50" s="100"/>
      <c r="BAN50" s="100"/>
      <c r="BAO50" s="100"/>
      <c r="BAP50" s="100"/>
      <c r="BAQ50" s="100"/>
      <c r="BAR50" s="100"/>
      <c r="BAS50" s="100"/>
      <c r="BAT50" s="100"/>
      <c r="BAU50" s="100"/>
      <c r="BAV50" s="100"/>
      <c r="BAW50" s="100"/>
      <c r="BAX50" s="100"/>
      <c r="BAY50" s="100"/>
      <c r="BAZ50" s="100"/>
      <c r="BBA50" s="100"/>
      <c r="BBB50" s="100"/>
      <c r="BBC50" s="100"/>
      <c r="BBD50" s="100"/>
      <c r="BBE50" s="100"/>
      <c r="BBF50" s="100"/>
      <c r="BBG50" s="100"/>
      <c r="BBH50" s="100"/>
      <c r="BBI50" s="100"/>
      <c r="BBJ50" s="100"/>
      <c r="BBK50" s="100"/>
      <c r="BBL50" s="100"/>
      <c r="BBM50" s="100"/>
      <c r="BBN50" s="100"/>
      <c r="BBO50" s="100"/>
      <c r="BBP50" s="100"/>
      <c r="BBQ50" s="100"/>
      <c r="BBR50" s="100"/>
      <c r="BBS50" s="100"/>
      <c r="BBT50" s="100"/>
      <c r="BBU50" s="100"/>
      <c r="BBV50" s="100"/>
      <c r="BBW50" s="100"/>
      <c r="BBX50" s="100"/>
      <c r="BBY50" s="100"/>
      <c r="BBZ50" s="100"/>
      <c r="BCA50" s="100"/>
      <c r="BCB50" s="100"/>
      <c r="BCC50" s="100"/>
      <c r="BCD50" s="100"/>
      <c r="BCE50" s="100"/>
      <c r="BCF50" s="100"/>
      <c r="BCG50" s="100"/>
      <c r="BCH50" s="100"/>
      <c r="BCI50" s="100"/>
      <c r="BCJ50" s="100"/>
      <c r="BCK50" s="100"/>
      <c r="BCL50" s="100"/>
      <c r="BCM50" s="100"/>
      <c r="BCN50" s="100"/>
      <c r="BCO50" s="100"/>
      <c r="BCP50" s="100"/>
      <c r="BCQ50" s="100"/>
      <c r="BCR50" s="100"/>
      <c r="BCS50" s="100"/>
      <c r="BCT50" s="100"/>
      <c r="BCU50" s="100"/>
      <c r="BCV50" s="100"/>
      <c r="BCW50" s="100"/>
      <c r="BCX50" s="100"/>
      <c r="BCY50" s="100"/>
      <c r="BCZ50" s="100"/>
      <c r="BDA50" s="100"/>
      <c r="BDB50" s="100"/>
      <c r="BDC50" s="100"/>
      <c r="BDD50" s="100"/>
      <c r="BDE50" s="100"/>
      <c r="BDF50" s="100"/>
      <c r="BDG50" s="100"/>
      <c r="BDH50" s="100"/>
      <c r="BDI50" s="100"/>
      <c r="BDJ50" s="100"/>
      <c r="BDK50" s="100"/>
      <c r="BDL50" s="100"/>
      <c r="BDM50" s="100"/>
      <c r="BDN50" s="100"/>
      <c r="BDO50" s="100"/>
      <c r="BDP50" s="100"/>
      <c r="BDQ50" s="100"/>
      <c r="BDR50" s="100"/>
      <c r="BDS50" s="100"/>
      <c r="BDT50" s="100"/>
      <c r="BDU50" s="100"/>
      <c r="BDV50" s="100"/>
      <c r="BDW50" s="100"/>
      <c r="BDX50" s="100"/>
      <c r="BDY50" s="100"/>
      <c r="BDZ50" s="100"/>
      <c r="BEA50" s="100"/>
      <c r="BEB50" s="100"/>
      <c r="BEC50" s="100"/>
      <c r="BED50" s="100"/>
      <c r="BEE50" s="100"/>
      <c r="BEF50" s="100"/>
      <c r="BEG50" s="100"/>
      <c r="BEH50" s="100"/>
      <c r="BEI50" s="100"/>
      <c r="BEJ50" s="100"/>
      <c r="BEK50" s="100"/>
      <c r="BEL50" s="100"/>
      <c r="BEM50" s="100"/>
      <c r="BEN50" s="100"/>
      <c r="BEO50" s="100"/>
      <c r="BEP50" s="100"/>
      <c r="BEQ50" s="100"/>
      <c r="BER50" s="100"/>
      <c r="BES50" s="100"/>
      <c r="BET50" s="100"/>
      <c r="BEU50" s="100"/>
      <c r="BEV50" s="100"/>
      <c r="BEW50" s="100"/>
      <c r="BEX50" s="100"/>
      <c r="BEY50" s="100"/>
      <c r="BEZ50" s="100"/>
      <c r="BFA50" s="100"/>
      <c r="BFB50" s="100"/>
      <c r="BFC50" s="100"/>
      <c r="BFD50" s="100"/>
      <c r="BFE50" s="100"/>
      <c r="BFF50" s="100"/>
      <c r="BFG50" s="100"/>
      <c r="BFH50" s="100"/>
      <c r="BFI50" s="100"/>
      <c r="BFJ50" s="100"/>
      <c r="BFK50" s="100"/>
      <c r="BFL50" s="100"/>
      <c r="BFM50" s="100"/>
      <c r="BFN50" s="100"/>
      <c r="BFO50" s="100"/>
      <c r="BFP50" s="100"/>
      <c r="BFQ50" s="100"/>
      <c r="BFR50" s="100"/>
      <c r="BFS50" s="100"/>
      <c r="BFT50" s="100"/>
      <c r="BFU50" s="100"/>
      <c r="BFV50" s="100"/>
      <c r="BFW50" s="100"/>
      <c r="BFX50" s="100"/>
      <c r="BFY50" s="100"/>
      <c r="BFZ50" s="100"/>
      <c r="BGA50" s="100"/>
      <c r="BGB50" s="100"/>
      <c r="BGC50" s="100"/>
      <c r="BGD50" s="100"/>
      <c r="BGE50" s="100"/>
      <c r="BGF50" s="100"/>
      <c r="BGG50" s="100"/>
      <c r="BGH50" s="100"/>
      <c r="BGI50" s="100"/>
      <c r="BGJ50" s="100"/>
      <c r="BGK50" s="100"/>
      <c r="BGL50" s="100"/>
      <c r="BGM50" s="100"/>
      <c r="BGN50" s="100"/>
      <c r="BGO50" s="100"/>
      <c r="BGP50" s="100"/>
      <c r="BGQ50" s="100"/>
      <c r="BGR50" s="100"/>
      <c r="BGS50" s="100"/>
      <c r="BGT50" s="100"/>
      <c r="BGU50" s="100"/>
      <c r="BGV50" s="100"/>
      <c r="BGW50" s="100"/>
      <c r="BGX50" s="100"/>
      <c r="BGY50" s="100"/>
      <c r="BGZ50" s="100"/>
      <c r="BHA50" s="100"/>
      <c r="BHB50" s="100"/>
      <c r="BHC50" s="100"/>
      <c r="BHD50" s="100"/>
      <c r="BHE50" s="100"/>
      <c r="BHF50" s="100"/>
      <c r="BHG50" s="100"/>
      <c r="BHH50" s="100"/>
      <c r="BHI50" s="100"/>
      <c r="BHJ50" s="100"/>
      <c r="BHK50" s="100"/>
      <c r="BHL50" s="100"/>
      <c r="BHM50" s="100"/>
      <c r="BHN50" s="100"/>
      <c r="BHO50" s="100"/>
      <c r="BHP50" s="100"/>
      <c r="BHQ50" s="100"/>
      <c r="BHR50" s="100"/>
      <c r="BHS50" s="100"/>
      <c r="BHT50" s="100"/>
      <c r="BHU50" s="100"/>
      <c r="BHV50" s="100"/>
      <c r="BHW50" s="100"/>
      <c r="BHX50" s="100"/>
      <c r="BHY50" s="100"/>
      <c r="BHZ50" s="100"/>
      <c r="BIA50" s="100"/>
      <c r="BIB50" s="100"/>
      <c r="BIC50" s="100"/>
      <c r="BID50" s="100"/>
      <c r="BIE50" s="100"/>
      <c r="BIF50" s="100"/>
      <c r="BIG50" s="100"/>
      <c r="BIH50" s="100"/>
      <c r="BII50" s="100"/>
      <c r="BIJ50" s="100"/>
      <c r="BIK50" s="100"/>
      <c r="BIL50" s="100"/>
      <c r="BIM50" s="100"/>
      <c r="BIN50" s="100"/>
      <c r="BIO50" s="100"/>
      <c r="BIP50" s="100"/>
      <c r="BIQ50" s="100"/>
      <c r="BIR50" s="100"/>
      <c r="BIS50" s="100"/>
      <c r="BIT50" s="100"/>
      <c r="BIU50" s="100"/>
      <c r="BIV50" s="100"/>
      <c r="BIW50" s="100"/>
      <c r="BIX50" s="100"/>
      <c r="BIY50" s="100"/>
      <c r="BIZ50" s="100"/>
      <c r="BJA50" s="100"/>
      <c r="BJB50" s="100"/>
      <c r="BJC50" s="100"/>
      <c r="BJD50" s="100"/>
      <c r="BJE50" s="100"/>
      <c r="BJF50" s="100"/>
      <c r="BJG50" s="100"/>
      <c r="BJH50" s="100"/>
      <c r="BJI50" s="100"/>
      <c r="BJJ50" s="100"/>
      <c r="BJK50" s="100"/>
      <c r="BJL50" s="100"/>
      <c r="BJM50" s="100"/>
      <c r="BJN50" s="100"/>
      <c r="BJO50" s="100"/>
      <c r="BJP50" s="100"/>
      <c r="BJQ50" s="100"/>
      <c r="BJR50" s="100"/>
      <c r="BJS50" s="100"/>
      <c r="BJT50" s="100"/>
      <c r="BJU50" s="100"/>
      <c r="BJV50" s="100"/>
      <c r="BJW50" s="100"/>
      <c r="BJX50" s="100"/>
      <c r="BJY50" s="100"/>
      <c r="BJZ50" s="100"/>
      <c r="BKA50" s="100"/>
      <c r="BKB50" s="100"/>
      <c r="BKC50" s="100"/>
      <c r="BKD50" s="100"/>
      <c r="BKE50" s="100"/>
      <c r="BKF50" s="100"/>
      <c r="BKG50" s="100"/>
      <c r="BKH50" s="100"/>
      <c r="BKI50" s="100"/>
      <c r="BKJ50" s="100"/>
      <c r="BKK50" s="100"/>
      <c r="BKL50" s="100"/>
      <c r="BKM50" s="100"/>
      <c r="BKN50" s="100"/>
      <c r="BKO50" s="100"/>
      <c r="BKP50" s="100"/>
      <c r="BKQ50" s="100"/>
      <c r="BKR50" s="100"/>
      <c r="BKS50" s="100"/>
      <c r="BKT50" s="100"/>
      <c r="BKU50" s="100"/>
      <c r="BKV50" s="100"/>
      <c r="BKW50" s="100"/>
      <c r="BKX50" s="100"/>
      <c r="BKY50" s="100"/>
      <c r="BKZ50" s="100"/>
      <c r="BLA50" s="100"/>
      <c r="BLB50" s="100"/>
      <c r="BLC50" s="100"/>
      <c r="BLD50" s="100"/>
      <c r="BLE50" s="100"/>
      <c r="BLF50" s="100"/>
      <c r="BLG50" s="100"/>
      <c r="BLH50" s="100"/>
      <c r="BLI50" s="100"/>
      <c r="BLJ50" s="100"/>
      <c r="BLK50" s="100"/>
      <c r="BLL50" s="100"/>
      <c r="BLM50" s="100"/>
      <c r="BLN50" s="100"/>
      <c r="BLO50" s="100"/>
      <c r="BLP50" s="100"/>
      <c r="BLQ50" s="100"/>
      <c r="BLR50" s="100"/>
      <c r="BLS50" s="100"/>
      <c r="BLT50" s="100"/>
      <c r="BLU50" s="100"/>
      <c r="BLV50" s="100"/>
      <c r="BLW50" s="100"/>
      <c r="BLX50" s="100"/>
      <c r="BLY50" s="100"/>
      <c r="BLZ50" s="100"/>
      <c r="BMA50" s="100"/>
      <c r="BMB50" s="100"/>
      <c r="BMC50" s="100"/>
      <c r="BMD50" s="100"/>
      <c r="BME50" s="100"/>
      <c r="BMF50" s="100"/>
      <c r="BMG50" s="100"/>
      <c r="BMH50" s="100"/>
      <c r="BMI50" s="100"/>
      <c r="BMJ50" s="100"/>
      <c r="BMK50" s="100"/>
      <c r="BML50" s="100"/>
      <c r="BMM50" s="100"/>
      <c r="BMN50" s="100"/>
      <c r="BMO50" s="100"/>
      <c r="BMP50" s="100"/>
      <c r="BMQ50" s="100"/>
      <c r="BMR50" s="100"/>
      <c r="BMS50" s="100"/>
      <c r="BMT50" s="100"/>
      <c r="BMU50" s="100"/>
      <c r="BMV50" s="100"/>
      <c r="BMW50" s="100"/>
      <c r="BMX50" s="100"/>
      <c r="BMY50" s="100"/>
      <c r="BMZ50" s="100"/>
      <c r="BNA50" s="100"/>
      <c r="BNB50" s="100"/>
      <c r="BNC50" s="100"/>
      <c r="BND50" s="100"/>
      <c r="BNE50" s="100"/>
      <c r="BNF50" s="100"/>
      <c r="BNG50" s="100"/>
      <c r="BNH50" s="100"/>
      <c r="BNI50" s="100"/>
      <c r="BNJ50" s="100"/>
      <c r="BNK50" s="100"/>
      <c r="BNL50" s="100"/>
      <c r="BNM50" s="100"/>
      <c r="BNN50" s="100"/>
      <c r="BNO50" s="100"/>
      <c r="BNP50" s="100"/>
      <c r="BNQ50" s="100"/>
      <c r="BNR50" s="100"/>
      <c r="BNS50" s="100"/>
      <c r="BNT50" s="100"/>
      <c r="BNU50" s="100"/>
      <c r="BNV50" s="100"/>
      <c r="BNW50" s="100"/>
      <c r="BNX50" s="100"/>
      <c r="BNY50" s="100"/>
      <c r="BNZ50" s="100"/>
      <c r="BOA50" s="100"/>
      <c r="BOB50" s="100"/>
      <c r="BOC50" s="100"/>
      <c r="BOD50" s="100"/>
      <c r="BOE50" s="100"/>
      <c r="BOF50" s="100"/>
      <c r="BOG50" s="100"/>
      <c r="BOH50" s="100"/>
      <c r="BOI50" s="100"/>
      <c r="BOJ50" s="100"/>
      <c r="BOK50" s="100"/>
      <c r="BOL50" s="100"/>
      <c r="BOM50" s="100"/>
      <c r="BON50" s="100"/>
      <c r="BOO50" s="100"/>
      <c r="BOP50" s="100"/>
      <c r="BOQ50" s="100"/>
      <c r="BOR50" s="100"/>
      <c r="BOS50" s="100"/>
      <c r="BOT50" s="100"/>
      <c r="BOU50" s="100"/>
      <c r="BOV50" s="100"/>
      <c r="BOW50" s="100"/>
      <c r="BOX50" s="100"/>
      <c r="BOY50" s="100"/>
      <c r="BOZ50" s="100"/>
      <c r="BPA50" s="100"/>
      <c r="BPB50" s="100"/>
      <c r="BPC50" s="100"/>
      <c r="BPD50" s="100"/>
      <c r="BPE50" s="100"/>
      <c r="BPF50" s="100"/>
      <c r="BPG50" s="100"/>
      <c r="BPH50" s="100"/>
      <c r="BPI50" s="100"/>
      <c r="BPJ50" s="100"/>
      <c r="BPK50" s="100"/>
      <c r="BPL50" s="100"/>
      <c r="BPM50" s="100"/>
      <c r="BPN50" s="100"/>
      <c r="BPO50" s="100"/>
      <c r="BPP50" s="100"/>
      <c r="BPQ50" s="100"/>
      <c r="BPR50" s="100"/>
      <c r="BPS50" s="100"/>
      <c r="BPT50" s="100"/>
      <c r="BPU50" s="100"/>
      <c r="BPV50" s="100"/>
      <c r="BPW50" s="100"/>
      <c r="BPX50" s="100"/>
      <c r="BPY50" s="100"/>
      <c r="BPZ50" s="100"/>
      <c r="BQA50" s="100"/>
      <c r="BQB50" s="100"/>
      <c r="BQC50" s="100"/>
      <c r="BQD50" s="100"/>
      <c r="BQE50" s="100"/>
      <c r="BQF50" s="100"/>
      <c r="BQG50" s="100"/>
      <c r="BQH50" s="100"/>
      <c r="BQI50" s="100"/>
      <c r="BQJ50" s="100"/>
      <c r="BQK50" s="100"/>
      <c r="BQL50" s="100"/>
      <c r="BQM50" s="100"/>
      <c r="BQN50" s="100"/>
      <c r="BQO50" s="100"/>
      <c r="BQP50" s="100"/>
      <c r="BQQ50" s="100"/>
      <c r="BQR50" s="100"/>
      <c r="BQS50" s="100"/>
      <c r="BQT50" s="100"/>
      <c r="BQU50" s="100"/>
      <c r="BQV50" s="100"/>
      <c r="BQW50" s="100"/>
      <c r="BQX50" s="100"/>
      <c r="BQY50" s="100"/>
      <c r="BQZ50" s="100"/>
      <c r="BRA50" s="100"/>
      <c r="BRB50" s="100"/>
      <c r="BRC50" s="100"/>
      <c r="BRD50" s="100"/>
      <c r="BRE50" s="100"/>
      <c r="BRF50" s="100"/>
      <c r="BRG50" s="100"/>
      <c r="BRH50" s="100"/>
      <c r="BRI50" s="100"/>
      <c r="BRJ50" s="100"/>
      <c r="BRK50" s="100"/>
      <c r="BRL50" s="100"/>
      <c r="BRM50" s="100"/>
      <c r="BRN50" s="100"/>
      <c r="BRO50" s="100"/>
      <c r="BRP50" s="100"/>
      <c r="BRQ50" s="100"/>
      <c r="BRR50" s="100"/>
      <c r="BRS50" s="100"/>
      <c r="BRT50" s="100"/>
      <c r="BRU50" s="100"/>
      <c r="BRV50" s="100"/>
      <c r="BRW50" s="100"/>
      <c r="BRX50" s="100"/>
      <c r="BRY50" s="100"/>
      <c r="BRZ50" s="100"/>
      <c r="BSA50" s="100"/>
      <c r="BSB50" s="100"/>
      <c r="BSC50" s="100"/>
      <c r="BSD50" s="100"/>
      <c r="BSE50" s="100"/>
      <c r="BSF50" s="100"/>
      <c r="BSG50" s="100"/>
      <c r="BSH50" s="100"/>
      <c r="BSI50" s="100"/>
      <c r="BSJ50" s="100"/>
      <c r="BSK50" s="100"/>
      <c r="BSL50" s="100"/>
      <c r="BSM50" s="100"/>
      <c r="BSN50" s="100"/>
      <c r="BSO50" s="100"/>
      <c r="BSP50" s="100"/>
      <c r="BSQ50" s="100"/>
      <c r="BSR50" s="100"/>
      <c r="BSS50" s="100"/>
      <c r="BST50" s="100"/>
      <c r="BSU50" s="100"/>
      <c r="BSV50" s="100"/>
      <c r="BSW50" s="100"/>
      <c r="BSX50" s="100"/>
      <c r="BSY50" s="100"/>
      <c r="BSZ50" s="100"/>
      <c r="BTA50" s="100"/>
      <c r="BTB50" s="100"/>
      <c r="BTC50" s="100"/>
      <c r="BTD50" s="100"/>
      <c r="BTE50" s="100"/>
      <c r="BTF50" s="100"/>
      <c r="BTG50" s="100"/>
      <c r="BTH50" s="100"/>
      <c r="BTI50" s="100"/>
      <c r="BTJ50" s="100"/>
      <c r="BTK50" s="100"/>
      <c r="BTL50" s="100"/>
      <c r="BTM50" s="100"/>
      <c r="BTN50" s="100"/>
      <c r="BTO50" s="100"/>
      <c r="BTP50" s="100"/>
      <c r="BTQ50" s="100"/>
      <c r="BTR50" s="100"/>
      <c r="BTS50" s="100"/>
      <c r="BTT50" s="100"/>
      <c r="BTU50" s="100"/>
      <c r="BTV50" s="100"/>
      <c r="BTW50" s="100"/>
      <c r="BTX50" s="100"/>
      <c r="BTY50" s="100"/>
      <c r="BTZ50" s="100"/>
      <c r="BUA50" s="100"/>
      <c r="BUB50" s="100"/>
      <c r="BUC50" s="100"/>
      <c r="BUD50" s="100"/>
      <c r="BUE50" s="100"/>
      <c r="BUF50" s="100"/>
      <c r="BUG50" s="100"/>
      <c r="BUH50" s="100"/>
      <c r="BUI50" s="100"/>
      <c r="BUJ50" s="100"/>
      <c r="BUK50" s="100"/>
      <c r="BUL50" s="100"/>
      <c r="BUM50" s="100"/>
      <c r="BUN50" s="100"/>
      <c r="BUO50" s="100"/>
      <c r="BUP50" s="100"/>
      <c r="BUQ50" s="100"/>
      <c r="BUR50" s="100"/>
      <c r="BUS50" s="100"/>
      <c r="BUT50" s="100"/>
      <c r="BUU50" s="100"/>
      <c r="BUV50" s="100"/>
      <c r="BUW50" s="100"/>
      <c r="BUX50" s="100"/>
      <c r="BUY50" s="100"/>
      <c r="BUZ50" s="100"/>
      <c r="BVA50" s="100"/>
      <c r="BVB50" s="100"/>
      <c r="BVC50" s="100"/>
      <c r="BVD50" s="100"/>
      <c r="BVE50" s="100"/>
      <c r="BVF50" s="100"/>
      <c r="BVG50" s="100"/>
      <c r="BVH50" s="100"/>
      <c r="BVI50" s="100"/>
      <c r="BVJ50" s="100"/>
      <c r="BVK50" s="100"/>
      <c r="BVL50" s="100"/>
      <c r="BVM50" s="100"/>
      <c r="BVN50" s="100"/>
      <c r="BVO50" s="100"/>
      <c r="BVP50" s="100"/>
      <c r="BVQ50" s="100"/>
      <c r="BVR50" s="100"/>
      <c r="BVS50" s="100"/>
      <c r="BVT50" s="100"/>
      <c r="BVU50" s="100"/>
      <c r="BVV50" s="100"/>
      <c r="BVW50" s="100"/>
      <c r="BVX50" s="100"/>
      <c r="BVY50" s="100"/>
      <c r="BVZ50" s="100"/>
      <c r="BWA50" s="100"/>
      <c r="BWB50" s="100"/>
      <c r="BWC50" s="100"/>
      <c r="BWD50" s="100"/>
      <c r="BWE50" s="100"/>
      <c r="BWF50" s="100"/>
      <c r="BWG50" s="100"/>
      <c r="BWH50" s="100"/>
      <c r="BWI50" s="100"/>
      <c r="BWJ50" s="100"/>
      <c r="BWK50" s="100"/>
      <c r="BWL50" s="100"/>
      <c r="BWM50" s="100"/>
      <c r="BWN50" s="100"/>
      <c r="BWO50" s="100"/>
      <c r="BWP50" s="100"/>
      <c r="BWQ50" s="100"/>
      <c r="BWR50" s="100"/>
      <c r="BWS50" s="100"/>
      <c r="BWT50" s="100"/>
      <c r="BWU50" s="100"/>
      <c r="BWV50" s="100"/>
      <c r="BWW50" s="100"/>
      <c r="BWX50" s="100"/>
      <c r="BWY50" s="100"/>
      <c r="BWZ50" s="100"/>
      <c r="BXA50" s="100"/>
      <c r="BXB50" s="100"/>
      <c r="BXC50" s="100"/>
      <c r="BXD50" s="100"/>
      <c r="BXE50" s="100"/>
      <c r="BXF50" s="100"/>
      <c r="BXG50" s="100"/>
      <c r="BXH50" s="100"/>
      <c r="BXI50" s="100"/>
      <c r="BXJ50" s="100"/>
      <c r="BXK50" s="100"/>
      <c r="BXL50" s="100"/>
      <c r="BXM50" s="100"/>
      <c r="BXN50" s="100"/>
      <c r="BXO50" s="100"/>
      <c r="BXP50" s="100"/>
      <c r="BXQ50" s="100"/>
      <c r="BXR50" s="100"/>
      <c r="BXS50" s="100"/>
      <c r="BXT50" s="100"/>
      <c r="BXU50" s="100"/>
      <c r="BXV50" s="100"/>
      <c r="BXW50" s="100"/>
      <c r="BXX50" s="100"/>
      <c r="BXY50" s="100"/>
      <c r="BXZ50" s="100"/>
      <c r="BYA50" s="100"/>
      <c r="BYB50" s="100"/>
      <c r="BYC50" s="100"/>
      <c r="BYD50" s="100"/>
      <c r="BYE50" s="100"/>
      <c r="BYF50" s="100"/>
      <c r="BYG50" s="100"/>
    </row>
    <row r="51" spans="1:2009" s="227" customFormat="1" ht="24.95" customHeight="1" thickBot="1" x14ac:dyDescent="0.3">
      <c r="A51" s="226"/>
      <c r="B51" s="444" t="s">
        <v>201</v>
      </c>
      <c r="C51" s="439">
        <f>SUM(C46:C50)</f>
        <v>13761.25</v>
      </c>
      <c r="D51" s="439">
        <f t="shared" ref="D51:E51" si="1">SUM(D46:D50)</f>
        <v>8996.0400000000009</v>
      </c>
      <c r="E51" s="439">
        <f t="shared" si="1"/>
        <v>10739.81</v>
      </c>
      <c r="F51" s="439"/>
      <c r="G51" s="695">
        <f>ROUND(SUM(C51:F51),5)</f>
        <v>33497.1</v>
      </c>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c r="IW51" s="198"/>
      <c r="IX51" s="198"/>
      <c r="IY51" s="198"/>
      <c r="IZ51" s="198"/>
      <c r="JA51" s="198"/>
      <c r="JB51" s="198"/>
      <c r="JC51" s="198"/>
      <c r="JD51" s="198"/>
      <c r="JE51" s="198"/>
      <c r="JF51" s="198"/>
      <c r="JG51" s="198"/>
      <c r="JH51" s="198"/>
      <c r="JI51" s="198"/>
      <c r="JJ51" s="198"/>
      <c r="JK51" s="198"/>
      <c r="JL51" s="198"/>
      <c r="JM51" s="198"/>
      <c r="JN51" s="198"/>
      <c r="JO51" s="198"/>
      <c r="JP51" s="198"/>
      <c r="JQ51" s="198"/>
      <c r="JR51" s="198"/>
      <c r="JS51" s="198"/>
      <c r="JT51" s="198"/>
      <c r="JU51" s="198"/>
      <c r="JV51" s="198"/>
      <c r="JW51" s="198"/>
      <c r="JX51" s="198"/>
      <c r="JY51" s="198"/>
      <c r="JZ51" s="198"/>
      <c r="KA51" s="198"/>
      <c r="KB51" s="198"/>
      <c r="KC51" s="198"/>
      <c r="KD51" s="198"/>
      <c r="KE51" s="198"/>
      <c r="KF51" s="198"/>
      <c r="KG51" s="198"/>
      <c r="KH51" s="198"/>
      <c r="KI51" s="198"/>
      <c r="KJ51" s="198"/>
      <c r="KK51" s="198"/>
      <c r="KL51" s="198"/>
      <c r="KM51" s="198"/>
      <c r="KN51" s="198"/>
      <c r="KO51" s="198"/>
      <c r="KP51" s="198"/>
      <c r="KQ51" s="198"/>
      <c r="KR51" s="198"/>
      <c r="KS51" s="198"/>
      <c r="KT51" s="198"/>
      <c r="KU51" s="198"/>
      <c r="KV51" s="198"/>
      <c r="KW51" s="198"/>
      <c r="KX51" s="198"/>
      <c r="KY51" s="198"/>
      <c r="KZ51" s="198"/>
      <c r="LA51" s="198"/>
      <c r="LB51" s="198"/>
      <c r="LC51" s="198"/>
      <c r="LD51" s="198"/>
      <c r="LE51" s="198"/>
      <c r="LF51" s="198"/>
      <c r="LG51" s="198"/>
      <c r="LH51" s="198"/>
      <c r="LI51" s="198"/>
      <c r="LJ51" s="198"/>
      <c r="LK51" s="198"/>
      <c r="LL51" s="198"/>
      <c r="LM51" s="198"/>
      <c r="LN51" s="198"/>
      <c r="LO51" s="198"/>
      <c r="LP51" s="198"/>
      <c r="LQ51" s="198"/>
      <c r="LR51" s="198"/>
      <c r="LS51" s="198"/>
      <c r="LT51" s="198"/>
      <c r="LU51" s="198"/>
      <c r="LV51" s="198"/>
      <c r="LW51" s="198"/>
      <c r="LX51" s="198"/>
      <c r="LY51" s="198"/>
      <c r="LZ51" s="198"/>
      <c r="MA51" s="198"/>
      <c r="MB51" s="198"/>
      <c r="MC51" s="198"/>
      <c r="MD51" s="198"/>
      <c r="ME51" s="198"/>
      <c r="MF51" s="198"/>
      <c r="MG51" s="198"/>
      <c r="MH51" s="198"/>
      <c r="MI51" s="198"/>
      <c r="MJ51" s="198"/>
      <c r="MK51" s="198"/>
      <c r="ML51" s="198"/>
      <c r="MM51" s="198"/>
      <c r="MN51" s="198"/>
      <c r="MO51" s="198"/>
      <c r="MP51" s="198"/>
      <c r="MQ51" s="198"/>
      <c r="MR51" s="198"/>
      <c r="MS51" s="198"/>
      <c r="MT51" s="198"/>
      <c r="MU51" s="198"/>
      <c r="MV51" s="198"/>
      <c r="MW51" s="198"/>
      <c r="MX51" s="198"/>
      <c r="MY51" s="198"/>
      <c r="MZ51" s="198"/>
      <c r="NA51" s="198"/>
      <c r="NB51" s="198"/>
      <c r="NC51" s="198"/>
      <c r="ND51" s="198"/>
      <c r="NE51" s="198"/>
      <c r="NF51" s="198"/>
      <c r="NG51" s="198"/>
      <c r="NH51" s="198"/>
      <c r="NI51" s="198"/>
      <c r="NJ51" s="198"/>
      <c r="NK51" s="198"/>
      <c r="NL51" s="198"/>
      <c r="NM51" s="198"/>
      <c r="NN51" s="198"/>
      <c r="NO51" s="198"/>
      <c r="NP51" s="198"/>
      <c r="NQ51" s="198"/>
      <c r="NR51" s="198"/>
      <c r="NS51" s="198"/>
      <c r="NT51" s="198"/>
      <c r="NU51" s="198"/>
      <c r="NV51" s="198"/>
      <c r="NW51" s="198"/>
      <c r="NX51" s="198"/>
      <c r="NY51" s="198"/>
      <c r="NZ51" s="198"/>
      <c r="OA51" s="198"/>
      <c r="OB51" s="198"/>
      <c r="OC51" s="198"/>
      <c r="OD51" s="198"/>
      <c r="OE51" s="198"/>
      <c r="OF51" s="198"/>
      <c r="OG51" s="198"/>
      <c r="OH51" s="198"/>
      <c r="OI51" s="198"/>
      <c r="OJ51" s="198"/>
      <c r="OK51" s="198"/>
      <c r="OL51" s="198"/>
      <c r="OM51" s="198"/>
      <c r="ON51" s="198"/>
      <c r="OO51" s="198"/>
      <c r="OP51" s="198"/>
      <c r="OQ51" s="198"/>
      <c r="OR51" s="198"/>
      <c r="OS51" s="198"/>
      <c r="OT51" s="198"/>
      <c r="OU51" s="198"/>
      <c r="OV51" s="198"/>
      <c r="OW51" s="198"/>
      <c r="OX51" s="198"/>
      <c r="OY51" s="198"/>
      <c r="OZ51" s="198"/>
      <c r="PA51" s="198"/>
      <c r="PB51" s="198"/>
      <c r="PC51" s="198"/>
      <c r="PD51" s="198"/>
      <c r="PE51" s="198"/>
      <c r="PF51" s="198"/>
      <c r="PG51" s="198"/>
      <c r="PH51" s="198"/>
      <c r="PI51" s="198"/>
      <c r="PJ51" s="198"/>
      <c r="PK51" s="198"/>
      <c r="PL51" s="198"/>
      <c r="PM51" s="198"/>
      <c r="PN51" s="198"/>
      <c r="PO51" s="198"/>
      <c r="PP51" s="198"/>
      <c r="PQ51" s="198"/>
      <c r="PR51" s="198"/>
      <c r="PS51" s="198"/>
      <c r="PT51" s="198"/>
      <c r="PU51" s="198"/>
      <c r="PV51" s="198"/>
      <c r="PW51" s="198"/>
      <c r="PX51" s="198"/>
      <c r="PY51" s="198"/>
      <c r="PZ51" s="198"/>
      <c r="QA51" s="198"/>
      <c r="QB51" s="198"/>
      <c r="QC51" s="198"/>
      <c r="QD51" s="198"/>
      <c r="QE51" s="198"/>
      <c r="QF51" s="198"/>
      <c r="QG51" s="198"/>
      <c r="QH51" s="198"/>
      <c r="QI51" s="198"/>
      <c r="QJ51" s="198"/>
      <c r="QK51" s="198"/>
      <c r="QL51" s="198"/>
      <c r="QM51" s="198"/>
      <c r="QN51" s="198"/>
      <c r="QO51" s="198"/>
      <c r="QP51" s="198"/>
      <c r="QQ51" s="198"/>
      <c r="QR51" s="198"/>
      <c r="QS51" s="198"/>
      <c r="QT51" s="198"/>
      <c r="QU51" s="198"/>
      <c r="QV51" s="198"/>
      <c r="QW51" s="198"/>
      <c r="QX51" s="198"/>
      <c r="QY51" s="198"/>
      <c r="QZ51" s="198"/>
      <c r="RA51" s="198"/>
      <c r="RB51" s="198"/>
      <c r="RC51" s="198"/>
      <c r="RD51" s="198"/>
      <c r="RE51" s="198"/>
      <c r="RF51" s="198"/>
      <c r="RG51" s="198"/>
      <c r="RH51" s="198"/>
      <c r="RI51" s="198"/>
      <c r="RJ51" s="198"/>
      <c r="RK51" s="198"/>
      <c r="RL51" s="198"/>
      <c r="RM51" s="198"/>
      <c r="RN51" s="198"/>
      <c r="RO51" s="198"/>
      <c r="RP51" s="198"/>
      <c r="RQ51" s="198"/>
      <c r="RR51" s="198"/>
      <c r="RS51" s="198"/>
      <c r="RT51" s="198"/>
      <c r="RU51" s="198"/>
      <c r="RV51" s="198"/>
      <c r="RW51" s="198"/>
      <c r="RX51" s="198"/>
      <c r="RY51" s="198"/>
      <c r="RZ51" s="198"/>
      <c r="SA51" s="198"/>
      <c r="SB51" s="198"/>
      <c r="SC51" s="198"/>
      <c r="SD51" s="198"/>
      <c r="SE51" s="198"/>
      <c r="SF51" s="198"/>
      <c r="SG51" s="198"/>
      <c r="SH51" s="198"/>
      <c r="SI51" s="198"/>
      <c r="SJ51" s="198"/>
      <c r="SK51" s="198"/>
      <c r="SL51" s="198"/>
      <c r="SM51" s="198"/>
      <c r="SN51" s="198"/>
      <c r="SO51" s="198"/>
      <c r="SP51" s="198"/>
      <c r="SQ51" s="198"/>
      <c r="SR51" s="198"/>
      <c r="SS51" s="198"/>
      <c r="ST51" s="198"/>
      <c r="SU51" s="198"/>
      <c r="SV51" s="198"/>
      <c r="SW51" s="198"/>
      <c r="SX51" s="198"/>
      <c r="SY51" s="198"/>
      <c r="SZ51" s="198"/>
      <c r="TA51" s="198"/>
      <c r="TB51" s="198"/>
      <c r="TC51" s="198"/>
      <c r="TD51" s="198"/>
      <c r="TE51" s="198"/>
      <c r="TF51" s="198"/>
      <c r="TG51" s="198"/>
      <c r="TH51" s="198"/>
      <c r="TI51" s="198"/>
      <c r="TJ51" s="198"/>
      <c r="TK51" s="198"/>
      <c r="TL51" s="198"/>
      <c r="TM51" s="198"/>
      <c r="TN51" s="198"/>
      <c r="TO51" s="198"/>
      <c r="TP51" s="198"/>
      <c r="TQ51" s="198"/>
      <c r="TR51" s="198"/>
      <c r="TS51" s="198"/>
      <c r="TT51" s="198"/>
      <c r="TU51" s="198"/>
      <c r="TV51" s="198"/>
      <c r="TW51" s="198"/>
      <c r="TX51" s="198"/>
      <c r="TY51" s="198"/>
      <c r="TZ51" s="198"/>
      <c r="UA51" s="198"/>
      <c r="UB51" s="198"/>
      <c r="UC51" s="198"/>
      <c r="UD51" s="198"/>
      <c r="UE51" s="198"/>
      <c r="UF51" s="198"/>
      <c r="UG51" s="198"/>
      <c r="UH51" s="198"/>
      <c r="UI51" s="198"/>
      <c r="UJ51" s="198"/>
      <c r="UK51" s="198"/>
      <c r="UL51" s="198"/>
      <c r="UM51" s="198"/>
      <c r="UN51" s="198"/>
      <c r="UO51" s="198"/>
      <c r="UP51" s="198"/>
      <c r="UQ51" s="198"/>
      <c r="UR51" s="198"/>
      <c r="US51" s="198"/>
      <c r="UT51" s="198"/>
      <c r="UU51" s="198"/>
      <c r="UV51" s="198"/>
      <c r="UW51" s="198"/>
      <c r="UX51" s="198"/>
      <c r="UY51" s="198"/>
      <c r="UZ51" s="198"/>
      <c r="VA51" s="198"/>
      <c r="VB51" s="198"/>
      <c r="VC51" s="198"/>
      <c r="VD51" s="198"/>
      <c r="VE51" s="198"/>
      <c r="VF51" s="198"/>
      <c r="VG51" s="198"/>
      <c r="VH51" s="198"/>
      <c r="VI51" s="198"/>
      <c r="VJ51" s="198"/>
      <c r="VK51" s="198"/>
      <c r="VL51" s="198"/>
      <c r="VM51" s="198"/>
      <c r="VN51" s="198"/>
      <c r="VO51" s="198"/>
      <c r="VP51" s="198"/>
      <c r="VQ51" s="198"/>
      <c r="VR51" s="198"/>
      <c r="VS51" s="198"/>
      <c r="VT51" s="198"/>
      <c r="VU51" s="198"/>
      <c r="VV51" s="198"/>
      <c r="VW51" s="198"/>
      <c r="VX51" s="198"/>
      <c r="VY51" s="198"/>
      <c r="VZ51" s="198"/>
      <c r="WA51" s="198"/>
      <c r="WB51" s="198"/>
      <c r="WC51" s="198"/>
      <c r="WD51" s="198"/>
      <c r="WE51" s="198"/>
      <c r="WF51" s="198"/>
      <c r="WG51" s="198"/>
      <c r="WH51" s="198"/>
      <c r="WI51" s="198"/>
      <c r="WJ51" s="198"/>
      <c r="WK51" s="198"/>
      <c r="WL51" s="198"/>
      <c r="WM51" s="198"/>
      <c r="WN51" s="198"/>
      <c r="WO51" s="198"/>
      <c r="WP51" s="198"/>
      <c r="WQ51" s="198"/>
      <c r="WR51" s="198"/>
      <c r="WS51" s="198"/>
      <c r="WT51" s="198"/>
      <c r="WU51" s="198"/>
      <c r="WV51" s="198"/>
      <c r="WW51" s="198"/>
      <c r="WX51" s="198"/>
      <c r="WY51" s="198"/>
      <c r="WZ51" s="198"/>
      <c r="XA51" s="198"/>
      <c r="XB51" s="198"/>
      <c r="XC51" s="198"/>
      <c r="XD51" s="198"/>
      <c r="XE51" s="198"/>
      <c r="XF51" s="198"/>
      <c r="XG51" s="198"/>
      <c r="XH51" s="198"/>
      <c r="XI51" s="198"/>
      <c r="XJ51" s="198"/>
      <c r="XK51" s="198"/>
      <c r="XL51" s="198"/>
      <c r="XM51" s="198"/>
      <c r="XN51" s="198"/>
      <c r="XO51" s="198"/>
      <c r="XP51" s="198"/>
      <c r="XQ51" s="198"/>
      <c r="XR51" s="198"/>
      <c r="XS51" s="198"/>
      <c r="XT51" s="198"/>
      <c r="XU51" s="198"/>
      <c r="XV51" s="198"/>
      <c r="XW51" s="198"/>
      <c r="XX51" s="198"/>
      <c r="XY51" s="198"/>
      <c r="XZ51" s="198"/>
      <c r="YA51" s="198"/>
      <c r="YB51" s="198"/>
      <c r="YC51" s="198"/>
      <c r="YD51" s="198"/>
      <c r="YE51" s="198"/>
      <c r="YF51" s="198"/>
      <c r="YG51" s="198"/>
      <c r="YH51" s="198"/>
      <c r="YI51" s="198"/>
      <c r="YJ51" s="198"/>
      <c r="YK51" s="198"/>
      <c r="YL51" s="198"/>
      <c r="YM51" s="198"/>
      <c r="YN51" s="198"/>
      <c r="YO51" s="198"/>
      <c r="YP51" s="198"/>
      <c r="YQ51" s="198"/>
      <c r="YR51" s="198"/>
      <c r="YS51" s="198"/>
      <c r="YT51" s="198"/>
      <c r="YU51" s="198"/>
      <c r="YV51" s="198"/>
      <c r="YW51" s="198"/>
      <c r="YX51" s="198"/>
      <c r="YY51" s="198"/>
      <c r="YZ51" s="198"/>
      <c r="ZA51" s="198"/>
      <c r="ZB51" s="198"/>
      <c r="ZC51" s="198"/>
      <c r="ZD51" s="198"/>
      <c r="ZE51" s="198"/>
      <c r="ZF51" s="198"/>
      <c r="ZG51" s="198"/>
      <c r="ZH51" s="198"/>
      <c r="ZI51" s="198"/>
      <c r="ZJ51" s="198"/>
      <c r="ZK51" s="198"/>
      <c r="ZL51" s="198"/>
      <c r="ZM51" s="198"/>
      <c r="ZN51" s="198"/>
      <c r="ZO51" s="198"/>
      <c r="ZP51" s="198"/>
      <c r="ZQ51" s="198"/>
      <c r="ZR51" s="198"/>
      <c r="ZS51" s="198"/>
      <c r="ZT51" s="198"/>
      <c r="ZU51" s="198"/>
      <c r="ZV51" s="198"/>
      <c r="ZW51" s="198"/>
      <c r="ZX51" s="198"/>
      <c r="ZY51" s="198"/>
      <c r="ZZ51" s="198"/>
      <c r="AAA51" s="198"/>
      <c r="AAB51" s="198"/>
      <c r="AAC51" s="198"/>
      <c r="AAD51" s="198"/>
      <c r="AAE51" s="198"/>
      <c r="AAF51" s="198"/>
      <c r="AAG51" s="198"/>
      <c r="AAH51" s="198"/>
      <c r="AAI51" s="198"/>
      <c r="AAJ51" s="198"/>
      <c r="AAK51" s="198"/>
      <c r="AAL51" s="198"/>
      <c r="AAM51" s="198"/>
      <c r="AAN51" s="198"/>
      <c r="AAO51" s="198"/>
      <c r="AAP51" s="198"/>
      <c r="AAQ51" s="198"/>
      <c r="AAR51" s="198"/>
      <c r="AAS51" s="198"/>
      <c r="AAT51" s="198"/>
      <c r="AAU51" s="198"/>
      <c r="AAV51" s="198"/>
      <c r="AAW51" s="198"/>
      <c r="AAX51" s="198"/>
      <c r="AAY51" s="198"/>
      <c r="AAZ51" s="198"/>
      <c r="ABA51" s="198"/>
      <c r="ABB51" s="198"/>
      <c r="ABC51" s="198"/>
      <c r="ABD51" s="198"/>
      <c r="ABE51" s="198"/>
      <c r="ABF51" s="198"/>
      <c r="ABG51" s="198"/>
      <c r="ABH51" s="198"/>
      <c r="ABI51" s="198"/>
      <c r="ABJ51" s="198"/>
      <c r="ABK51" s="198"/>
      <c r="ABL51" s="198"/>
      <c r="ABM51" s="198"/>
      <c r="ABN51" s="198"/>
      <c r="ABO51" s="198"/>
      <c r="ABP51" s="198"/>
      <c r="ABQ51" s="198"/>
      <c r="ABR51" s="198"/>
      <c r="ABS51" s="198"/>
      <c r="ABT51" s="198"/>
      <c r="ABU51" s="198"/>
      <c r="ABV51" s="198"/>
      <c r="ABW51" s="198"/>
      <c r="ABX51" s="198"/>
      <c r="ABY51" s="198"/>
      <c r="ABZ51" s="198"/>
      <c r="ACA51" s="198"/>
      <c r="ACB51" s="198"/>
      <c r="ACC51" s="198"/>
      <c r="ACD51" s="198"/>
      <c r="ACE51" s="198"/>
      <c r="ACF51" s="198"/>
      <c r="ACG51" s="198"/>
      <c r="ACH51" s="198"/>
      <c r="ACI51" s="198"/>
      <c r="ACJ51" s="198"/>
      <c r="ACK51" s="198"/>
      <c r="ACL51" s="198"/>
      <c r="ACM51" s="198"/>
      <c r="ACN51" s="198"/>
      <c r="ACO51" s="198"/>
      <c r="ACP51" s="198"/>
      <c r="ACQ51" s="198"/>
      <c r="ACR51" s="198"/>
      <c r="ACS51" s="198"/>
      <c r="ACT51" s="198"/>
      <c r="ACU51" s="198"/>
      <c r="ACV51" s="198"/>
      <c r="ACW51" s="198"/>
      <c r="ACX51" s="198"/>
      <c r="ACY51" s="198"/>
      <c r="ACZ51" s="198"/>
      <c r="ADA51" s="198"/>
      <c r="ADB51" s="198"/>
      <c r="ADC51" s="198"/>
      <c r="ADD51" s="198"/>
      <c r="ADE51" s="198"/>
      <c r="ADF51" s="198"/>
      <c r="ADG51" s="198"/>
      <c r="ADH51" s="198"/>
      <c r="ADI51" s="198"/>
      <c r="ADJ51" s="198"/>
      <c r="ADK51" s="198"/>
      <c r="ADL51" s="198"/>
      <c r="ADM51" s="198"/>
      <c r="ADN51" s="198"/>
      <c r="ADO51" s="198"/>
      <c r="ADP51" s="198"/>
      <c r="ADQ51" s="198"/>
      <c r="ADR51" s="198"/>
      <c r="ADS51" s="198"/>
      <c r="ADT51" s="198"/>
      <c r="ADU51" s="198"/>
      <c r="ADV51" s="198"/>
      <c r="ADW51" s="198"/>
      <c r="ADX51" s="198"/>
      <c r="ADY51" s="198"/>
      <c r="ADZ51" s="198"/>
      <c r="AEA51" s="198"/>
      <c r="AEB51" s="198"/>
      <c r="AEC51" s="198"/>
      <c r="AED51" s="198"/>
      <c r="AEE51" s="198"/>
      <c r="AEF51" s="198"/>
      <c r="AEG51" s="198"/>
      <c r="AEH51" s="198"/>
      <c r="AEI51" s="198"/>
      <c r="AEJ51" s="198"/>
      <c r="AEK51" s="198"/>
      <c r="AEL51" s="198"/>
      <c r="AEM51" s="198"/>
      <c r="AEN51" s="198"/>
      <c r="AEO51" s="198"/>
      <c r="AEP51" s="198"/>
      <c r="AEQ51" s="198"/>
      <c r="AER51" s="198"/>
      <c r="AES51" s="198"/>
      <c r="AET51" s="198"/>
      <c r="AEU51" s="198"/>
      <c r="AEV51" s="198"/>
      <c r="AEW51" s="198"/>
      <c r="AEX51" s="198"/>
      <c r="AEY51" s="198"/>
      <c r="AEZ51" s="198"/>
      <c r="AFA51" s="198"/>
      <c r="AFB51" s="198"/>
      <c r="AFC51" s="198"/>
      <c r="AFD51" s="198"/>
      <c r="AFE51" s="198"/>
      <c r="AFF51" s="198"/>
      <c r="AFG51" s="198"/>
      <c r="AFH51" s="198"/>
      <c r="AFI51" s="198"/>
      <c r="AFJ51" s="198"/>
      <c r="AFK51" s="198"/>
      <c r="AFL51" s="198"/>
      <c r="AFM51" s="198"/>
      <c r="AFN51" s="198"/>
      <c r="AFO51" s="198"/>
      <c r="AFP51" s="198"/>
      <c r="AFQ51" s="198"/>
      <c r="AFR51" s="198"/>
      <c r="AFS51" s="198"/>
      <c r="AFT51" s="198"/>
      <c r="AFU51" s="198"/>
      <c r="AFV51" s="198"/>
      <c r="AFW51" s="198"/>
      <c r="AFX51" s="198"/>
      <c r="AFY51" s="198"/>
      <c r="AFZ51" s="198"/>
      <c r="AGA51" s="198"/>
      <c r="AGB51" s="198"/>
      <c r="AGC51" s="198"/>
      <c r="AGD51" s="198"/>
      <c r="AGE51" s="198"/>
      <c r="AGF51" s="198"/>
      <c r="AGG51" s="198"/>
      <c r="AGH51" s="198"/>
      <c r="AGI51" s="198"/>
      <c r="AGJ51" s="198"/>
      <c r="AGK51" s="198"/>
      <c r="AGL51" s="198"/>
      <c r="AGM51" s="198"/>
      <c r="AGN51" s="198"/>
      <c r="AGO51" s="198"/>
      <c r="AGP51" s="198"/>
      <c r="AGQ51" s="198"/>
      <c r="AGR51" s="198"/>
      <c r="AGS51" s="198"/>
      <c r="AGT51" s="198"/>
      <c r="AGU51" s="198"/>
      <c r="AGV51" s="198"/>
      <c r="AGW51" s="198"/>
      <c r="AGX51" s="198"/>
      <c r="AGY51" s="198"/>
      <c r="AGZ51" s="198"/>
      <c r="AHA51" s="198"/>
      <c r="AHB51" s="198"/>
      <c r="AHC51" s="198"/>
      <c r="AHD51" s="198"/>
      <c r="AHE51" s="198"/>
      <c r="AHF51" s="198"/>
      <c r="AHG51" s="198"/>
      <c r="AHH51" s="198"/>
      <c r="AHI51" s="198"/>
      <c r="AHJ51" s="198"/>
      <c r="AHK51" s="198"/>
      <c r="AHL51" s="198"/>
      <c r="AHM51" s="198"/>
      <c r="AHN51" s="198"/>
      <c r="AHO51" s="198"/>
      <c r="AHP51" s="198"/>
      <c r="AHQ51" s="198"/>
      <c r="AHR51" s="198"/>
      <c r="AHS51" s="198"/>
      <c r="AHT51" s="198"/>
      <c r="AHU51" s="198"/>
      <c r="AHV51" s="198"/>
      <c r="AHW51" s="198"/>
      <c r="AHX51" s="198"/>
      <c r="AHY51" s="198"/>
      <c r="AHZ51" s="198"/>
      <c r="AIA51" s="198"/>
      <c r="AIB51" s="198"/>
      <c r="AIC51" s="198"/>
      <c r="AID51" s="198"/>
      <c r="AIE51" s="198"/>
      <c r="AIF51" s="198"/>
      <c r="AIG51" s="198"/>
      <c r="AIH51" s="198"/>
      <c r="AII51" s="198"/>
      <c r="AIJ51" s="198"/>
      <c r="AIK51" s="198"/>
      <c r="AIL51" s="198"/>
      <c r="AIM51" s="198"/>
      <c r="AIN51" s="198"/>
      <c r="AIO51" s="198"/>
      <c r="AIP51" s="198"/>
      <c r="AIQ51" s="198"/>
      <c r="AIR51" s="198"/>
      <c r="AIS51" s="198"/>
      <c r="AIT51" s="198"/>
      <c r="AIU51" s="198"/>
      <c r="AIV51" s="198"/>
      <c r="AIW51" s="198"/>
      <c r="AIX51" s="198"/>
      <c r="AIY51" s="198"/>
      <c r="AIZ51" s="198"/>
      <c r="AJA51" s="198"/>
      <c r="AJB51" s="198"/>
      <c r="AJC51" s="198"/>
      <c r="AJD51" s="198"/>
      <c r="AJE51" s="198"/>
      <c r="AJF51" s="198"/>
      <c r="AJG51" s="198"/>
      <c r="AJH51" s="198"/>
      <c r="AJI51" s="198"/>
      <c r="AJJ51" s="198"/>
      <c r="AJK51" s="198"/>
      <c r="AJL51" s="198"/>
      <c r="AJM51" s="198"/>
      <c r="AJN51" s="198"/>
      <c r="AJO51" s="198"/>
      <c r="AJP51" s="198"/>
      <c r="AJQ51" s="198"/>
      <c r="AJR51" s="198"/>
      <c r="AJS51" s="198"/>
      <c r="AJT51" s="198"/>
      <c r="AJU51" s="198"/>
      <c r="AJV51" s="198"/>
      <c r="AJW51" s="198"/>
      <c r="AJX51" s="198"/>
      <c r="AJY51" s="198"/>
      <c r="AJZ51" s="198"/>
      <c r="AKA51" s="198"/>
      <c r="AKB51" s="198"/>
      <c r="AKC51" s="198"/>
      <c r="AKD51" s="198"/>
      <c r="AKE51" s="198"/>
      <c r="AKF51" s="198"/>
      <c r="AKG51" s="198"/>
      <c r="AKH51" s="198"/>
      <c r="AKI51" s="198"/>
      <c r="AKJ51" s="198"/>
      <c r="AKK51" s="198"/>
      <c r="AKL51" s="198"/>
      <c r="AKM51" s="198"/>
      <c r="AKN51" s="198"/>
      <c r="AKO51" s="198"/>
      <c r="AKP51" s="198"/>
      <c r="AKQ51" s="198"/>
      <c r="AKR51" s="198"/>
      <c r="AKS51" s="198"/>
      <c r="AKT51" s="198"/>
      <c r="AKU51" s="198"/>
      <c r="AKV51" s="198"/>
      <c r="AKW51" s="198"/>
      <c r="AKX51" s="198"/>
      <c r="AKY51" s="198"/>
      <c r="AKZ51" s="198"/>
      <c r="ALA51" s="198"/>
      <c r="ALB51" s="198"/>
      <c r="ALC51" s="198"/>
      <c r="ALD51" s="198"/>
      <c r="ALE51" s="198"/>
      <c r="ALF51" s="198"/>
      <c r="ALG51" s="198"/>
      <c r="ALH51" s="198"/>
      <c r="ALI51" s="198"/>
      <c r="ALJ51" s="198"/>
      <c r="ALK51" s="198"/>
      <c r="ALL51" s="198"/>
      <c r="ALM51" s="198"/>
      <c r="ALN51" s="198"/>
      <c r="ALO51" s="198"/>
      <c r="ALP51" s="198"/>
      <c r="ALQ51" s="198"/>
      <c r="ALR51" s="198"/>
      <c r="ALS51" s="198"/>
      <c r="ALT51" s="198"/>
      <c r="ALU51" s="198"/>
      <c r="ALV51" s="198"/>
      <c r="ALW51" s="198"/>
      <c r="ALX51" s="198"/>
      <c r="ALY51" s="198"/>
      <c r="ALZ51" s="198"/>
      <c r="AMA51" s="198"/>
      <c r="AMB51" s="198"/>
      <c r="AMC51" s="198"/>
      <c r="AMD51" s="198"/>
      <c r="AME51" s="198"/>
      <c r="AMF51" s="198"/>
      <c r="AMG51" s="198"/>
      <c r="AMH51" s="198"/>
      <c r="AMI51" s="198"/>
      <c r="AMJ51" s="198"/>
      <c r="AMK51" s="198"/>
      <c r="AML51" s="198"/>
      <c r="AMM51" s="198"/>
      <c r="AMN51" s="198"/>
      <c r="AMO51" s="198"/>
      <c r="AMP51" s="198"/>
      <c r="AMQ51" s="198"/>
      <c r="AMR51" s="198"/>
      <c r="AMS51" s="198"/>
      <c r="AMT51" s="198"/>
      <c r="AMU51" s="198"/>
      <c r="AMV51" s="198"/>
      <c r="AMW51" s="198"/>
      <c r="AMX51" s="198"/>
      <c r="AMY51" s="198"/>
      <c r="AMZ51" s="198"/>
      <c r="ANA51" s="198"/>
      <c r="ANB51" s="198"/>
      <c r="ANC51" s="198"/>
      <c r="AND51" s="198"/>
      <c r="ANE51" s="198"/>
      <c r="ANF51" s="198"/>
      <c r="ANG51" s="198"/>
      <c r="ANH51" s="198"/>
      <c r="ANI51" s="198"/>
      <c r="ANJ51" s="198"/>
      <c r="ANK51" s="198"/>
      <c r="ANL51" s="198"/>
      <c r="ANM51" s="198"/>
      <c r="ANN51" s="198"/>
      <c r="ANO51" s="198"/>
      <c r="ANP51" s="198"/>
      <c r="ANQ51" s="198"/>
      <c r="ANR51" s="198"/>
      <c r="ANS51" s="198"/>
      <c r="ANT51" s="198"/>
      <c r="ANU51" s="198"/>
      <c r="ANV51" s="198"/>
      <c r="ANW51" s="198"/>
      <c r="ANX51" s="198"/>
      <c r="ANY51" s="198"/>
      <c r="ANZ51" s="198"/>
      <c r="AOA51" s="198"/>
      <c r="AOB51" s="198"/>
      <c r="AOC51" s="198"/>
      <c r="AOD51" s="198"/>
      <c r="AOE51" s="198"/>
      <c r="AOF51" s="198"/>
      <c r="AOG51" s="198"/>
      <c r="AOH51" s="198"/>
      <c r="AOI51" s="198"/>
      <c r="AOJ51" s="198"/>
      <c r="AOK51" s="198"/>
      <c r="AOL51" s="198"/>
      <c r="AOM51" s="198"/>
      <c r="AON51" s="198"/>
      <c r="AOO51" s="198"/>
      <c r="AOP51" s="198"/>
      <c r="AOQ51" s="198"/>
      <c r="AOR51" s="198"/>
      <c r="AOS51" s="198"/>
      <c r="AOT51" s="198"/>
      <c r="AOU51" s="198"/>
      <c r="AOV51" s="198"/>
      <c r="AOW51" s="198"/>
      <c r="AOX51" s="198"/>
      <c r="AOY51" s="198"/>
      <c r="AOZ51" s="198"/>
      <c r="APA51" s="198"/>
      <c r="APB51" s="198"/>
      <c r="APC51" s="198"/>
      <c r="APD51" s="198"/>
      <c r="APE51" s="198"/>
      <c r="APF51" s="198"/>
      <c r="APG51" s="198"/>
      <c r="APH51" s="198"/>
      <c r="API51" s="198"/>
      <c r="APJ51" s="198"/>
      <c r="APK51" s="198"/>
      <c r="APL51" s="198"/>
      <c r="APM51" s="198"/>
      <c r="APN51" s="198"/>
      <c r="APO51" s="198"/>
      <c r="APP51" s="198"/>
      <c r="APQ51" s="198"/>
      <c r="APR51" s="198"/>
      <c r="APS51" s="198"/>
      <c r="APT51" s="198"/>
      <c r="APU51" s="198"/>
      <c r="APV51" s="198"/>
      <c r="APW51" s="198"/>
      <c r="APX51" s="198"/>
      <c r="APY51" s="198"/>
      <c r="APZ51" s="198"/>
      <c r="AQA51" s="198"/>
      <c r="AQB51" s="198"/>
      <c r="AQC51" s="198"/>
      <c r="AQD51" s="198"/>
      <c r="AQE51" s="198"/>
      <c r="AQF51" s="198"/>
      <c r="AQG51" s="198"/>
      <c r="AQH51" s="198"/>
      <c r="AQI51" s="198"/>
      <c r="AQJ51" s="198"/>
      <c r="AQK51" s="198"/>
      <c r="AQL51" s="198"/>
      <c r="AQM51" s="198"/>
      <c r="AQN51" s="198"/>
      <c r="AQO51" s="198"/>
      <c r="AQP51" s="198"/>
      <c r="AQQ51" s="198"/>
      <c r="AQR51" s="198"/>
      <c r="AQS51" s="198"/>
      <c r="AQT51" s="198"/>
      <c r="AQU51" s="198"/>
      <c r="AQV51" s="198"/>
      <c r="AQW51" s="198"/>
      <c r="AQX51" s="198"/>
      <c r="AQY51" s="198"/>
      <c r="AQZ51" s="198"/>
      <c r="ARA51" s="198"/>
      <c r="ARB51" s="198"/>
      <c r="ARC51" s="198"/>
      <c r="ARD51" s="198"/>
      <c r="ARE51" s="198"/>
      <c r="ARF51" s="198"/>
      <c r="ARG51" s="198"/>
      <c r="ARH51" s="198"/>
      <c r="ARI51" s="198"/>
      <c r="ARJ51" s="198"/>
      <c r="ARK51" s="198"/>
      <c r="ARL51" s="198"/>
      <c r="ARM51" s="198"/>
      <c r="ARN51" s="198"/>
      <c r="ARO51" s="198"/>
      <c r="ARP51" s="198"/>
      <c r="ARQ51" s="198"/>
      <c r="ARR51" s="198"/>
      <c r="ARS51" s="198"/>
      <c r="ART51" s="198"/>
      <c r="ARU51" s="198"/>
      <c r="ARV51" s="198"/>
      <c r="ARW51" s="198"/>
      <c r="ARX51" s="198"/>
      <c r="ARY51" s="198"/>
      <c r="ARZ51" s="198"/>
      <c r="ASA51" s="198"/>
      <c r="ASB51" s="198"/>
      <c r="ASC51" s="198"/>
      <c r="ASD51" s="198"/>
      <c r="ASE51" s="198"/>
      <c r="ASF51" s="198"/>
      <c r="ASG51" s="198"/>
      <c r="ASH51" s="198"/>
      <c r="ASI51" s="198"/>
      <c r="ASJ51" s="198"/>
      <c r="ASK51" s="198"/>
      <c r="ASL51" s="198"/>
      <c r="ASM51" s="198"/>
      <c r="ASN51" s="198"/>
      <c r="ASO51" s="198"/>
      <c r="ASP51" s="198"/>
      <c r="ASQ51" s="198"/>
      <c r="ASR51" s="198"/>
      <c r="ASS51" s="198"/>
      <c r="AST51" s="198"/>
      <c r="ASU51" s="198"/>
      <c r="ASV51" s="198"/>
      <c r="ASW51" s="198"/>
      <c r="ASX51" s="198"/>
      <c r="ASY51" s="198"/>
      <c r="ASZ51" s="198"/>
      <c r="ATA51" s="198"/>
      <c r="ATB51" s="198"/>
      <c r="ATC51" s="198"/>
      <c r="ATD51" s="198"/>
      <c r="ATE51" s="198"/>
      <c r="ATF51" s="198"/>
      <c r="ATG51" s="198"/>
      <c r="ATH51" s="198"/>
      <c r="ATI51" s="198"/>
      <c r="ATJ51" s="198"/>
      <c r="ATK51" s="198"/>
      <c r="ATL51" s="198"/>
      <c r="ATM51" s="198"/>
      <c r="ATN51" s="198"/>
      <c r="ATO51" s="198"/>
      <c r="ATP51" s="198"/>
      <c r="ATQ51" s="198"/>
      <c r="ATR51" s="198"/>
      <c r="ATS51" s="198"/>
      <c r="ATT51" s="198"/>
      <c r="ATU51" s="198"/>
      <c r="ATV51" s="198"/>
      <c r="ATW51" s="198"/>
      <c r="ATX51" s="198"/>
      <c r="ATY51" s="198"/>
      <c r="ATZ51" s="198"/>
      <c r="AUA51" s="198"/>
      <c r="AUB51" s="198"/>
      <c r="AUC51" s="198"/>
      <c r="AUD51" s="198"/>
      <c r="AUE51" s="198"/>
      <c r="AUF51" s="198"/>
      <c r="AUG51" s="198"/>
      <c r="AUH51" s="198"/>
      <c r="AUI51" s="198"/>
      <c r="AUJ51" s="198"/>
      <c r="AUK51" s="198"/>
      <c r="AUL51" s="198"/>
      <c r="AUM51" s="198"/>
      <c r="AUN51" s="198"/>
      <c r="AUO51" s="198"/>
      <c r="AUP51" s="198"/>
      <c r="AUQ51" s="198"/>
      <c r="AUR51" s="198"/>
      <c r="AUS51" s="198"/>
      <c r="AUT51" s="198"/>
      <c r="AUU51" s="198"/>
      <c r="AUV51" s="198"/>
      <c r="AUW51" s="198"/>
      <c r="AUX51" s="198"/>
      <c r="AUY51" s="198"/>
      <c r="AUZ51" s="198"/>
      <c r="AVA51" s="198"/>
      <c r="AVB51" s="198"/>
      <c r="AVC51" s="198"/>
      <c r="AVD51" s="198"/>
      <c r="AVE51" s="198"/>
      <c r="AVF51" s="198"/>
      <c r="AVG51" s="198"/>
      <c r="AVH51" s="198"/>
      <c r="AVI51" s="198"/>
      <c r="AVJ51" s="198"/>
      <c r="AVK51" s="198"/>
      <c r="AVL51" s="198"/>
      <c r="AVM51" s="198"/>
      <c r="AVN51" s="198"/>
      <c r="AVO51" s="198"/>
      <c r="AVP51" s="198"/>
      <c r="AVQ51" s="198"/>
      <c r="AVR51" s="198"/>
      <c r="AVS51" s="198"/>
      <c r="AVT51" s="198"/>
      <c r="AVU51" s="198"/>
      <c r="AVV51" s="198"/>
      <c r="AVW51" s="198"/>
      <c r="AVX51" s="198"/>
      <c r="AVY51" s="198"/>
      <c r="AVZ51" s="198"/>
      <c r="AWA51" s="198"/>
      <c r="AWB51" s="198"/>
      <c r="AWC51" s="198"/>
      <c r="AWD51" s="198"/>
      <c r="AWE51" s="198"/>
      <c r="AWF51" s="198"/>
      <c r="AWG51" s="198"/>
      <c r="AWH51" s="198"/>
      <c r="AWI51" s="198"/>
      <c r="AWJ51" s="198"/>
      <c r="AWK51" s="198"/>
      <c r="AWL51" s="198"/>
      <c r="AWM51" s="198"/>
      <c r="AWN51" s="198"/>
      <c r="AWO51" s="198"/>
      <c r="AWP51" s="198"/>
      <c r="AWQ51" s="198"/>
      <c r="AWR51" s="198"/>
      <c r="AWS51" s="198"/>
      <c r="AWT51" s="198"/>
      <c r="AWU51" s="198"/>
      <c r="AWV51" s="198"/>
      <c r="AWW51" s="198"/>
      <c r="AWX51" s="198"/>
      <c r="AWY51" s="198"/>
      <c r="AWZ51" s="198"/>
      <c r="AXA51" s="198"/>
      <c r="AXB51" s="198"/>
      <c r="AXC51" s="198"/>
      <c r="AXD51" s="198"/>
      <c r="AXE51" s="198"/>
      <c r="AXF51" s="198"/>
      <c r="AXG51" s="198"/>
      <c r="AXH51" s="198"/>
      <c r="AXI51" s="198"/>
      <c r="AXJ51" s="198"/>
      <c r="AXK51" s="198"/>
      <c r="AXL51" s="198"/>
      <c r="AXM51" s="198"/>
      <c r="AXN51" s="198"/>
      <c r="AXO51" s="198"/>
      <c r="AXP51" s="198"/>
      <c r="AXQ51" s="198"/>
      <c r="AXR51" s="198"/>
      <c r="AXS51" s="198"/>
      <c r="AXT51" s="198"/>
      <c r="AXU51" s="198"/>
      <c r="AXV51" s="198"/>
      <c r="AXW51" s="198"/>
      <c r="AXX51" s="198"/>
      <c r="AXY51" s="198"/>
      <c r="AXZ51" s="198"/>
      <c r="AYA51" s="198"/>
      <c r="AYB51" s="198"/>
      <c r="AYC51" s="198"/>
      <c r="AYD51" s="198"/>
      <c r="AYE51" s="198"/>
      <c r="AYF51" s="198"/>
      <c r="AYG51" s="198"/>
      <c r="AYH51" s="198"/>
      <c r="AYI51" s="198"/>
      <c r="AYJ51" s="198"/>
      <c r="AYK51" s="198"/>
      <c r="AYL51" s="198"/>
      <c r="AYM51" s="198"/>
      <c r="AYN51" s="198"/>
      <c r="AYO51" s="198"/>
      <c r="AYP51" s="198"/>
      <c r="AYQ51" s="198"/>
      <c r="AYR51" s="198"/>
      <c r="AYS51" s="198"/>
      <c r="AYT51" s="198"/>
      <c r="AYU51" s="198"/>
      <c r="AYV51" s="198"/>
      <c r="AYW51" s="198"/>
      <c r="AYX51" s="198"/>
      <c r="AYY51" s="198"/>
      <c r="AYZ51" s="198"/>
      <c r="AZA51" s="198"/>
      <c r="AZB51" s="198"/>
      <c r="AZC51" s="198"/>
      <c r="AZD51" s="198"/>
      <c r="AZE51" s="198"/>
      <c r="AZF51" s="198"/>
      <c r="AZG51" s="198"/>
      <c r="AZH51" s="198"/>
      <c r="AZI51" s="198"/>
      <c r="AZJ51" s="198"/>
      <c r="AZK51" s="198"/>
      <c r="AZL51" s="198"/>
      <c r="AZM51" s="198"/>
      <c r="AZN51" s="198"/>
      <c r="AZO51" s="198"/>
      <c r="AZP51" s="198"/>
      <c r="AZQ51" s="198"/>
      <c r="AZR51" s="198"/>
      <c r="AZS51" s="198"/>
      <c r="AZT51" s="198"/>
      <c r="AZU51" s="198"/>
      <c r="AZV51" s="198"/>
      <c r="AZW51" s="198"/>
      <c r="AZX51" s="198"/>
      <c r="AZY51" s="198"/>
      <c r="AZZ51" s="198"/>
      <c r="BAA51" s="198"/>
      <c r="BAB51" s="198"/>
      <c r="BAC51" s="198"/>
      <c r="BAD51" s="198"/>
      <c r="BAE51" s="198"/>
      <c r="BAF51" s="198"/>
      <c r="BAG51" s="198"/>
      <c r="BAH51" s="198"/>
      <c r="BAI51" s="198"/>
      <c r="BAJ51" s="198"/>
      <c r="BAK51" s="198"/>
      <c r="BAL51" s="198"/>
      <c r="BAM51" s="198"/>
      <c r="BAN51" s="198"/>
      <c r="BAO51" s="198"/>
      <c r="BAP51" s="198"/>
      <c r="BAQ51" s="198"/>
      <c r="BAR51" s="198"/>
      <c r="BAS51" s="198"/>
      <c r="BAT51" s="198"/>
      <c r="BAU51" s="198"/>
      <c r="BAV51" s="198"/>
      <c r="BAW51" s="198"/>
      <c r="BAX51" s="198"/>
      <c r="BAY51" s="198"/>
      <c r="BAZ51" s="198"/>
      <c r="BBA51" s="198"/>
      <c r="BBB51" s="198"/>
      <c r="BBC51" s="198"/>
      <c r="BBD51" s="198"/>
      <c r="BBE51" s="198"/>
      <c r="BBF51" s="198"/>
      <c r="BBG51" s="198"/>
      <c r="BBH51" s="198"/>
      <c r="BBI51" s="198"/>
      <c r="BBJ51" s="198"/>
      <c r="BBK51" s="198"/>
      <c r="BBL51" s="198"/>
      <c r="BBM51" s="198"/>
      <c r="BBN51" s="198"/>
      <c r="BBO51" s="198"/>
      <c r="BBP51" s="198"/>
      <c r="BBQ51" s="198"/>
      <c r="BBR51" s="198"/>
      <c r="BBS51" s="198"/>
      <c r="BBT51" s="198"/>
      <c r="BBU51" s="198"/>
      <c r="BBV51" s="198"/>
      <c r="BBW51" s="198"/>
      <c r="BBX51" s="198"/>
      <c r="BBY51" s="198"/>
      <c r="BBZ51" s="198"/>
      <c r="BCA51" s="198"/>
      <c r="BCB51" s="198"/>
      <c r="BCC51" s="198"/>
      <c r="BCD51" s="198"/>
      <c r="BCE51" s="198"/>
      <c r="BCF51" s="198"/>
      <c r="BCG51" s="198"/>
      <c r="BCH51" s="198"/>
      <c r="BCI51" s="198"/>
      <c r="BCJ51" s="198"/>
      <c r="BCK51" s="198"/>
      <c r="BCL51" s="198"/>
      <c r="BCM51" s="198"/>
      <c r="BCN51" s="198"/>
      <c r="BCO51" s="198"/>
      <c r="BCP51" s="198"/>
      <c r="BCQ51" s="198"/>
      <c r="BCR51" s="198"/>
      <c r="BCS51" s="198"/>
      <c r="BCT51" s="198"/>
      <c r="BCU51" s="198"/>
      <c r="BCV51" s="198"/>
      <c r="BCW51" s="198"/>
      <c r="BCX51" s="198"/>
      <c r="BCY51" s="198"/>
      <c r="BCZ51" s="198"/>
      <c r="BDA51" s="198"/>
      <c r="BDB51" s="198"/>
      <c r="BDC51" s="198"/>
      <c r="BDD51" s="198"/>
      <c r="BDE51" s="198"/>
      <c r="BDF51" s="198"/>
      <c r="BDG51" s="198"/>
      <c r="BDH51" s="198"/>
      <c r="BDI51" s="198"/>
      <c r="BDJ51" s="198"/>
      <c r="BDK51" s="198"/>
      <c r="BDL51" s="198"/>
      <c r="BDM51" s="198"/>
      <c r="BDN51" s="198"/>
      <c r="BDO51" s="198"/>
      <c r="BDP51" s="198"/>
      <c r="BDQ51" s="198"/>
      <c r="BDR51" s="198"/>
      <c r="BDS51" s="198"/>
      <c r="BDT51" s="198"/>
      <c r="BDU51" s="198"/>
      <c r="BDV51" s="198"/>
      <c r="BDW51" s="198"/>
      <c r="BDX51" s="198"/>
      <c r="BDY51" s="198"/>
      <c r="BDZ51" s="198"/>
      <c r="BEA51" s="198"/>
      <c r="BEB51" s="198"/>
      <c r="BEC51" s="198"/>
      <c r="BED51" s="198"/>
      <c r="BEE51" s="198"/>
      <c r="BEF51" s="198"/>
      <c r="BEG51" s="198"/>
      <c r="BEH51" s="198"/>
      <c r="BEI51" s="198"/>
      <c r="BEJ51" s="198"/>
      <c r="BEK51" s="198"/>
      <c r="BEL51" s="198"/>
      <c r="BEM51" s="198"/>
      <c r="BEN51" s="198"/>
      <c r="BEO51" s="198"/>
      <c r="BEP51" s="198"/>
      <c r="BEQ51" s="198"/>
      <c r="BER51" s="198"/>
      <c r="BES51" s="198"/>
      <c r="BET51" s="198"/>
      <c r="BEU51" s="198"/>
      <c r="BEV51" s="198"/>
      <c r="BEW51" s="198"/>
      <c r="BEX51" s="198"/>
      <c r="BEY51" s="198"/>
      <c r="BEZ51" s="198"/>
      <c r="BFA51" s="198"/>
      <c r="BFB51" s="198"/>
      <c r="BFC51" s="198"/>
      <c r="BFD51" s="198"/>
      <c r="BFE51" s="198"/>
      <c r="BFF51" s="198"/>
      <c r="BFG51" s="198"/>
      <c r="BFH51" s="198"/>
      <c r="BFI51" s="198"/>
      <c r="BFJ51" s="198"/>
      <c r="BFK51" s="198"/>
      <c r="BFL51" s="198"/>
      <c r="BFM51" s="198"/>
      <c r="BFN51" s="198"/>
      <c r="BFO51" s="198"/>
      <c r="BFP51" s="198"/>
      <c r="BFQ51" s="198"/>
      <c r="BFR51" s="198"/>
      <c r="BFS51" s="198"/>
      <c r="BFT51" s="198"/>
      <c r="BFU51" s="198"/>
      <c r="BFV51" s="198"/>
      <c r="BFW51" s="198"/>
      <c r="BFX51" s="198"/>
      <c r="BFY51" s="198"/>
      <c r="BFZ51" s="198"/>
      <c r="BGA51" s="198"/>
      <c r="BGB51" s="198"/>
      <c r="BGC51" s="198"/>
      <c r="BGD51" s="198"/>
      <c r="BGE51" s="198"/>
      <c r="BGF51" s="198"/>
      <c r="BGG51" s="198"/>
      <c r="BGH51" s="198"/>
      <c r="BGI51" s="198"/>
      <c r="BGJ51" s="198"/>
      <c r="BGK51" s="198"/>
      <c r="BGL51" s="198"/>
      <c r="BGM51" s="198"/>
      <c r="BGN51" s="198"/>
      <c r="BGO51" s="198"/>
      <c r="BGP51" s="198"/>
      <c r="BGQ51" s="198"/>
      <c r="BGR51" s="198"/>
      <c r="BGS51" s="198"/>
      <c r="BGT51" s="198"/>
      <c r="BGU51" s="198"/>
      <c r="BGV51" s="198"/>
      <c r="BGW51" s="198"/>
      <c r="BGX51" s="198"/>
      <c r="BGY51" s="198"/>
      <c r="BGZ51" s="198"/>
      <c r="BHA51" s="198"/>
      <c r="BHB51" s="198"/>
      <c r="BHC51" s="198"/>
      <c r="BHD51" s="198"/>
      <c r="BHE51" s="198"/>
      <c r="BHF51" s="198"/>
      <c r="BHG51" s="198"/>
      <c r="BHH51" s="198"/>
      <c r="BHI51" s="198"/>
      <c r="BHJ51" s="198"/>
      <c r="BHK51" s="198"/>
      <c r="BHL51" s="198"/>
      <c r="BHM51" s="198"/>
      <c r="BHN51" s="198"/>
      <c r="BHO51" s="198"/>
      <c r="BHP51" s="198"/>
      <c r="BHQ51" s="198"/>
      <c r="BHR51" s="198"/>
      <c r="BHS51" s="198"/>
      <c r="BHT51" s="198"/>
      <c r="BHU51" s="198"/>
      <c r="BHV51" s="198"/>
      <c r="BHW51" s="198"/>
      <c r="BHX51" s="198"/>
      <c r="BHY51" s="198"/>
      <c r="BHZ51" s="198"/>
      <c r="BIA51" s="198"/>
      <c r="BIB51" s="198"/>
      <c r="BIC51" s="198"/>
      <c r="BID51" s="198"/>
      <c r="BIE51" s="198"/>
      <c r="BIF51" s="198"/>
      <c r="BIG51" s="198"/>
      <c r="BIH51" s="198"/>
      <c r="BII51" s="198"/>
      <c r="BIJ51" s="198"/>
      <c r="BIK51" s="198"/>
      <c r="BIL51" s="198"/>
      <c r="BIM51" s="198"/>
      <c r="BIN51" s="198"/>
      <c r="BIO51" s="198"/>
      <c r="BIP51" s="198"/>
      <c r="BIQ51" s="198"/>
      <c r="BIR51" s="198"/>
      <c r="BIS51" s="198"/>
      <c r="BIT51" s="198"/>
      <c r="BIU51" s="198"/>
      <c r="BIV51" s="198"/>
      <c r="BIW51" s="198"/>
      <c r="BIX51" s="198"/>
      <c r="BIY51" s="198"/>
      <c r="BIZ51" s="198"/>
      <c r="BJA51" s="198"/>
      <c r="BJB51" s="198"/>
      <c r="BJC51" s="198"/>
      <c r="BJD51" s="198"/>
      <c r="BJE51" s="198"/>
      <c r="BJF51" s="198"/>
      <c r="BJG51" s="198"/>
      <c r="BJH51" s="198"/>
      <c r="BJI51" s="198"/>
      <c r="BJJ51" s="198"/>
      <c r="BJK51" s="198"/>
      <c r="BJL51" s="198"/>
      <c r="BJM51" s="198"/>
      <c r="BJN51" s="198"/>
      <c r="BJO51" s="198"/>
      <c r="BJP51" s="198"/>
      <c r="BJQ51" s="198"/>
      <c r="BJR51" s="198"/>
      <c r="BJS51" s="198"/>
      <c r="BJT51" s="198"/>
      <c r="BJU51" s="198"/>
      <c r="BJV51" s="198"/>
      <c r="BJW51" s="198"/>
      <c r="BJX51" s="198"/>
      <c r="BJY51" s="198"/>
      <c r="BJZ51" s="198"/>
      <c r="BKA51" s="198"/>
      <c r="BKB51" s="198"/>
      <c r="BKC51" s="198"/>
      <c r="BKD51" s="198"/>
      <c r="BKE51" s="198"/>
      <c r="BKF51" s="198"/>
      <c r="BKG51" s="198"/>
      <c r="BKH51" s="198"/>
      <c r="BKI51" s="198"/>
      <c r="BKJ51" s="198"/>
      <c r="BKK51" s="198"/>
      <c r="BKL51" s="198"/>
      <c r="BKM51" s="198"/>
      <c r="BKN51" s="198"/>
      <c r="BKO51" s="198"/>
      <c r="BKP51" s="198"/>
      <c r="BKQ51" s="198"/>
      <c r="BKR51" s="198"/>
      <c r="BKS51" s="198"/>
      <c r="BKT51" s="198"/>
      <c r="BKU51" s="198"/>
      <c r="BKV51" s="198"/>
      <c r="BKW51" s="198"/>
      <c r="BKX51" s="198"/>
      <c r="BKY51" s="198"/>
      <c r="BKZ51" s="198"/>
      <c r="BLA51" s="198"/>
      <c r="BLB51" s="198"/>
      <c r="BLC51" s="198"/>
      <c r="BLD51" s="198"/>
      <c r="BLE51" s="198"/>
      <c r="BLF51" s="198"/>
      <c r="BLG51" s="198"/>
      <c r="BLH51" s="198"/>
      <c r="BLI51" s="198"/>
      <c r="BLJ51" s="198"/>
      <c r="BLK51" s="198"/>
      <c r="BLL51" s="198"/>
      <c r="BLM51" s="198"/>
      <c r="BLN51" s="198"/>
      <c r="BLO51" s="198"/>
      <c r="BLP51" s="198"/>
      <c r="BLQ51" s="198"/>
      <c r="BLR51" s="198"/>
      <c r="BLS51" s="198"/>
      <c r="BLT51" s="198"/>
      <c r="BLU51" s="198"/>
      <c r="BLV51" s="198"/>
      <c r="BLW51" s="198"/>
      <c r="BLX51" s="198"/>
      <c r="BLY51" s="198"/>
      <c r="BLZ51" s="198"/>
      <c r="BMA51" s="198"/>
      <c r="BMB51" s="198"/>
      <c r="BMC51" s="198"/>
      <c r="BMD51" s="198"/>
      <c r="BME51" s="198"/>
      <c r="BMF51" s="198"/>
      <c r="BMG51" s="198"/>
      <c r="BMH51" s="198"/>
      <c r="BMI51" s="198"/>
      <c r="BMJ51" s="198"/>
      <c r="BMK51" s="198"/>
      <c r="BML51" s="198"/>
      <c r="BMM51" s="198"/>
      <c r="BMN51" s="198"/>
      <c r="BMO51" s="198"/>
      <c r="BMP51" s="198"/>
      <c r="BMQ51" s="198"/>
      <c r="BMR51" s="198"/>
      <c r="BMS51" s="198"/>
      <c r="BMT51" s="198"/>
      <c r="BMU51" s="198"/>
      <c r="BMV51" s="198"/>
      <c r="BMW51" s="198"/>
      <c r="BMX51" s="198"/>
      <c r="BMY51" s="198"/>
      <c r="BMZ51" s="198"/>
      <c r="BNA51" s="198"/>
      <c r="BNB51" s="198"/>
      <c r="BNC51" s="198"/>
      <c r="BND51" s="198"/>
      <c r="BNE51" s="198"/>
      <c r="BNF51" s="198"/>
      <c r="BNG51" s="198"/>
      <c r="BNH51" s="198"/>
      <c r="BNI51" s="198"/>
      <c r="BNJ51" s="198"/>
      <c r="BNK51" s="198"/>
      <c r="BNL51" s="198"/>
      <c r="BNM51" s="198"/>
      <c r="BNN51" s="198"/>
      <c r="BNO51" s="198"/>
      <c r="BNP51" s="198"/>
      <c r="BNQ51" s="198"/>
      <c r="BNR51" s="198"/>
      <c r="BNS51" s="198"/>
      <c r="BNT51" s="198"/>
      <c r="BNU51" s="198"/>
      <c r="BNV51" s="198"/>
      <c r="BNW51" s="198"/>
      <c r="BNX51" s="198"/>
      <c r="BNY51" s="198"/>
      <c r="BNZ51" s="198"/>
      <c r="BOA51" s="198"/>
      <c r="BOB51" s="198"/>
      <c r="BOC51" s="198"/>
      <c r="BOD51" s="198"/>
      <c r="BOE51" s="198"/>
      <c r="BOF51" s="198"/>
      <c r="BOG51" s="198"/>
      <c r="BOH51" s="198"/>
      <c r="BOI51" s="198"/>
      <c r="BOJ51" s="198"/>
      <c r="BOK51" s="198"/>
      <c r="BOL51" s="198"/>
      <c r="BOM51" s="198"/>
      <c r="BON51" s="198"/>
      <c r="BOO51" s="198"/>
      <c r="BOP51" s="198"/>
      <c r="BOQ51" s="198"/>
      <c r="BOR51" s="198"/>
      <c r="BOS51" s="198"/>
      <c r="BOT51" s="198"/>
      <c r="BOU51" s="198"/>
      <c r="BOV51" s="198"/>
      <c r="BOW51" s="198"/>
      <c r="BOX51" s="198"/>
      <c r="BOY51" s="198"/>
      <c r="BOZ51" s="198"/>
      <c r="BPA51" s="198"/>
      <c r="BPB51" s="198"/>
      <c r="BPC51" s="198"/>
      <c r="BPD51" s="198"/>
      <c r="BPE51" s="198"/>
      <c r="BPF51" s="198"/>
      <c r="BPG51" s="198"/>
      <c r="BPH51" s="198"/>
      <c r="BPI51" s="198"/>
      <c r="BPJ51" s="198"/>
      <c r="BPK51" s="198"/>
      <c r="BPL51" s="198"/>
      <c r="BPM51" s="198"/>
      <c r="BPN51" s="198"/>
      <c r="BPO51" s="198"/>
      <c r="BPP51" s="198"/>
      <c r="BPQ51" s="198"/>
      <c r="BPR51" s="198"/>
      <c r="BPS51" s="198"/>
      <c r="BPT51" s="198"/>
      <c r="BPU51" s="198"/>
      <c r="BPV51" s="198"/>
      <c r="BPW51" s="198"/>
      <c r="BPX51" s="198"/>
      <c r="BPY51" s="198"/>
      <c r="BPZ51" s="198"/>
      <c r="BQA51" s="198"/>
      <c r="BQB51" s="198"/>
      <c r="BQC51" s="198"/>
      <c r="BQD51" s="198"/>
      <c r="BQE51" s="198"/>
      <c r="BQF51" s="198"/>
      <c r="BQG51" s="198"/>
      <c r="BQH51" s="198"/>
      <c r="BQI51" s="198"/>
      <c r="BQJ51" s="198"/>
      <c r="BQK51" s="198"/>
      <c r="BQL51" s="198"/>
      <c r="BQM51" s="198"/>
      <c r="BQN51" s="198"/>
      <c r="BQO51" s="198"/>
      <c r="BQP51" s="198"/>
      <c r="BQQ51" s="198"/>
      <c r="BQR51" s="198"/>
      <c r="BQS51" s="198"/>
      <c r="BQT51" s="198"/>
      <c r="BQU51" s="198"/>
      <c r="BQV51" s="198"/>
      <c r="BQW51" s="198"/>
      <c r="BQX51" s="198"/>
      <c r="BQY51" s="198"/>
      <c r="BQZ51" s="198"/>
      <c r="BRA51" s="198"/>
      <c r="BRB51" s="198"/>
      <c r="BRC51" s="198"/>
      <c r="BRD51" s="198"/>
      <c r="BRE51" s="198"/>
      <c r="BRF51" s="198"/>
      <c r="BRG51" s="198"/>
      <c r="BRH51" s="198"/>
      <c r="BRI51" s="198"/>
      <c r="BRJ51" s="198"/>
      <c r="BRK51" s="198"/>
      <c r="BRL51" s="198"/>
      <c r="BRM51" s="198"/>
      <c r="BRN51" s="198"/>
      <c r="BRO51" s="198"/>
      <c r="BRP51" s="198"/>
      <c r="BRQ51" s="198"/>
      <c r="BRR51" s="198"/>
      <c r="BRS51" s="198"/>
      <c r="BRT51" s="198"/>
      <c r="BRU51" s="198"/>
      <c r="BRV51" s="198"/>
      <c r="BRW51" s="198"/>
      <c r="BRX51" s="198"/>
      <c r="BRY51" s="198"/>
      <c r="BRZ51" s="198"/>
      <c r="BSA51" s="198"/>
      <c r="BSB51" s="198"/>
      <c r="BSC51" s="198"/>
      <c r="BSD51" s="198"/>
      <c r="BSE51" s="198"/>
      <c r="BSF51" s="198"/>
      <c r="BSG51" s="198"/>
      <c r="BSH51" s="198"/>
      <c r="BSI51" s="198"/>
      <c r="BSJ51" s="198"/>
      <c r="BSK51" s="198"/>
      <c r="BSL51" s="198"/>
      <c r="BSM51" s="198"/>
      <c r="BSN51" s="198"/>
      <c r="BSO51" s="198"/>
      <c r="BSP51" s="198"/>
      <c r="BSQ51" s="198"/>
      <c r="BSR51" s="198"/>
      <c r="BSS51" s="198"/>
      <c r="BST51" s="198"/>
      <c r="BSU51" s="198"/>
      <c r="BSV51" s="198"/>
      <c r="BSW51" s="198"/>
      <c r="BSX51" s="198"/>
      <c r="BSY51" s="198"/>
      <c r="BSZ51" s="198"/>
      <c r="BTA51" s="198"/>
      <c r="BTB51" s="198"/>
      <c r="BTC51" s="198"/>
      <c r="BTD51" s="198"/>
      <c r="BTE51" s="198"/>
      <c r="BTF51" s="198"/>
      <c r="BTG51" s="198"/>
      <c r="BTH51" s="198"/>
      <c r="BTI51" s="198"/>
      <c r="BTJ51" s="198"/>
      <c r="BTK51" s="198"/>
      <c r="BTL51" s="198"/>
      <c r="BTM51" s="198"/>
      <c r="BTN51" s="198"/>
      <c r="BTO51" s="198"/>
      <c r="BTP51" s="198"/>
      <c r="BTQ51" s="198"/>
      <c r="BTR51" s="198"/>
      <c r="BTS51" s="198"/>
      <c r="BTT51" s="198"/>
      <c r="BTU51" s="198"/>
      <c r="BTV51" s="198"/>
      <c r="BTW51" s="198"/>
      <c r="BTX51" s="198"/>
      <c r="BTY51" s="198"/>
      <c r="BTZ51" s="198"/>
      <c r="BUA51" s="198"/>
      <c r="BUB51" s="198"/>
      <c r="BUC51" s="198"/>
      <c r="BUD51" s="198"/>
      <c r="BUE51" s="198"/>
      <c r="BUF51" s="198"/>
      <c r="BUG51" s="198"/>
      <c r="BUH51" s="198"/>
      <c r="BUI51" s="198"/>
      <c r="BUJ51" s="198"/>
      <c r="BUK51" s="198"/>
      <c r="BUL51" s="198"/>
      <c r="BUM51" s="198"/>
      <c r="BUN51" s="198"/>
      <c r="BUO51" s="198"/>
      <c r="BUP51" s="198"/>
      <c r="BUQ51" s="198"/>
      <c r="BUR51" s="198"/>
      <c r="BUS51" s="198"/>
      <c r="BUT51" s="198"/>
      <c r="BUU51" s="198"/>
      <c r="BUV51" s="198"/>
      <c r="BUW51" s="198"/>
      <c r="BUX51" s="198"/>
      <c r="BUY51" s="198"/>
      <c r="BUZ51" s="198"/>
      <c r="BVA51" s="198"/>
      <c r="BVB51" s="198"/>
      <c r="BVC51" s="198"/>
      <c r="BVD51" s="198"/>
      <c r="BVE51" s="198"/>
      <c r="BVF51" s="198"/>
      <c r="BVG51" s="198"/>
      <c r="BVH51" s="198"/>
      <c r="BVI51" s="198"/>
      <c r="BVJ51" s="198"/>
      <c r="BVK51" s="198"/>
      <c r="BVL51" s="198"/>
      <c r="BVM51" s="198"/>
      <c r="BVN51" s="198"/>
      <c r="BVO51" s="198"/>
      <c r="BVP51" s="198"/>
      <c r="BVQ51" s="198"/>
      <c r="BVR51" s="198"/>
      <c r="BVS51" s="198"/>
      <c r="BVT51" s="198"/>
      <c r="BVU51" s="198"/>
      <c r="BVV51" s="198"/>
      <c r="BVW51" s="198"/>
      <c r="BVX51" s="198"/>
      <c r="BVY51" s="198"/>
      <c r="BVZ51" s="198"/>
      <c r="BWA51" s="198"/>
      <c r="BWB51" s="198"/>
      <c r="BWC51" s="198"/>
      <c r="BWD51" s="198"/>
      <c r="BWE51" s="198"/>
      <c r="BWF51" s="198"/>
      <c r="BWG51" s="198"/>
      <c r="BWH51" s="198"/>
      <c r="BWI51" s="198"/>
      <c r="BWJ51" s="198"/>
      <c r="BWK51" s="198"/>
      <c r="BWL51" s="198"/>
      <c r="BWM51" s="198"/>
      <c r="BWN51" s="198"/>
      <c r="BWO51" s="198"/>
      <c r="BWP51" s="198"/>
      <c r="BWQ51" s="198"/>
      <c r="BWR51" s="198"/>
      <c r="BWS51" s="198"/>
      <c r="BWT51" s="198"/>
      <c r="BWU51" s="198"/>
      <c r="BWV51" s="198"/>
      <c r="BWW51" s="198"/>
      <c r="BWX51" s="198"/>
      <c r="BWY51" s="198"/>
      <c r="BWZ51" s="198"/>
      <c r="BXA51" s="198"/>
      <c r="BXB51" s="198"/>
      <c r="BXC51" s="198"/>
      <c r="BXD51" s="198"/>
      <c r="BXE51" s="198"/>
      <c r="BXF51" s="198"/>
      <c r="BXG51" s="198"/>
      <c r="BXH51" s="198"/>
      <c r="BXI51" s="198"/>
      <c r="BXJ51" s="198"/>
      <c r="BXK51" s="198"/>
      <c r="BXL51" s="198"/>
      <c r="BXM51" s="198"/>
      <c r="BXN51" s="198"/>
      <c r="BXO51" s="198"/>
      <c r="BXP51" s="198"/>
      <c r="BXQ51" s="198"/>
      <c r="BXR51" s="198"/>
      <c r="BXS51" s="198"/>
      <c r="BXT51" s="198"/>
      <c r="BXU51" s="198"/>
      <c r="BXV51" s="198"/>
      <c r="BXW51" s="198"/>
      <c r="BXX51" s="198"/>
      <c r="BXY51" s="198"/>
      <c r="BXZ51" s="198"/>
      <c r="BYA51" s="198"/>
      <c r="BYB51" s="198"/>
      <c r="BYC51" s="198"/>
      <c r="BYD51" s="198"/>
      <c r="BYE51" s="198"/>
      <c r="BYF51" s="198"/>
      <c r="BYG51" s="198"/>
    </row>
    <row r="52" spans="1:2009" s="96" customFormat="1" ht="12.75" customHeight="1" x14ac:dyDescent="0.25">
      <c r="A52" s="119"/>
      <c r="B52" s="120"/>
      <c r="C52" s="171"/>
      <c r="D52" s="171"/>
      <c r="E52" s="171"/>
      <c r="F52" s="171"/>
      <c r="G52" s="691"/>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hidden="1" customHeight="1" x14ac:dyDescent="0.25">
      <c r="A53" s="355" t="s">
        <v>183</v>
      </c>
      <c r="B53" s="356"/>
      <c r="C53" s="357"/>
      <c r="D53" s="367"/>
      <c r="E53" s="367"/>
      <c r="F53" s="367"/>
      <c r="G53" s="696"/>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hidden="1" customHeight="1" x14ac:dyDescent="0.25">
      <c r="A54" s="358"/>
      <c r="B54" s="361" t="s">
        <v>221</v>
      </c>
      <c r="C54" s="471"/>
      <c r="D54" s="471"/>
      <c r="E54" s="471"/>
      <c r="F54" s="471"/>
      <c r="G54" s="697">
        <f>SUM(C54:F54)</f>
        <v>0</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121" customFormat="1" ht="24.95" hidden="1" customHeight="1" x14ac:dyDescent="0.25">
      <c r="A55" s="359"/>
      <c r="B55" s="362" t="s">
        <v>222</v>
      </c>
      <c r="C55" s="472"/>
      <c r="D55" s="472"/>
      <c r="E55" s="472"/>
      <c r="F55" s="472"/>
      <c r="G55" s="698">
        <f>SUM(C55:F55)</f>
        <v>0</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121" customFormat="1" ht="24.75" hidden="1" customHeight="1" thickBot="1" x14ac:dyDescent="0.3">
      <c r="A56" s="818" t="s">
        <v>184</v>
      </c>
      <c r="B56" s="819"/>
      <c r="C56" s="360">
        <f t="shared" ref="C56" si="2">SUM(C53:C55)</f>
        <v>0</v>
      </c>
      <c r="D56" s="360"/>
      <c r="E56" s="360"/>
      <c r="F56" s="360"/>
      <c r="G56" s="699">
        <f t="shared" ref="G56" si="3">SUM(G53:G55)</f>
        <v>0</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hidden="1" customHeight="1" thickBot="1" x14ac:dyDescent="0.3">
      <c r="A57" s="111"/>
      <c r="B57" s="111"/>
      <c r="C57" s="176"/>
      <c r="D57" s="176"/>
      <c r="E57" s="176"/>
      <c r="F57" s="176"/>
      <c r="G57" s="680"/>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hidden="1" customHeight="1" thickBot="1" x14ac:dyDescent="0.3">
      <c r="A58" s="479" t="s">
        <v>339</v>
      </c>
      <c r="B58" s="476"/>
      <c r="C58" s="477"/>
      <c r="D58" s="478"/>
      <c r="E58" s="478"/>
      <c r="F58" s="478"/>
      <c r="G58" s="700">
        <f>SUM(C58:F58)</f>
        <v>0</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5" customFormat="1" ht="12.75" customHeight="1" thickBot="1" x14ac:dyDescent="0.3">
      <c r="A59" s="111"/>
      <c r="B59" s="111"/>
      <c r="C59" s="176"/>
      <c r="D59" s="176"/>
      <c r="E59" s="176"/>
      <c r="F59" s="176"/>
      <c r="G59" s="680"/>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row>
    <row r="60" spans="1:2009" s="121" customFormat="1" ht="24.95" customHeight="1" thickBot="1" x14ac:dyDescent="0.3">
      <c r="A60" s="520" t="s">
        <v>326</v>
      </c>
      <c r="B60" s="384"/>
      <c r="C60" s="385">
        <v>5339.03</v>
      </c>
      <c r="D60" s="386"/>
      <c r="E60" s="385"/>
      <c r="F60" s="386"/>
      <c r="G60" s="701">
        <f>SUM(C60:F60)</f>
        <v>5339.03</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121" customFormat="1" ht="13.5" customHeight="1" thickBot="1" x14ac:dyDescent="0.3">
      <c r="A61" s="111"/>
      <c r="B61" s="111"/>
      <c r="C61" s="448"/>
      <c r="D61" s="176"/>
      <c r="E61" s="176"/>
      <c r="F61" s="176"/>
      <c r="G61" s="680"/>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121" customFormat="1" ht="24.95" customHeight="1" thickBot="1" x14ac:dyDescent="0.3">
      <c r="A62" s="475" t="s">
        <v>445</v>
      </c>
      <c r="B62" s="474"/>
      <c r="C62" s="449">
        <v>2490.498</v>
      </c>
      <c r="D62" s="450">
        <v>2040.64</v>
      </c>
      <c r="E62" s="450">
        <v>2176.8200000000002</v>
      </c>
      <c r="F62" s="450"/>
      <c r="G62" s="702">
        <f>SUM(C62:F62)</f>
        <v>6707.9580000000005</v>
      </c>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121" customFormat="1" ht="12" customHeight="1" thickBot="1" x14ac:dyDescent="0.3">
      <c r="A63" s="706"/>
      <c r="B63" s="706"/>
      <c r="C63" s="448"/>
      <c r="D63" s="176"/>
      <c r="E63" s="176"/>
      <c r="F63" s="176"/>
      <c r="G63" s="680"/>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121" customFormat="1" ht="24.95" customHeight="1" thickBot="1" x14ac:dyDescent="0.3">
      <c r="A64" s="707" t="s">
        <v>377</v>
      </c>
      <c r="B64" s="708"/>
      <c r="C64" s="709">
        <v>1250</v>
      </c>
      <c r="D64" s="710"/>
      <c r="E64" s="710"/>
      <c r="F64" s="710"/>
      <c r="G64" s="711">
        <f>SUM(C64:F64)</f>
        <v>1250</v>
      </c>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121" customFormat="1" ht="12" customHeight="1" thickBot="1" x14ac:dyDescent="0.3">
      <c r="A65" s="706"/>
      <c r="B65" s="706"/>
      <c r="C65" s="448"/>
      <c r="D65" s="176"/>
      <c r="E65" s="176"/>
      <c r="F65" s="176"/>
      <c r="G65" s="680"/>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s="121" customFormat="1" ht="24.95" customHeight="1" thickBot="1" x14ac:dyDescent="0.3">
      <c r="A66" s="833" t="s">
        <v>482</v>
      </c>
      <c r="B66" s="834"/>
      <c r="C66" s="835">
        <v>350</v>
      </c>
      <c r="D66" s="836"/>
      <c r="E66" s="836"/>
      <c r="F66" s="836"/>
      <c r="G66" s="837">
        <f>SUM(C66:F66)</f>
        <v>350</v>
      </c>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5"/>
      <c r="LR66" s="95"/>
      <c r="LS66" s="95"/>
      <c r="LT66" s="95"/>
      <c r="LU66" s="95"/>
      <c r="LV66" s="95"/>
      <c r="LW66" s="95"/>
      <c r="LX66" s="95"/>
      <c r="LY66" s="95"/>
      <c r="LZ66" s="95"/>
      <c r="MA66" s="95"/>
      <c r="MB66" s="95"/>
      <c r="MC66" s="95"/>
      <c r="MD66" s="95"/>
      <c r="ME66" s="95"/>
      <c r="MF66" s="95"/>
      <c r="MG66" s="95"/>
      <c r="MH66" s="95"/>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5"/>
      <c r="SD66" s="95"/>
      <c r="SE66" s="95"/>
      <c r="SF66" s="95"/>
      <c r="SG66" s="95"/>
      <c r="SH66" s="95"/>
      <c r="SI66" s="95"/>
      <c r="SJ66" s="95"/>
      <c r="SK66" s="95"/>
      <c r="SL66" s="95"/>
      <c r="SM66" s="95"/>
      <c r="SN66" s="95"/>
      <c r="SO66" s="95"/>
      <c r="SP66" s="95"/>
      <c r="SQ66" s="95"/>
      <c r="SR66" s="95"/>
      <c r="SS66" s="95"/>
      <c r="ST66" s="95"/>
      <c r="SU66" s="95"/>
      <c r="SV66" s="95"/>
      <c r="SW66" s="95"/>
      <c r="SX66" s="95"/>
      <c r="SY66" s="95"/>
      <c r="SZ66" s="95"/>
      <c r="TA66" s="95"/>
      <c r="TB66" s="95"/>
      <c r="TC66" s="95"/>
      <c r="TD66" s="95"/>
      <c r="TE66" s="95"/>
      <c r="TF66" s="95"/>
      <c r="TG66" s="95"/>
      <c r="TH66" s="95"/>
      <c r="TI66" s="95"/>
      <c r="TJ66" s="95"/>
      <c r="TK66" s="95"/>
      <c r="TL66" s="95"/>
      <c r="TM66" s="95"/>
      <c r="TN66" s="95"/>
      <c r="TO66" s="95"/>
      <c r="TP66" s="95"/>
      <c r="TQ66" s="95"/>
      <c r="TR66" s="95"/>
      <c r="TS66" s="95"/>
      <c r="TT66" s="95"/>
      <c r="TU66" s="95"/>
      <c r="TV66" s="95"/>
      <c r="TW66" s="95"/>
      <c r="TX66" s="95"/>
      <c r="TY66" s="95"/>
      <c r="TZ66" s="95"/>
      <c r="UA66" s="95"/>
      <c r="UB66" s="95"/>
      <c r="UC66" s="95"/>
      <c r="UD66" s="95"/>
      <c r="UE66" s="95"/>
      <c r="UF66" s="95"/>
      <c r="UG66" s="95"/>
      <c r="UH66" s="95"/>
      <c r="UI66" s="95"/>
      <c r="UJ66" s="95"/>
      <c r="UK66" s="95"/>
      <c r="UL66" s="95"/>
      <c r="UM66" s="95"/>
      <c r="UN66" s="95"/>
      <c r="UO66" s="95"/>
      <c r="UP66" s="95"/>
      <c r="UQ66" s="95"/>
      <c r="UR66" s="95"/>
      <c r="US66" s="95"/>
      <c r="UT66" s="95"/>
      <c r="UU66" s="95"/>
      <c r="UV66" s="95"/>
      <c r="UW66" s="95"/>
      <c r="UX66" s="95"/>
      <c r="UY66" s="95"/>
      <c r="UZ66" s="95"/>
      <c r="VA66" s="95"/>
      <c r="VB66" s="95"/>
      <c r="VC66" s="95"/>
      <c r="VD66" s="95"/>
      <c r="VE66" s="95"/>
      <c r="VF66" s="95"/>
      <c r="VG66" s="95"/>
      <c r="VH66" s="95"/>
      <c r="VI66" s="95"/>
      <c r="VJ66" s="95"/>
      <c r="VK66" s="95"/>
      <c r="VL66" s="95"/>
      <c r="VM66" s="95"/>
      <c r="VN66" s="95"/>
      <c r="VO66" s="95"/>
      <c r="VP66" s="95"/>
      <c r="VQ66" s="95"/>
      <c r="VR66" s="95"/>
      <c r="VS66" s="95"/>
      <c r="VT66" s="95"/>
      <c r="VU66" s="95"/>
      <c r="VV66" s="95"/>
      <c r="VW66" s="95"/>
      <c r="VX66" s="95"/>
      <c r="VY66" s="95"/>
      <c r="VZ66" s="95"/>
      <c r="WA66" s="95"/>
      <c r="WB66" s="95"/>
      <c r="WC66" s="95"/>
      <c r="WD66" s="95"/>
      <c r="WE66" s="95"/>
      <c r="WF66" s="95"/>
      <c r="WG66" s="95"/>
      <c r="WH66" s="95"/>
      <c r="WI66" s="95"/>
      <c r="WJ66" s="95"/>
      <c r="WK66" s="95"/>
      <c r="WL66" s="95"/>
      <c r="WM66" s="95"/>
      <c r="WN66" s="95"/>
      <c r="WO66" s="95"/>
      <c r="WP66" s="95"/>
      <c r="WQ66" s="95"/>
      <c r="WR66" s="95"/>
      <c r="WS66" s="95"/>
      <c r="WT66" s="95"/>
      <c r="WU66" s="95"/>
      <c r="WV66" s="95"/>
      <c r="WW66" s="95"/>
      <c r="WX66" s="95"/>
      <c r="WY66" s="95"/>
      <c r="WZ66" s="95"/>
      <c r="XA66" s="95"/>
      <c r="XB66" s="95"/>
      <c r="XC66" s="95"/>
      <c r="XD66" s="95"/>
      <c r="XE66" s="95"/>
      <c r="XF66" s="95"/>
      <c r="XG66" s="95"/>
      <c r="XH66" s="95"/>
      <c r="XI66" s="95"/>
      <c r="XJ66" s="95"/>
      <c r="XK66" s="95"/>
      <c r="XL66" s="95"/>
      <c r="XM66" s="95"/>
      <c r="XN66" s="95"/>
      <c r="XO66" s="95"/>
      <c r="XP66" s="95"/>
      <c r="XQ66" s="95"/>
      <c r="XR66" s="95"/>
      <c r="XS66" s="95"/>
      <c r="XT66" s="95"/>
      <c r="XU66" s="95"/>
      <c r="XV66" s="95"/>
      <c r="XW66" s="95"/>
      <c r="XX66" s="95"/>
      <c r="XY66" s="95"/>
      <c r="XZ66" s="95"/>
      <c r="YA66" s="95"/>
      <c r="YB66" s="95"/>
      <c r="YC66" s="95"/>
      <c r="YD66" s="95"/>
      <c r="YE66" s="95"/>
      <c r="YF66" s="95"/>
      <c r="YG66" s="95"/>
      <c r="YH66" s="95"/>
      <c r="YI66" s="95"/>
      <c r="YJ66" s="95"/>
      <c r="YK66" s="95"/>
      <c r="YL66" s="95"/>
      <c r="YM66" s="95"/>
      <c r="YN66" s="95"/>
      <c r="YO66" s="95"/>
      <c r="YP66" s="95"/>
      <c r="YQ66" s="95"/>
      <c r="YR66" s="95"/>
      <c r="YS66" s="95"/>
      <c r="YT66" s="95"/>
      <c r="YU66" s="95"/>
      <c r="YV66" s="95"/>
      <c r="YW66" s="95"/>
      <c r="YX66" s="95"/>
      <c r="YY66" s="95"/>
      <c r="YZ66" s="95"/>
      <c r="ZA66" s="95"/>
      <c r="ZB66" s="95"/>
      <c r="ZC66" s="95"/>
      <c r="ZD66" s="95"/>
      <c r="ZE66" s="95"/>
      <c r="ZF66" s="95"/>
      <c r="ZG66" s="95"/>
      <c r="ZH66" s="95"/>
      <c r="ZI66" s="95"/>
      <c r="ZJ66" s="95"/>
      <c r="ZK66" s="95"/>
      <c r="ZL66" s="95"/>
      <c r="ZM66" s="95"/>
      <c r="ZN66" s="95"/>
      <c r="ZO66" s="95"/>
      <c r="ZP66" s="95"/>
      <c r="ZQ66" s="95"/>
      <c r="ZR66" s="95"/>
      <c r="ZS66" s="95"/>
      <c r="ZT66" s="95"/>
      <c r="ZU66" s="95"/>
      <c r="ZV66" s="95"/>
      <c r="ZW66" s="95"/>
      <c r="ZX66" s="95"/>
      <c r="ZY66" s="95"/>
      <c r="ZZ66" s="95"/>
      <c r="AAA66" s="95"/>
      <c r="AAB66" s="95"/>
      <c r="AAC66" s="95"/>
      <c r="AAD66" s="95"/>
      <c r="AAE66" s="95"/>
      <c r="AAF66" s="95"/>
      <c r="AAG66" s="95"/>
      <c r="AAH66" s="95"/>
      <c r="AAI66" s="95"/>
      <c r="AAJ66" s="95"/>
      <c r="AAK66" s="95"/>
      <c r="AAL66" s="95"/>
      <c r="AAM66" s="95"/>
      <c r="AAN66" s="95"/>
      <c r="AAO66" s="95"/>
      <c r="AAP66" s="95"/>
      <c r="AAQ66" s="95"/>
      <c r="AAR66" s="95"/>
      <c r="AAS66" s="95"/>
      <c r="AAT66" s="95"/>
      <c r="AAU66" s="95"/>
      <c r="AAV66" s="95"/>
      <c r="AAW66" s="95"/>
      <c r="AAX66" s="95"/>
      <c r="AAY66" s="95"/>
      <c r="AAZ66" s="95"/>
      <c r="ABA66" s="95"/>
      <c r="ABB66" s="95"/>
      <c r="ABC66" s="95"/>
      <c r="ABD66" s="95"/>
      <c r="ABE66" s="95"/>
      <c r="ABF66" s="95"/>
      <c r="ABG66" s="95"/>
      <c r="ABH66" s="95"/>
      <c r="ABI66" s="95"/>
      <c r="ABJ66" s="95"/>
      <c r="ABK66" s="95"/>
      <c r="ABL66" s="95"/>
      <c r="ABM66" s="95"/>
      <c r="ABN66" s="95"/>
      <c r="ABO66" s="95"/>
      <c r="ABP66" s="95"/>
      <c r="ABQ66" s="95"/>
      <c r="ABR66" s="95"/>
      <c r="ABS66" s="95"/>
      <c r="ABT66" s="95"/>
      <c r="ABU66" s="95"/>
      <c r="ABV66" s="95"/>
      <c r="ABW66" s="95"/>
      <c r="ABX66" s="95"/>
      <c r="ABY66" s="95"/>
      <c r="ABZ66" s="95"/>
      <c r="ACA66" s="95"/>
      <c r="ACB66" s="95"/>
      <c r="ACC66" s="95"/>
      <c r="ACD66" s="95"/>
      <c r="ACE66" s="95"/>
      <c r="ACF66" s="95"/>
      <c r="ACG66" s="95"/>
      <c r="ACH66" s="95"/>
      <c r="ACI66" s="95"/>
      <c r="ACJ66" s="95"/>
      <c r="ACK66" s="95"/>
      <c r="ACL66" s="95"/>
      <c r="ACM66" s="95"/>
      <c r="ACN66" s="95"/>
      <c r="ACO66" s="95"/>
      <c r="ACP66" s="95"/>
      <c r="ACQ66" s="95"/>
      <c r="ACR66" s="95"/>
      <c r="ACS66" s="95"/>
      <c r="ACT66" s="95"/>
      <c r="ACU66" s="95"/>
      <c r="ACV66" s="95"/>
      <c r="ACW66" s="95"/>
      <c r="ACX66" s="95"/>
      <c r="ACY66" s="95"/>
      <c r="ACZ66" s="95"/>
      <c r="ADA66" s="95"/>
      <c r="ADB66" s="95"/>
      <c r="ADC66" s="95"/>
      <c r="ADD66" s="95"/>
      <c r="ADE66" s="95"/>
      <c r="ADF66" s="95"/>
      <c r="ADG66" s="95"/>
      <c r="ADH66" s="95"/>
      <c r="ADI66" s="95"/>
      <c r="ADJ66" s="95"/>
      <c r="ADK66" s="95"/>
      <c r="ADL66" s="95"/>
      <c r="ADM66" s="95"/>
      <c r="ADN66" s="95"/>
      <c r="ADO66" s="95"/>
      <c r="ADP66" s="95"/>
      <c r="ADQ66" s="95"/>
      <c r="ADR66" s="95"/>
      <c r="ADS66" s="95"/>
      <c r="ADT66" s="95"/>
      <c r="ADU66" s="95"/>
      <c r="ADV66" s="95"/>
      <c r="ADW66" s="95"/>
      <c r="ADX66" s="95"/>
      <c r="ADY66" s="95"/>
      <c r="ADZ66" s="95"/>
      <c r="AEA66" s="95"/>
      <c r="AEB66" s="95"/>
      <c r="AEC66" s="95"/>
      <c r="AED66" s="95"/>
      <c r="AEE66" s="95"/>
      <c r="AEF66" s="95"/>
      <c r="AEG66" s="95"/>
      <c r="AEH66" s="95"/>
      <c r="AEI66" s="95"/>
      <c r="AEJ66" s="95"/>
      <c r="AEK66" s="95"/>
      <c r="AEL66" s="95"/>
      <c r="AEM66" s="95"/>
      <c r="AEN66" s="95"/>
      <c r="AEO66" s="95"/>
      <c r="AEP66" s="95"/>
      <c r="AEQ66" s="95"/>
      <c r="AER66" s="95"/>
      <c r="AES66" s="95"/>
      <c r="AET66" s="95"/>
      <c r="AEU66" s="95"/>
      <c r="AEV66" s="95"/>
      <c r="AEW66" s="95"/>
      <c r="AEX66" s="95"/>
      <c r="AEY66" s="95"/>
      <c r="AEZ66" s="95"/>
      <c r="AFA66" s="95"/>
      <c r="AFB66" s="95"/>
      <c r="AFC66" s="95"/>
      <c r="AFD66" s="95"/>
      <c r="AFE66" s="95"/>
      <c r="AFF66" s="95"/>
      <c r="AFG66" s="95"/>
      <c r="AFH66" s="95"/>
      <c r="AFI66" s="95"/>
      <c r="AFJ66" s="95"/>
      <c r="AFK66" s="95"/>
      <c r="AFL66" s="95"/>
      <c r="AFM66" s="95"/>
      <c r="AFN66" s="95"/>
      <c r="AFO66" s="95"/>
      <c r="AFP66" s="95"/>
      <c r="AFQ66" s="95"/>
      <c r="AFR66" s="95"/>
      <c r="AFS66" s="95"/>
      <c r="AFT66" s="95"/>
      <c r="AFU66" s="95"/>
      <c r="AFV66" s="95"/>
      <c r="AFW66" s="95"/>
      <c r="AFX66" s="95"/>
      <c r="AFY66" s="95"/>
      <c r="AFZ66" s="95"/>
      <c r="AGA66" s="95"/>
      <c r="AGB66" s="95"/>
      <c r="AGC66" s="95"/>
      <c r="AGD66" s="95"/>
      <c r="AGE66" s="95"/>
      <c r="AGF66" s="95"/>
      <c r="AGG66" s="95"/>
      <c r="AGH66" s="95"/>
      <c r="AGI66" s="95"/>
      <c r="AGJ66" s="95"/>
      <c r="AGK66" s="95"/>
      <c r="AGL66" s="95"/>
      <c r="AGM66" s="95"/>
      <c r="AGN66" s="95"/>
      <c r="AGO66" s="95"/>
      <c r="AGP66" s="95"/>
      <c r="AGQ66" s="95"/>
      <c r="AGR66" s="95"/>
      <c r="AGS66" s="95"/>
      <c r="AGT66" s="95"/>
      <c r="AGU66" s="95"/>
      <c r="AGV66" s="95"/>
      <c r="AGW66" s="95"/>
      <c r="AGX66" s="95"/>
      <c r="AGY66" s="95"/>
      <c r="AGZ66" s="95"/>
      <c r="AHA66" s="95"/>
      <c r="AHB66" s="95"/>
      <c r="AHC66" s="95"/>
      <c r="AHD66" s="95"/>
      <c r="AHE66" s="95"/>
      <c r="AHF66" s="95"/>
      <c r="AHG66" s="95"/>
      <c r="AHH66" s="95"/>
      <c r="AHI66" s="95"/>
      <c r="AHJ66" s="95"/>
      <c r="AHK66" s="95"/>
      <c r="AHL66" s="95"/>
      <c r="AHM66" s="95"/>
      <c r="AHN66" s="95"/>
      <c r="AHO66" s="95"/>
      <c r="AHP66" s="95"/>
      <c r="AHQ66" s="95"/>
      <c r="AHR66" s="95"/>
      <c r="AHS66" s="95"/>
      <c r="AHT66" s="95"/>
      <c r="AHU66" s="95"/>
      <c r="AHV66" s="95"/>
      <c r="AHW66" s="95"/>
      <c r="AHX66" s="95"/>
      <c r="AHY66" s="95"/>
      <c r="AHZ66" s="95"/>
      <c r="AIA66" s="95"/>
      <c r="AIB66" s="95"/>
      <c r="AIC66" s="95"/>
      <c r="AID66" s="95"/>
      <c r="AIE66" s="95"/>
      <c r="AIF66" s="95"/>
      <c r="AIG66" s="95"/>
      <c r="AIH66" s="95"/>
      <c r="AII66" s="95"/>
      <c r="AIJ66" s="95"/>
      <c r="AIK66" s="95"/>
      <c r="AIL66" s="95"/>
      <c r="AIM66" s="95"/>
      <c r="AIN66" s="95"/>
      <c r="AIO66" s="95"/>
      <c r="AIP66" s="95"/>
      <c r="AIQ66" s="95"/>
      <c r="AIR66" s="95"/>
      <c r="AIS66" s="95"/>
      <c r="AIT66" s="95"/>
      <c r="AIU66" s="95"/>
      <c r="AIV66" s="95"/>
      <c r="AIW66" s="95"/>
      <c r="AIX66" s="95"/>
      <c r="AIY66" s="95"/>
      <c r="AIZ66" s="95"/>
      <c r="AJA66" s="95"/>
      <c r="AJB66" s="95"/>
      <c r="AJC66" s="95"/>
      <c r="AJD66" s="95"/>
      <c r="AJE66" s="95"/>
      <c r="AJF66" s="95"/>
      <c r="AJG66" s="95"/>
      <c r="AJH66" s="95"/>
      <c r="AJI66" s="95"/>
      <c r="AJJ66" s="95"/>
      <c r="AJK66" s="95"/>
      <c r="AJL66" s="95"/>
      <c r="AJM66" s="95"/>
      <c r="AJN66" s="95"/>
      <c r="AJO66" s="95"/>
      <c r="AJP66" s="95"/>
      <c r="AJQ66" s="95"/>
      <c r="AJR66" s="95"/>
      <c r="AJS66" s="95"/>
      <c r="AJT66" s="95"/>
      <c r="AJU66" s="95"/>
      <c r="AJV66" s="95"/>
      <c r="AJW66" s="95"/>
      <c r="AJX66" s="95"/>
      <c r="AJY66" s="95"/>
      <c r="AJZ66" s="95"/>
      <c r="AKA66" s="95"/>
      <c r="AKB66" s="95"/>
      <c r="AKC66" s="95"/>
      <c r="AKD66" s="95"/>
      <c r="AKE66" s="95"/>
      <c r="AKF66" s="95"/>
      <c r="AKG66" s="95"/>
      <c r="AKH66" s="95"/>
      <c r="AKI66" s="95"/>
      <c r="AKJ66" s="95"/>
      <c r="AKK66" s="95"/>
      <c r="AKL66" s="95"/>
      <c r="AKM66" s="95"/>
      <c r="AKN66" s="95"/>
      <c r="AKO66" s="95"/>
      <c r="AKP66" s="95"/>
      <c r="AKQ66" s="95"/>
      <c r="AKR66" s="95"/>
      <c r="AKS66" s="95"/>
      <c r="AKT66" s="95"/>
      <c r="AKU66" s="95"/>
      <c r="AKV66" s="95"/>
      <c r="AKW66" s="95"/>
      <c r="AKX66" s="95"/>
      <c r="AKY66" s="95"/>
      <c r="AKZ66" s="95"/>
      <c r="ALA66" s="95"/>
      <c r="ALB66" s="95"/>
      <c r="ALC66" s="95"/>
      <c r="ALD66" s="95"/>
      <c r="ALE66" s="95"/>
      <c r="ALF66" s="95"/>
      <c r="ALG66" s="95"/>
      <c r="ALH66" s="95"/>
      <c r="ALI66" s="95"/>
      <c r="ALJ66" s="95"/>
      <c r="ALK66" s="95"/>
      <c r="ALL66" s="95"/>
      <c r="ALM66" s="95"/>
      <c r="ALN66" s="95"/>
      <c r="ALO66" s="95"/>
      <c r="ALP66" s="95"/>
      <c r="ALQ66" s="95"/>
      <c r="ALR66" s="95"/>
      <c r="ALS66" s="95"/>
      <c r="ALT66" s="95"/>
      <c r="ALU66" s="95"/>
      <c r="ALV66" s="95"/>
      <c r="ALW66" s="95"/>
      <c r="ALX66" s="95"/>
      <c r="ALY66" s="95"/>
      <c r="ALZ66" s="95"/>
      <c r="AMA66" s="95"/>
      <c r="AMB66" s="95"/>
      <c r="AMC66" s="95"/>
      <c r="AMD66" s="95"/>
      <c r="AME66" s="95"/>
      <c r="AMF66" s="95"/>
      <c r="AMG66" s="95"/>
      <c r="AMH66" s="95"/>
      <c r="AMI66" s="95"/>
      <c r="AMJ66" s="95"/>
      <c r="AMK66" s="95"/>
      <c r="AML66" s="95"/>
      <c r="AMM66" s="95"/>
      <c r="AMN66" s="95"/>
      <c r="AMO66" s="95"/>
      <c r="AMP66" s="95"/>
      <c r="AMQ66" s="95"/>
      <c r="AMR66" s="95"/>
      <c r="AMS66" s="95"/>
      <c r="AMT66" s="95"/>
      <c r="AMU66" s="95"/>
      <c r="AMV66" s="95"/>
      <c r="AMW66" s="95"/>
      <c r="AMX66" s="95"/>
      <c r="AMY66" s="95"/>
      <c r="AMZ66" s="95"/>
      <c r="ANA66" s="95"/>
      <c r="ANB66" s="95"/>
      <c r="ANC66" s="95"/>
      <c r="AND66" s="95"/>
      <c r="ANE66" s="95"/>
      <c r="ANF66" s="95"/>
      <c r="ANG66" s="95"/>
      <c r="ANH66" s="95"/>
      <c r="ANI66" s="95"/>
      <c r="ANJ66" s="95"/>
      <c r="ANK66" s="95"/>
      <c r="ANL66" s="95"/>
      <c r="ANM66" s="95"/>
      <c r="ANN66" s="95"/>
      <c r="ANO66" s="95"/>
      <c r="ANP66" s="95"/>
      <c r="ANQ66" s="95"/>
      <c r="ANR66" s="95"/>
      <c r="ANS66" s="95"/>
      <c r="ANT66" s="95"/>
      <c r="ANU66" s="95"/>
      <c r="ANV66" s="95"/>
      <c r="ANW66" s="95"/>
      <c r="ANX66" s="95"/>
      <c r="ANY66" s="95"/>
      <c r="ANZ66" s="95"/>
      <c r="AOA66" s="95"/>
      <c r="AOB66" s="95"/>
      <c r="AOC66" s="95"/>
      <c r="AOD66" s="95"/>
      <c r="AOE66" s="95"/>
      <c r="AOF66" s="95"/>
      <c r="AOG66" s="95"/>
      <c r="AOH66" s="95"/>
      <c r="AOI66" s="95"/>
      <c r="AOJ66" s="95"/>
      <c r="AOK66" s="95"/>
      <c r="AOL66" s="95"/>
      <c r="AOM66" s="95"/>
      <c r="AON66" s="95"/>
      <c r="AOO66" s="95"/>
      <c r="AOP66" s="95"/>
      <c r="AOQ66" s="95"/>
      <c r="AOR66" s="95"/>
      <c r="AOS66" s="95"/>
      <c r="AOT66" s="95"/>
      <c r="AOU66" s="95"/>
      <c r="AOV66" s="95"/>
      <c r="AOW66" s="95"/>
      <c r="AOX66" s="95"/>
      <c r="AOY66" s="95"/>
      <c r="AOZ66" s="95"/>
      <c r="APA66" s="95"/>
      <c r="APB66" s="95"/>
      <c r="APC66" s="95"/>
      <c r="APD66" s="95"/>
      <c r="APE66" s="95"/>
      <c r="APF66" s="95"/>
      <c r="APG66" s="95"/>
      <c r="APH66" s="95"/>
      <c r="API66" s="95"/>
      <c r="APJ66" s="95"/>
      <c r="APK66" s="95"/>
      <c r="APL66" s="95"/>
      <c r="APM66" s="95"/>
      <c r="APN66" s="95"/>
      <c r="APO66" s="95"/>
      <c r="APP66" s="95"/>
      <c r="APQ66" s="95"/>
      <c r="APR66" s="95"/>
      <c r="APS66" s="95"/>
      <c r="APT66" s="95"/>
      <c r="APU66" s="95"/>
      <c r="APV66" s="95"/>
      <c r="APW66" s="95"/>
      <c r="APX66" s="95"/>
      <c r="APY66" s="95"/>
      <c r="APZ66" s="95"/>
      <c r="AQA66" s="95"/>
      <c r="AQB66" s="95"/>
      <c r="AQC66" s="95"/>
      <c r="AQD66" s="95"/>
      <c r="AQE66" s="95"/>
      <c r="AQF66" s="95"/>
      <c r="AQG66" s="95"/>
      <c r="AQH66" s="95"/>
      <c r="AQI66" s="95"/>
      <c r="AQJ66" s="95"/>
      <c r="AQK66" s="95"/>
      <c r="AQL66" s="95"/>
      <c r="AQM66" s="95"/>
      <c r="AQN66" s="95"/>
      <c r="AQO66" s="95"/>
      <c r="AQP66" s="95"/>
      <c r="AQQ66" s="95"/>
      <c r="AQR66" s="95"/>
      <c r="AQS66" s="95"/>
      <c r="AQT66" s="95"/>
      <c r="AQU66" s="95"/>
      <c r="AQV66" s="95"/>
      <c r="AQW66" s="95"/>
      <c r="AQX66" s="95"/>
      <c r="AQY66" s="95"/>
      <c r="AQZ66" s="95"/>
      <c r="ARA66" s="95"/>
      <c r="ARB66" s="95"/>
      <c r="ARC66" s="95"/>
      <c r="ARD66" s="95"/>
      <c r="ARE66" s="95"/>
      <c r="ARF66" s="95"/>
      <c r="ARG66" s="95"/>
      <c r="ARH66" s="95"/>
      <c r="ARI66" s="95"/>
      <c r="ARJ66" s="95"/>
      <c r="ARK66" s="95"/>
      <c r="ARL66" s="95"/>
      <c r="ARM66" s="95"/>
      <c r="ARN66" s="95"/>
      <c r="ARO66" s="95"/>
      <c r="ARP66" s="95"/>
      <c r="ARQ66" s="95"/>
      <c r="ARR66" s="95"/>
      <c r="ARS66" s="95"/>
      <c r="ART66" s="95"/>
      <c r="ARU66" s="95"/>
      <c r="ARV66" s="95"/>
      <c r="ARW66" s="95"/>
      <c r="ARX66" s="95"/>
      <c r="ARY66" s="95"/>
      <c r="ARZ66" s="95"/>
      <c r="ASA66" s="95"/>
      <c r="ASB66" s="95"/>
      <c r="ASC66" s="95"/>
      <c r="ASD66" s="95"/>
      <c r="ASE66" s="95"/>
      <c r="ASF66" s="95"/>
      <c r="ASG66" s="95"/>
      <c r="ASH66" s="95"/>
      <c r="ASI66" s="95"/>
      <c r="ASJ66" s="95"/>
      <c r="ASK66" s="95"/>
      <c r="ASL66" s="95"/>
      <c r="ASM66" s="95"/>
      <c r="ASN66" s="95"/>
      <c r="ASO66" s="95"/>
      <c r="ASP66" s="95"/>
      <c r="ASQ66" s="95"/>
      <c r="ASR66" s="95"/>
      <c r="ASS66" s="95"/>
      <c r="AST66" s="95"/>
      <c r="ASU66" s="95"/>
      <c r="ASV66" s="95"/>
      <c r="ASW66" s="95"/>
      <c r="ASX66" s="95"/>
      <c r="ASY66" s="95"/>
      <c r="ASZ66" s="95"/>
      <c r="ATA66" s="95"/>
      <c r="ATB66" s="95"/>
      <c r="ATC66" s="95"/>
      <c r="ATD66" s="95"/>
      <c r="ATE66" s="95"/>
      <c r="ATF66" s="95"/>
      <c r="ATG66" s="95"/>
      <c r="ATH66" s="95"/>
      <c r="ATI66" s="95"/>
      <c r="ATJ66" s="95"/>
      <c r="ATK66" s="95"/>
      <c r="ATL66" s="95"/>
      <c r="ATM66" s="95"/>
      <c r="ATN66" s="95"/>
      <c r="ATO66" s="95"/>
      <c r="ATP66" s="95"/>
      <c r="ATQ66" s="95"/>
      <c r="ATR66" s="95"/>
      <c r="ATS66" s="95"/>
      <c r="ATT66" s="95"/>
      <c r="ATU66" s="95"/>
      <c r="ATV66" s="95"/>
      <c r="ATW66" s="95"/>
      <c r="ATX66" s="95"/>
      <c r="ATY66" s="95"/>
      <c r="ATZ66" s="95"/>
      <c r="AUA66" s="95"/>
      <c r="AUB66" s="95"/>
      <c r="AUC66" s="95"/>
      <c r="AUD66" s="95"/>
      <c r="AUE66" s="95"/>
      <c r="AUF66" s="95"/>
      <c r="AUG66" s="95"/>
      <c r="AUH66" s="95"/>
      <c r="AUI66" s="95"/>
      <c r="AUJ66" s="95"/>
      <c r="AUK66" s="95"/>
      <c r="AUL66" s="95"/>
      <c r="AUM66" s="95"/>
      <c r="AUN66" s="95"/>
      <c r="AUO66" s="95"/>
      <c r="AUP66" s="95"/>
      <c r="AUQ66" s="95"/>
      <c r="AUR66" s="95"/>
      <c r="AUS66" s="95"/>
      <c r="AUT66" s="95"/>
      <c r="AUU66" s="95"/>
      <c r="AUV66" s="95"/>
      <c r="AUW66" s="95"/>
      <c r="AUX66" s="95"/>
      <c r="AUY66" s="95"/>
      <c r="AUZ66" s="95"/>
      <c r="AVA66" s="95"/>
      <c r="AVB66" s="95"/>
      <c r="AVC66" s="95"/>
      <c r="AVD66" s="95"/>
      <c r="AVE66" s="95"/>
      <c r="AVF66" s="95"/>
      <c r="AVG66" s="95"/>
      <c r="AVH66" s="95"/>
      <c r="AVI66" s="95"/>
      <c r="AVJ66" s="95"/>
      <c r="AVK66" s="95"/>
      <c r="AVL66" s="95"/>
      <c r="AVM66" s="95"/>
      <c r="AVN66" s="95"/>
      <c r="AVO66" s="95"/>
      <c r="AVP66" s="95"/>
      <c r="AVQ66" s="95"/>
      <c r="AVR66" s="95"/>
      <c r="AVS66" s="95"/>
      <c r="AVT66" s="95"/>
      <c r="AVU66" s="95"/>
      <c r="AVV66" s="95"/>
      <c r="AVW66" s="95"/>
      <c r="AVX66" s="95"/>
      <c r="AVY66" s="95"/>
      <c r="AVZ66" s="95"/>
      <c r="AWA66" s="95"/>
      <c r="AWB66" s="95"/>
      <c r="AWC66" s="95"/>
      <c r="AWD66" s="95"/>
      <c r="AWE66" s="95"/>
      <c r="AWF66" s="95"/>
      <c r="AWG66" s="95"/>
      <c r="AWH66" s="95"/>
      <c r="AWI66" s="95"/>
      <c r="AWJ66" s="95"/>
      <c r="AWK66" s="95"/>
      <c r="AWL66" s="95"/>
      <c r="AWM66" s="95"/>
      <c r="AWN66" s="95"/>
      <c r="AWO66" s="95"/>
      <c r="AWP66" s="95"/>
      <c r="AWQ66" s="95"/>
      <c r="AWR66" s="95"/>
      <c r="AWS66" s="95"/>
      <c r="AWT66" s="95"/>
      <c r="AWU66" s="95"/>
      <c r="AWV66" s="95"/>
      <c r="AWW66" s="95"/>
      <c r="AWX66" s="95"/>
      <c r="AWY66" s="95"/>
      <c r="AWZ66" s="95"/>
      <c r="AXA66" s="95"/>
      <c r="AXB66" s="95"/>
      <c r="AXC66" s="95"/>
      <c r="AXD66" s="95"/>
      <c r="AXE66" s="95"/>
      <c r="AXF66" s="95"/>
      <c r="AXG66" s="95"/>
      <c r="AXH66" s="95"/>
      <c r="AXI66" s="95"/>
      <c r="AXJ66" s="95"/>
      <c r="AXK66" s="95"/>
      <c r="AXL66" s="95"/>
      <c r="AXM66" s="95"/>
      <c r="AXN66" s="95"/>
      <c r="AXO66" s="95"/>
      <c r="AXP66" s="95"/>
      <c r="AXQ66" s="95"/>
      <c r="AXR66" s="95"/>
      <c r="AXS66" s="95"/>
      <c r="AXT66" s="95"/>
      <c r="AXU66" s="95"/>
      <c r="AXV66" s="95"/>
      <c r="AXW66" s="95"/>
      <c r="AXX66" s="95"/>
      <c r="AXY66" s="95"/>
      <c r="AXZ66" s="95"/>
      <c r="AYA66" s="95"/>
      <c r="AYB66" s="95"/>
      <c r="AYC66" s="95"/>
      <c r="AYD66" s="95"/>
      <c r="AYE66" s="95"/>
      <c r="AYF66" s="95"/>
      <c r="AYG66" s="95"/>
      <c r="AYH66" s="95"/>
      <c r="AYI66" s="95"/>
      <c r="AYJ66" s="95"/>
      <c r="AYK66" s="95"/>
      <c r="AYL66" s="95"/>
      <c r="AYM66" s="95"/>
      <c r="AYN66" s="95"/>
      <c r="AYO66" s="95"/>
      <c r="AYP66" s="95"/>
      <c r="AYQ66" s="95"/>
      <c r="AYR66" s="95"/>
      <c r="AYS66" s="95"/>
      <c r="AYT66" s="95"/>
      <c r="AYU66" s="95"/>
      <c r="AYV66" s="95"/>
      <c r="AYW66" s="95"/>
      <c r="AYX66" s="95"/>
      <c r="AYY66" s="95"/>
      <c r="AYZ66" s="95"/>
      <c r="AZA66" s="95"/>
      <c r="AZB66" s="95"/>
      <c r="AZC66" s="95"/>
      <c r="AZD66" s="95"/>
      <c r="AZE66" s="95"/>
      <c r="AZF66" s="95"/>
      <c r="AZG66" s="95"/>
      <c r="AZH66" s="95"/>
      <c r="AZI66" s="95"/>
      <c r="AZJ66" s="95"/>
      <c r="AZK66" s="95"/>
      <c r="AZL66" s="95"/>
      <c r="AZM66" s="95"/>
      <c r="AZN66" s="95"/>
      <c r="AZO66" s="95"/>
      <c r="AZP66" s="95"/>
      <c r="AZQ66" s="95"/>
      <c r="AZR66" s="95"/>
      <c r="AZS66" s="95"/>
      <c r="AZT66" s="95"/>
      <c r="AZU66" s="95"/>
      <c r="AZV66" s="95"/>
      <c r="AZW66" s="95"/>
      <c r="AZX66" s="95"/>
      <c r="AZY66" s="95"/>
      <c r="AZZ66" s="95"/>
      <c r="BAA66" s="95"/>
      <c r="BAB66" s="95"/>
      <c r="BAC66" s="95"/>
      <c r="BAD66" s="95"/>
      <c r="BAE66" s="95"/>
      <c r="BAF66" s="95"/>
      <c r="BAG66" s="95"/>
      <c r="BAH66" s="95"/>
      <c r="BAI66" s="95"/>
      <c r="BAJ66" s="95"/>
      <c r="BAK66" s="95"/>
      <c r="BAL66" s="95"/>
      <c r="BAM66" s="95"/>
      <c r="BAN66" s="95"/>
      <c r="BAO66" s="95"/>
      <c r="BAP66" s="95"/>
      <c r="BAQ66" s="95"/>
      <c r="BAR66" s="95"/>
      <c r="BAS66" s="95"/>
      <c r="BAT66" s="95"/>
      <c r="BAU66" s="95"/>
      <c r="BAV66" s="95"/>
      <c r="BAW66" s="95"/>
      <c r="BAX66" s="95"/>
      <c r="BAY66" s="95"/>
      <c r="BAZ66" s="95"/>
      <c r="BBA66" s="95"/>
      <c r="BBB66" s="95"/>
      <c r="BBC66" s="95"/>
      <c r="BBD66" s="95"/>
      <c r="BBE66" s="95"/>
      <c r="BBF66" s="95"/>
      <c r="BBG66" s="95"/>
      <c r="BBH66" s="95"/>
      <c r="BBI66" s="95"/>
      <c r="BBJ66" s="95"/>
      <c r="BBK66" s="95"/>
      <c r="BBL66" s="95"/>
      <c r="BBM66" s="95"/>
      <c r="BBN66" s="95"/>
      <c r="BBO66" s="95"/>
      <c r="BBP66" s="95"/>
      <c r="BBQ66" s="95"/>
      <c r="BBR66" s="95"/>
      <c r="BBS66" s="95"/>
      <c r="BBT66" s="95"/>
      <c r="BBU66" s="95"/>
      <c r="BBV66" s="95"/>
      <c r="BBW66" s="95"/>
      <c r="BBX66" s="95"/>
      <c r="BBY66" s="95"/>
      <c r="BBZ66" s="95"/>
      <c r="BCA66" s="95"/>
      <c r="BCB66" s="95"/>
      <c r="BCC66" s="95"/>
      <c r="BCD66" s="95"/>
      <c r="BCE66" s="95"/>
      <c r="BCF66" s="95"/>
      <c r="BCG66" s="95"/>
      <c r="BCH66" s="95"/>
      <c r="BCI66" s="95"/>
      <c r="BCJ66" s="95"/>
      <c r="BCK66" s="95"/>
      <c r="BCL66" s="95"/>
      <c r="BCM66" s="95"/>
      <c r="BCN66" s="95"/>
      <c r="BCO66" s="95"/>
      <c r="BCP66" s="95"/>
      <c r="BCQ66" s="95"/>
      <c r="BCR66" s="95"/>
      <c r="BCS66" s="95"/>
      <c r="BCT66" s="95"/>
      <c r="BCU66" s="95"/>
      <c r="BCV66" s="95"/>
      <c r="BCW66" s="95"/>
      <c r="BCX66" s="95"/>
      <c r="BCY66" s="95"/>
      <c r="BCZ66" s="95"/>
      <c r="BDA66" s="95"/>
      <c r="BDB66" s="95"/>
      <c r="BDC66" s="95"/>
      <c r="BDD66" s="95"/>
      <c r="BDE66" s="95"/>
      <c r="BDF66" s="95"/>
      <c r="BDG66" s="95"/>
      <c r="BDH66" s="95"/>
      <c r="BDI66" s="95"/>
      <c r="BDJ66" s="95"/>
      <c r="BDK66" s="95"/>
      <c r="BDL66" s="95"/>
      <c r="BDM66" s="95"/>
      <c r="BDN66" s="95"/>
      <c r="BDO66" s="95"/>
      <c r="BDP66" s="95"/>
      <c r="BDQ66" s="95"/>
      <c r="BDR66" s="95"/>
      <c r="BDS66" s="95"/>
      <c r="BDT66" s="95"/>
      <c r="BDU66" s="95"/>
      <c r="BDV66" s="95"/>
      <c r="BDW66" s="95"/>
      <c r="BDX66" s="95"/>
      <c r="BDY66" s="95"/>
      <c r="BDZ66" s="95"/>
      <c r="BEA66" s="95"/>
      <c r="BEB66" s="95"/>
      <c r="BEC66" s="95"/>
      <c r="BED66" s="95"/>
      <c r="BEE66" s="95"/>
      <c r="BEF66" s="95"/>
      <c r="BEG66" s="95"/>
      <c r="BEH66" s="95"/>
      <c r="BEI66" s="95"/>
      <c r="BEJ66" s="95"/>
      <c r="BEK66" s="95"/>
      <c r="BEL66" s="95"/>
      <c r="BEM66" s="95"/>
      <c r="BEN66" s="95"/>
      <c r="BEO66" s="95"/>
      <c r="BEP66" s="95"/>
      <c r="BEQ66" s="95"/>
      <c r="BER66" s="95"/>
      <c r="BES66" s="95"/>
      <c r="BET66" s="95"/>
      <c r="BEU66" s="95"/>
      <c r="BEV66" s="95"/>
      <c r="BEW66" s="95"/>
      <c r="BEX66" s="95"/>
      <c r="BEY66" s="95"/>
      <c r="BEZ66" s="95"/>
      <c r="BFA66" s="95"/>
      <c r="BFB66" s="95"/>
      <c r="BFC66" s="95"/>
      <c r="BFD66" s="95"/>
      <c r="BFE66" s="95"/>
      <c r="BFF66" s="95"/>
      <c r="BFG66" s="95"/>
      <c r="BFH66" s="95"/>
      <c r="BFI66" s="95"/>
      <c r="BFJ66" s="95"/>
      <c r="BFK66" s="95"/>
      <c r="BFL66" s="95"/>
      <c r="BFM66" s="95"/>
      <c r="BFN66" s="95"/>
      <c r="BFO66" s="95"/>
      <c r="BFP66" s="95"/>
      <c r="BFQ66" s="95"/>
      <c r="BFR66" s="95"/>
      <c r="BFS66" s="95"/>
      <c r="BFT66" s="95"/>
      <c r="BFU66" s="95"/>
      <c r="BFV66" s="95"/>
      <c r="BFW66" s="95"/>
      <c r="BFX66" s="95"/>
      <c r="BFY66" s="95"/>
      <c r="BFZ66" s="95"/>
      <c r="BGA66" s="95"/>
      <c r="BGB66" s="95"/>
      <c r="BGC66" s="95"/>
      <c r="BGD66" s="95"/>
      <c r="BGE66" s="95"/>
      <c r="BGF66" s="95"/>
      <c r="BGG66" s="95"/>
      <c r="BGH66" s="95"/>
      <c r="BGI66" s="95"/>
      <c r="BGJ66" s="95"/>
      <c r="BGK66" s="95"/>
      <c r="BGL66" s="95"/>
      <c r="BGM66" s="95"/>
      <c r="BGN66" s="95"/>
      <c r="BGO66" s="95"/>
      <c r="BGP66" s="95"/>
      <c r="BGQ66" s="95"/>
      <c r="BGR66" s="95"/>
      <c r="BGS66" s="95"/>
      <c r="BGT66" s="95"/>
      <c r="BGU66" s="95"/>
      <c r="BGV66" s="95"/>
      <c r="BGW66" s="95"/>
      <c r="BGX66" s="95"/>
      <c r="BGY66" s="95"/>
      <c r="BGZ66" s="95"/>
      <c r="BHA66" s="95"/>
      <c r="BHB66" s="95"/>
      <c r="BHC66" s="95"/>
      <c r="BHD66" s="95"/>
      <c r="BHE66" s="95"/>
      <c r="BHF66" s="95"/>
      <c r="BHG66" s="95"/>
      <c r="BHH66" s="95"/>
      <c r="BHI66" s="95"/>
      <c r="BHJ66" s="95"/>
      <c r="BHK66" s="95"/>
      <c r="BHL66" s="95"/>
      <c r="BHM66" s="95"/>
      <c r="BHN66" s="95"/>
      <c r="BHO66" s="95"/>
      <c r="BHP66" s="95"/>
      <c r="BHQ66" s="95"/>
      <c r="BHR66" s="95"/>
      <c r="BHS66" s="95"/>
      <c r="BHT66" s="95"/>
      <c r="BHU66" s="95"/>
      <c r="BHV66" s="95"/>
      <c r="BHW66" s="95"/>
      <c r="BHX66" s="95"/>
      <c r="BHY66" s="95"/>
      <c r="BHZ66" s="95"/>
      <c r="BIA66" s="95"/>
      <c r="BIB66" s="95"/>
      <c r="BIC66" s="95"/>
      <c r="BID66" s="95"/>
      <c r="BIE66" s="95"/>
      <c r="BIF66" s="95"/>
      <c r="BIG66" s="95"/>
      <c r="BIH66" s="95"/>
      <c r="BII66" s="95"/>
      <c r="BIJ66" s="95"/>
      <c r="BIK66" s="95"/>
      <c r="BIL66" s="95"/>
      <c r="BIM66" s="95"/>
      <c r="BIN66" s="95"/>
      <c r="BIO66" s="95"/>
      <c r="BIP66" s="95"/>
      <c r="BIQ66" s="95"/>
      <c r="BIR66" s="95"/>
      <c r="BIS66" s="95"/>
      <c r="BIT66" s="95"/>
      <c r="BIU66" s="95"/>
      <c r="BIV66" s="95"/>
      <c r="BIW66" s="95"/>
      <c r="BIX66" s="95"/>
      <c r="BIY66" s="95"/>
      <c r="BIZ66" s="95"/>
      <c r="BJA66" s="95"/>
      <c r="BJB66" s="95"/>
      <c r="BJC66" s="95"/>
      <c r="BJD66" s="95"/>
      <c r="BJE66" s="95"/>
      <c r="BJF66" s="95"/>
      <c r="BJG66" s="95"/>
      <c r="BJH66" s="95"/>
      <c r="BJI66" s="95"/>
      <c r="BJJ66" s="95"/>
      <c r="BJK66" s="95"/>
      <c r="BJL66" s="95"/>
      <c r="BJM66" s="95"/>
      <c r="BJN66" s="95"/>
      <c r="BJO66" s="95"/>
      <c r="BJP66" s="95"/>
      <c r="BJQ66" s="95"/>
      <c r="BJR66" s="95"/>
      <c r="BJS66" s="95"/>
      <c r="BJT66" s="95"/>
      <c r="BJU66" s="95"/>
      <c r="BJV66" s="95"/>
      <c r="BJW66" s="95"/>
      <c r="BJX66" s="95"/>
      <c r="BJY66" s="95"/>
      <c r="BJZ66" s="95"/>
      <c r="BKA66" s="95"/>
      <c r="BKB66" s="95"/>
      <c r="BKC66" s="95"/>
      <c r="BKD66" s="95"/>
      <c r="BKE66" s="95"/>
      <c r="BKF66" s="95"/>
      <c r="BKG66" s="95"/>
      <c r="BKH66" s="95"/>
      <c r="BKI66" s="95"/>
      <c r="BKJ66" s="95"/>
      <c r="BKK66" s="95"/>
      <c r="BKL66" s="95"/>
      <c r="BKM66" s="95"/>
      <c r="BKN66" s="95"/>
      <c r="BKO66" s="95"/>
      <c r="BKP66" s="95"/>
      <c r="BKQ66" s="95"/>
      <c r="BKR66" s="95"/>
      <c r="BKS66" s="95"/>
      <c r="BKT66" s="95"/>
      <c r="BKU66" s="95"/>
      <c r="BKV66" s="95"/>
      <c r="BKW66" s="95"/>
      <c r="BKX66" s="95"/>
      <c r="BKY66" s="95"/>
      <c r="BKZ66" s="95"/>
      <c r="BLA66" s="95"/>
      <c r="BLB66" s="95"/>
      <c r="BLC66" s="95"/>
      <c r="BLD66" s="95"/>
      <c r="BLE66" s="95"/>
      <c r="BLF66" s="95"/>
      <c r="BLG66" s="95"/>
      <c r="BLH66" s="95"/>
      <c r="BLI66" s="95"/>
      <c r="BLJ66" s="95"/>
      <c r="BLK66" s="95"/>
      <c r="BLL66" s="95"/>
      <c r="BLM66" s="95"/>
      <c r="BLN66" s="95"/>
      <c r="BLO66" s="95"/>
      <c r="BLP66" s="95"/>
      <c r="BLQ66" s="95"/>
      <c r="BLR66" s="95"/>
      <c r="BLS66" s="95"/>
      <c r="BLT66" s="95"/>
      <c r="BLU66" s="95"/>
      <c r="BLV66" s="95"/>
      <c r="BLW66" s="95"/>
      <c r="BLX66" s="95"/>
      <c r="BLY66" s="95"/>
      <c r="BLZ66" s="95"/>
      <c r="BMA66" s="95"/>
      <c r="BMB66" s="95"/>
      <c r="BMC66" s="95"/>
      <c r="BMD66" s="95"/>
      <c r="BME66" s="95"/>
      <c r="BMF66" s="95"/>
      <c r="BMG66" s="95"/>
      <c r="BMH66" s="95"/>
      <c r="BMI66" s="95"/>
      <c r="BMJ66" s="95"/>
      <c r="BMK66" s="95"/>
      <c r="BML66" s="95"/>
      <c r="BMM66" s="95"/>
      <c r="BMN66" s="95"/>
      <c r="BMO66" s="95"/>
      <c r="BMP66" s="95"/>
      <c r="BMQ66" s="95"/>
      <c r="BMR66" s="95"/>
      <c r="BMS66" s="95"/>
      <c r="BMT66" s="95"/>
      <c r="BMU66" s="95"/>
      <c r="BMV66" s="95"/>
      <c r="BMW66" s="95"/>
      <c r="BMX66" s="95"/>
      <c r="BMY66" s="95"/>
      <c r="BMZ66" s="95"/>
      <c r="BNA66" s="95"/>
      <c r="BNB66" s="95"/>
      <c r="BNC66" s="95"/>
      <c r="BND66" s="95"/>
      <c r="BNE66" s="95"/>
      <c r="BNF66" s="95"/>
      <c r="BNG66" s="95"/>
      <c r="BNH66" s="95"/>
      <c r="BNI66" s="95"/>
      <c r="BNJ66" s="95"/>
      <c r="BNK66" s="95"/>
      <c r="BNL66" s="95"/>
      <c r="BNM66" s="95"/>
      <c r="BNN66" s="95"/>
      <c r="BNO66" s="95"/>
      <c r="BNP66" s="95"/>
      <c r="BNQ66" s="95"/>
      <c r="BNR66" s="95"/>
      <c r="BNS66" s="95"/>
      <c r="BNT66" s="95"/>
      <c r="BNU66" s="95"/>
      <c r="BNV66" s="95"/>
      <c r="BNW66" s="95"/>
      <c r="BNX66" s="95"/>
      <c r="BNY66" s="95"/>
      <c r="BNZ66" s="95"/>
      <c r="BOA66" s="95"/>
      <c r="BOB66" s="95"/>
      <c r="BOC66" s="95"/>
      <c r="BOD66" s="95"/>
      <c r="BOE66" s="95"/>
      <c r="BOF66" s="95"/>
      <c r="BOG66" s="95"/>
      <c r="BOH66" s="95"/>
      <c r="BOI66" s="95"/>
      <c r="BOJ66" s="95"/>
      <c r="BOK66" s="95"/>
      <c r="BOL66" s="95"/>
      <c r="BOM66" s="95"/>
      <c r="BON66" s="95"/>
      <c r="BOO66" s="95"/>
      <c r="BOP66" s="95"/>
      <c r="BOQ66" s="95"/>
      <c r="BOR66" s="95"/>
      <c r="BOS66" s="95"/>
      <c r="BOT66" s="95"/>
      <c r="BOU66" s="95"/>
      <c r="BOV66" s="95"/>
      <c r="BOW66" s="95"/>
      <c r="BOX66" s="95"/>
      <c r="BOY66" s="95"/>
      <c r="BOZ66" s="95"/>
      <c r="BPA66" s="95"/>
      <c r="BPB66" s="95"/>
      <c r="BPC66" s="95"/>
      <c r="BPD66" s="95"/>
      <c r="BPE66" s="95"/>
      <c r="BPF66" s="95"/>
      <c r="BPG66" s="95"/>
      <c r="BPH66" s="95"/>
      <c r="BPI66" s="95"/>
      <c r="BPJ66" s="95"/>
      <c r="BPK66" s="95"/>
      <c r="BPL66" s="95"/>
      <c r="BPM66" s="95"/>
      <c r="BPN66" s="95"/>
      <c r="BPO66" s="95"/>
      <c r="BPP66" s="95"/>
      <c r="BPQ66" s="95"/>
      <c r="BPR66" s="95"/>
      <c r="BPS66" s="95"/>
      <c r="BPT66" s="95"/>
      <c r="BPU66" s="95"/>
      <c r="BPV66" s="95"/>
      <c r="BPW66" s="95"/>
      <c r="BPX66" s="95"/>
      <c r="BPY66" s="95"/>
      <c r="BPZ66" s="95"/>
      <c r="BQA66" s="95"/>
      <c r="BQB66" s="95"/>
      <c r="BQC66" s="95"/>
      <c r="BQD66" s="95"/>
      <c r="BQE66" s="95"/>
      <c r="BQF66" s="95"/>
      <c r="BQG66" s="95"/>
      <c r="BQH66" s="95"/>
      <c r="BQI66" s="95"/>
      <c r="BQJ66" s="95"/>
      <c r="BQK66" s="95"/>
      <c r="BQL66" s="95"/>
      <c r="BQM66" s="95"/>
      <c r="BQN66" s="95"/>
      <c r="BQO66" s="95"/>
      <c r="BQP66" s="95"/>
      <c r="BQQ66" s="95"/>
      <c r="BQR66" s="95"/>
      <c r="BQS66" s="95"/>
      <c r="BQT66" s="95"/>
      <c r="BQU66" s="95"/>
      <c r="BQV66" s="95"/>
      <c r="BQW66" s="95"/>
      <c r="BQX66" s="95"/>
      <c r="BQY66" s="95"/>
      <c r="BQZ66" s="95"/>
      <c r="BRA66" s="95"/>
      <c r="BRB66" s="95"/>
      <c r="BRC66" s="95"/>
      <c r="BRD66" s="95"/>
      <c r="BRE66" s="95"/>
      <c r="BRF66" s="95"/>
      <c r="BRG66" s="95"/>
      <c r="BRH66" s="95"/>
      <c r="BRI66" s="95"/>
      <c r="BRJ66" s="95"/>
      <c r="BRK66" s="95"/>
      <c r="BRL66" s="95"/>
      <c r="BRM66" s="95"/>
      <c r="BRN66" s="95"/>
      <c r="BRO66" s="95"/>
      <c r="BRP66" s="95"/>
      <c r="BRQ66" s="95"/>
      <c r="BRR66" s="95"/>
      <c r="BRS66" s="95"/>
      <c r="BRT66" s="95"/>
      <c r="BRU66" s="95"/>
      <c r="BRV66" s="95"/>
      <c r="BRW66" s="95"/>
      <c r="BRX66" s="95"/>
      <c r="BRY66" s="95"/>
      <c r="BRZ66" s="95"/>
      <c r="BSA66" s="95"/>
      <c r="BSB66" s="95"/>
      <c r="BSC66" s="95"/>
      <c r="BSD66" s="95"/>
      <c r="BSE66" s="95"/>
      <c r="BSF66" s="95"/>
      <c r="BSG66" s="95"/>
      <c r="BSH66" s="95"/>
      <c r="BSI66" s="95"/>
      <c r="BSJ66" s="95"/>
      <c r="BSK66" s="95"/>
      <c r="BSL66" s="95"/>
      <c r="BSM66" s="95"/>
      <c r="BSN66" s="95"/>
      <c r="BSO66" s="95"/>
      <c r="BSP66" s="95"/>
      <c r="BSQ66" s="95"/>
      <c r="BSR66" s="95"/>
      <c r="BSS66" s="95"/>
      <c r="BST66" s="95"/>
      <c r="BSU66" s="95"/>
      <c r="BSV66" s="95"/>
      <c r="BSW66" s="95"/>
      <c r="BSX66" s="95"/>
      <c r="BSY66" s="95"/>
      <c r="BSZ66" s="95"/>
      <c r="BTA66" s="95"/>
      <c r="BTB66" s="95"/>
      <c r="BTC66" s="95"/>
      <c r="BTD66" s="95"/>
      <c r="BTE66" s="95"/>
      <c r="BTF66" s="95"/>
      <c r="BTG66" s="95"/>
      <c r="BTH66" s="95"/>
      <c r="BTI66" s="95"/>
      <c r="BTJ66" s="95"/>
      <c r="BTK66" s="95"/>
      <c r="BTL66" s="95"/>
      <c r="BTM66" s="95"/>
      <c r="BTN66" s="95"/>
      <c r="BTO66" s="95"/>
      <c r="BTP66" s="95"/>
      <c r="BTQ66" s="95"/>
      <c r="BTR66" s="95"/>
      <c r="BTS66" s="95"/>
      <c r="BTT66" s="95"/>
      <c r="BTU66" s="95"/>
      <c r="BTV66" s="95"/>
      <c r="BTW66" s="95"/>
      <c r="BTX66" s="95"/>
      <c r="BTY66" s="95"/>
      <c r="BTZ66" s="95"/>
      <c r="BUA66" s="95"/>
      <c r="BUB66" s="95"/>
      <c r="BUC66" s="95"/>
      <c r="BUD66" s="95"/>
      <c r="BUE66" s="95"/>
      <c r="BUF66" s="95"/>
      <c r="BUG66" s="95"/>
      <c r="BUH66" s="95"/>
      <c r="BUI66" s="95"/>
      <c r="BUJ66" s="95"/>
      <c r="BUK66" s="95"/>
      <c r="BUL66" s="95"/>
      <c r="BUM66" s="95"/>
      <c r="BUN66" s="95"/>
      <c r="BUO66" s="95"/>
      <c r="BUP66" s="95"/>
      <c r="BUQ66" s="95"/>
      <c r="BUR66" s="95"/>
      <c r="BUS66" s="95"/>
      <c r="BUT66" s="95"/>
      <c r="BUU66" s="95"/>
      <c r="BUV66" s="95"/>
      <c r="BUW66" s="95"/>
      <c r="BUX66" s="95"/>
      <c r="BUY66" s="95"/>
      <c r="BUZ66" s="95"/>
      <c r="BVA66" s="95"/>
      <c r="BVB66" s="95"/>
      <c r="BVC66" s="95"/>
      <c r="BVD66" s="95"/>
      <c r="BVE66" s="95"/>
      <c r="BVF66" s="95"/>
      <c r="BVG66" s="95"/>
      <c r="BVH66" s="95"/>
      <c r="BVI66" s="95"/>
      <c r="BVJ66" s="95"/>
      <c r="BVK66" s="95"/>
      <c r="BVL66" s="95"/>
      <c r="BVM66" s="95"/>
      <c r="BVN66" s="95"/>
      <c r="BVO66" s="95"/>
      <c r="BVP66" s="95"/>
      <c r="BVQ66" s="95"/>
      <c r="BVR66" s="95"/>
      <c r="BVS66" s="95"/>
      <c r="BVT66" s="95"/>
      <c r="BVU66" s="95"/>
      <c r="BVV66" s="95"/>
      <c r="BVW66" s="95"/>
      <c r="BVX66" s="95"/>
      <c r="BVY66" s="95"/>
      <c r="BVZ66" s="95"/>
      <c r="BWA66" s="95"/>
      <c r="BWB66" s="95"/>
      <c r="BWC66" s="95"/>
      <c r="BWD66" s="95"/>
      <c r="BWE66" s="95"/>
      <c r="BWF66" s="95"/>
      <c r="BWG66" s="95"/>
      <c r="BWH66" s="95"/>
      <c r="BWI66" s="95"/>
      <c r="BWJ66" s="95"/>
      <c r="BWK66" s="95"/>
      <c r="BWL66" s="95"/>
      <c r="BWM66" s="95"/>
      <c r="BWN66" s="95"/>
      <c r="BWO66" s="95"/>
      <c r="BWP66" s="95"/>
      <c r="BWQ66" s="95"/>
      <c r="BWR66" s="95"/>
      <c r="BWS66" s="95"/>
      <c r="BWT66" s="95"/>
      <c r="BWU66" s="95"/>
      <c r="BWV66" s="95"/>
      <c r="BWW66" s="95"/>
      <c r="BWX66" s="95"/>
      <c r="BWY66" s="95"/>
      <c r="BWZ66" s="95"/>
      <c r="BXA66" s="95"/>
      <c r="BXB66" s="95"/>
      <c r="BXC66" s="95"/>
      <c r="BXD66" s="95"/>
      <c r="BXE66" s="95"/>
      <c r="BXF66" s="95"/>
      <c r="BXG66" s="95"/>
      <c r="BXH66" s="95"/>
      <c r="BXI66" s="95"/>
      <c r="BXJ66" s="95"/>
      <c r="BXK66" s="95"/>
      <c r="BXL66" s="95"/>
      <c r="BXM66" s="95"/>
      <c r="BXN66" s="95"/>
      <c r="BXO66" s="95"/>
      <c r="BXP66" s="95"/>
      <c r="BXQ66" s="95"/>
      <c r="BXR66" s="95"/>
      <c r="BXS66" s="95"/>
      <c r="BXT66" s="95"/>
      <c r="BXU66" s="95"/>
      <c r="BXV66" s="95"/>
      <c r="BXW66" s="95"/>
      <c r="BXX66" s="95"/>
      <c r="BXY66" s="95"/>
      <c r="BXZ66" s="95"/>
      <c r="BYA66" s="95"/>
      <c r="BYB66" s="95"/>
      <c r="BYC66" s="95"/>
      <c r="BYD66" s="95"/>
      <c r="BYE66" s="95"/>
      <c r="BYF66" s="95"/>
      <c r="BYG66" s="95"/>
    </row>
    <row r="67" spans="1:2009" s="96" customFormat="1" ht="12.75" customHeight="1" thickBot="1" x14ac:dyDescent="0.3">
      <c r="A67" s="120"/>
      <c r="B67" s="120"/>
      <c r="C67" s="171"/>
      <c r="D67" s="171"/>
      <c r="E67" s="171"/>
      <c r="F67" s="171"/>
      <c r="G67" s="691"/>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c r="IW67" s="95"/>
      <c r="IX67" s="95"/>
      <c r="IY67" s="95"/>
      <c r="IZ67" s="95"/>
      <c r="JA67" s="95"/>
      <c r="JB67" s="95"/>
      <c r="JC67" s="95"/>
      <c r="JD67" s="95"/>
      <c r="JE67" s="95"/>
      <c r="JF67" s="95"/>
      <c r="JG67" s="95"/>
      <c r="JH67" s="95"/>
      <c r="JI67" s="95"/>
      <c r="JJ67" s="95"/>
      <c r="JK67" s="95"/>
      <c r="JL67" s="95"/>
      <c r="JM67" s="95"/>
      <c r="JN67" s="95"/>
      <c r="JO67" s="95"/>
      <c r="JP67" s="95"/>
      <c r="JQ67" s="95"/>
      <c r="JR67" s="95"/>
      <c r="JS67" s="95"/>
      <c r="JT67" s="95"/>
      <c r="JU67" s="95"/>
      <c r="JV67" s="95"/>
      <c r="JW67" s="95"/>
      <c r="JX67" s="95"/>
      <c r="JY67" s="95"/>
      <c r="JZ67" s="95"/>
      <c r="KA67" s="95"/>
      <c r="KB67" s="95"/>
      <c r="KC67" s="95"/>
      <c r="KD67" s="95"/>
      <c r="KE67" s="95"/>
      <c r="KF67" s="95"/>
      <c r="KG67" s="95"/>
      <c r="KH67" s="95"/>
      <c r="KI67" s="95"/>
      <c r="KJ67" s="95"/>
      <c r="KK67" s="95"/>
      <c r="KL67" s="95"/>
      <c r="KM67" s="95"/>
      <c r="KN67" s="95"/>
      <c r="KO67" s="95"/>
      <c r="KP67" s="95"/>
      <c r="KQ67" s="95"/>
      <c r="KR67" s="95"/>
      <c r="KS67" s="95"/>
      <c r="KT67" s="95"/>
      <c r="KU67" s="95"/>
      <c r="KV67" s="95"/>
      <c r="KW67" s="95"/>
      <c r="KX67" s="95"/>
      <c r="KY67" s="95"/>
      <c r="KZ67" s="95"/>
      <c r="LA67" s="95"/>
      <c r="LB67" s="95"/>
      <c r="LC67" s="95"/>
      <c r="LD67" s="95"/>
      <c r="LE67" s="95"/>
      <c r="LF67" s="95"/>
      <c r="LG67" s="95"/>
      <c r="LH67" s="95"/>
      <c r="LI67" s="95"/>
      <c r="LJ67" s="95"/>
      <c r="LK67" s="95"/>
      <c r="LL67" s="95"/>
      <c r="LM67" s="95"/>
      <c r="LN67" s="95"/>
      <c r="LO67" s="95"/>
      <c r="LP67" s="95"/>
      <c r="LQ67" s="95"/>
      <c r="LR67" s="95"/>
      <c r="LS67" s="95"/>
      <c r="LT67" s="95"/>
      <c r="LU67" s="95"/>
      <c r="LV67" s="95"/>
      <c r="LW67" s="95"/>
      <c r="LX67" s="95"/>
      <c r="LY67" s="95"/>
      <c r="LZ67" s="95"/>
      <c r="MA67" s="95"/>
      <c r="MB67" s="95"/>
      <c r="MC67" s="95"/>
      <c r="MD67" s="95"/>
      <c r="ME67" s="95"/>
      <c r="MF67" s="95"/>
      <c r="MG67" s="95"/>
      <c r="MH67" s="95"/>
      <c r="MI67" s="95"/>
      <c r="MJ67" s="95"/>
      <c r="MK67" s="95"/>
      <c r="ML67" s="95"/>
      <c r="MM67" s="95"/>
      <c r="MN67" s="95"/>
      <c r="MO67" s="95"/>
      <c r="MP67" s="95"/>
      <c r="MQ67" s="95"/>
      <c r="MR67" s="95"/>
      <c r="MS67" s="95"/>
      <c r="MT67" s="95"/>
      <c r="MU67" s="95"/>
      <c r="MV67" s="95"/>
      <c r="MW67" s="95"/>
      <c r="MX67" s="95"/>
      <c r="MY67" s="95"/>
      <c r="MZ67" s="95"/>
      <c r="NA67" s="95"/>
      <c r="NB67" s="95"/>
      <c r="NC67" s="95"/>
      <c r="ND67" s="95"/>
      <c r="NE67" s="95"/>
      <c r="NF67" s="95"/>
      <c r="NG67" s="95"/>
      <c r="NH67" s="95"/>
      <c r="NI67" s="95"/>
      <c r="NJ67" s="95"/>
      <c r="NK67" s="95"/>
      <c r="NL67" s="95"/>
      <c r="NM67" s="95"/>
      <c r="NN67" s="95"/>
      <c r="NO67" s="95"/>
      <c r="NP67" s="95"/>
      <c r="NQ67" s="95"/>
      <c r="NR67" s="95"/>
      <c r="NS67" s="95"/>
      <c r="NT67" s="95"/>
      <c r="NU67" s="95"/>
      <c r="NV67" s="95"/>
      <c r="NW67" s="95"/>
      <c r="NX67" s="95"/>
      <c r="NY67" s="95"/>
      <c r="NZ67" s="95"/>
      <c r="OA67" s="95"/>
      <c r="OB67" s="95"/>
      <c r="OC67" s="95"/>
      <c r="OD67" s="95"/>
      <c r="OE67" s="95"/>
      <c r="OF67" s="95"/>
      <c r="OG67" s="95"/>
      <c r="OH67" s="95"/>
      <c r="OI67" s="95"/>
      <c r="OJ67" s="95"/>
      <c r="OK67" s="95"/>
      <c r="OL67" s="95"/>
      <c r="OM67" s="95"/>
      <c r="ON67" s="95"/>
      <c r="OO67" s="95"/>
      <c r="OP67" s="95"/>
      <c r="OQ67" s="95"/>
      <c r="OR67" s="95"/>
      <c r="OS67" s="95"/>
      <c r="OT67" s="95"/>
      <c r="OU67" s="95"/>
      <c r="OV67" s="95"/>
      <c r="OW67" s="95"/>
      <c r="OX67" s="95"/>
      <c r="OY67" s="95"/>
      <c r="OZ67" s="95"/>
      <c r="PA67" s="95"/>
      <c r="PB67" s="95"/>
      <c r="PC67" s="95"/>
      <c r="PD67" s="95"/>
      <c r="PE67" s="95"/>
      <c r="PF67" s="95"/>
      <c r="PG67" s="95"/>
      <c r="PH67" s="95"/>
      <c r="PI67" s="95"/>
      <c r="PJ67" s="95"/>
      <c r="PK67" s="95"/>
      <c r="PL67" s="95"/>
      <c r="PM67" s="95"/>
      <c r="PN67" s="95"/>
      <c r="PO67" s="95"/>
      <c r="PP67" s="95"/>
      <c r="PQ67" s="95"/>
      <c r="PR67" s="95"/>
      <c r="PS67" s="95"/>
      <c r="PT67" s="95"/>
      <c r="PU67" s="95"/>
      <c r="PV67" s="95"/>
      <c r="PW67" s="95"/>
      <c r="PX67" s="95"/>
      <c r="PY67" s="95"/>
      <c r="PZ67" s="95"/>
      <c r="QA67" s="95"/>
      <c r="QB67" s="95"/>
      <c r="QC67" s="95"/>
      <c r="QD67" s="95"/>
      <c r="QE67" s="95"/>
      <c r="QF67" s="95"/>
      <c r="QG67" s="95"/>
      <c r="QH67" s="95"/>
      <c r="QI67" s="95"/>
      <c r="QJ67" s="95"/>
      <c r="QK67" s="95"/>
      <c r="QL67" s="95"/>
      <c r="QM67" s="95"/>
      <c r="QN67" s="95"/>
      <c r="QO67" s="95"/>
      <c r="QP67" s="95"/>
      <c r="QQ67" s="95"/>
      <c r="QR67" s="95"/>
      <c r="QS67" s="95"/>
      <c r="QT67" s="95"/>
      <c r="QU67" s="95"/>
      <c r="QV67" s="95"/>
      <c r="QW67" s="95"/>
      <c r="QX67" s="95"/>
      <c r="QY67" s="95"/>
      <c r="QZ67" s="95"/>
      <c r="RA67" s="95"/>
      <c r="RB67" s="95"/>
      <c r="RC67" s="95"/>
      <c r="RD67" s="95"/>
      <c r="RE67" s="95"/>
      <c r="RF67" s="95"/>
      <c r="RG67" s="95"/>
      <c r="RH67" s="95"/>
      <c r="RI67" s="95"/>
      <c r="RJ67" s="95"/>
      <c r="RK67" s="95"/>
      <c r="RL67" s="95"/>
      <c r="RM67" s="95"/>
      <c r="RN67" s="95"/>
      <c r="RO67" s="95"/>
      <c r="RP67" s="95"/>
      <c r="RQ67" s="95"/>
      <c r="RR67" s="95"/>
      <c r="RS67" s="95"/>
      <c r="RT67" s="95"/>
      <c r="RU67" s="95"/>
      <c r="RV67" s="95"/>
      <c r="RW67" s="95"/>
      <c r="RX67" s="95"/>
      <c r="RY67" s="95"/>
      <c r="RZ67" s="95"/>
      <c r="SA67" s="95"/>
      <c r="SB67" s="95"/>
      <c r="SC67" s="95"/>
      <c r="SD67" s="95"/>
      <c r="SE67" s="95"/>
      <c r="SF67" s="95"/>
      <c r="SG67" s="95"/>
      <c r="SH67" s="95"/>
      <c r="SI67" s="95"/>
      <c r="SJ67" s="95"/>
      <c r="SK67" s="95"/>
      <c r="SL67" s="95"/>
      <c r="SM67" s="95"/>
      <c r="SN67" s="95"/>
      <c r="SO67" s="95"/>
      <c r="SP67" s="95"/>
      <c r="SQ67" s="95"/>
      <c r="SR67" s="95"/>
      <c r="SS67" s="95"/>
      <c r="ST67" s="95"/>
      <c r="SU67" s="95"/>
      <c r="SV67" s="95"/>
      <c r="SW67" s="95"/>
      <c r="SX67" s="95"/>
      <c r="SY67" s="95"/>
      <c r="SZ67" s="95"/>
      <c r="TA67" s="95"/>
      <c r="TB67" s="95"/>
      <c r="TC67" s="95"/>
      <c r="TD67" s="95"/>
      <c r="TE67" s="95"/>
      <c r="TF67" s="95"/>
      <c r="TG67" s="95"/>
      <c r="TH67" s="95"/>
      <c r="TI67" s="95"/>
      <c r="TJ67" s="95"/>
      <c r="TK67" s="95"/>
      <c r="TL67" s="95"/>
      <c r="TM67" s="95"/>
      <c r="TN67" s="95"/>
      <c r="TO67" s="95"/>
      <c r="TP67" s="95"/>
      <c r="TQ67" s="95"/>
      <c r="TR67" s="95"/>
      <c r="TS67" s="95"/>
      <c r="TT67" s="95"/>
      <c r="TU67" s="95"/>
      <c r="TV67" s="95"/>
      <c r="TW67" s="95"/>
      <c r="TX67" s="95"/>
      <c r="TY67" s="95"/>
      <c r="TZ67" s="95"/>
      <c r="UA67" s="95"/>
      <c r="UB67" s="95"/>
      <c r="UC67" s="95"/>
      <c r="UD67" s="95"/>
      <c r="UE67" s="95"/>
      <c r="UF67" s="95"/>
      <c r="UG67" s="95"/>
      <c r="UH67" s="95"/>
      <c r="UI67" s="95"/>
      <c r="UJ67" s="95"/>
      <c r="UK67" s="95"/>
      <c r="UL67" s="95"/>
      <c r="UM67" s="95"/>
      <c r="UN67" s="95"/>
      <c r="UO67" s="95"/>
      <c r="UP67" s="95"/>
      <c r="UQ67" s="95"/>
      <c r="UR67" s="95"/>
      <c r="US67" s="95"/>
      <c r="UT67" s="95"/>
      <c r="UU67" s="95"/>
      <c r="UV67" s="95"/>
      <c r="UW67" s="95"/>
      <c r="UX67" s="95"/>
      <c r="UY67" s="95"/>
      <c r="UZ67" s="95"/>
      <c r="VA67" s="95"/>
      <c r="VB67" s="95"/>
      <c r="VC67" s="95"/>
      <c r="VD67" s="95"/>
      <c r="VE67" s="95"/>
      <c r="VF67" s="95"/>
      <c r="VG67" s="95"/>
      <c r="VH67" s="95"/>
      <c r="VI67" s="95"/>
      <c r="VJ67" s="95"/>
      <c r="VK67" s="95"/>
      <c r="VL67" s="95"/>
      <c r="VM67" s="95"/>
      <c r="VN67" s="95"/>
      <c r="VO67" s="95"/>
      <c r="VP67" s="95"/>
      <c r="VQ67" s="95"/>
      <c r="VR67" s="95"/>
      <c r="VS67" s="95"/>
      <c r="VT67" s="95"/>
      <c r="VU67" s="95"/>
      <c r="VV67" s="95"/>
      <c r="VW67" s="95"/>
      <c r="VX67" s="95"/>
      <c r="VY67" s="95"/>
      <c r="VZ67" s="95"/>
      <c r="WA67" s="95"/>
      <c r="WB67" s="95"/>
      <c r="WC67" s="95"/>
      <c r="WD67" s="95"/>
      <c r="WE67" s="95"/>
      <c r="WF67" s="95"/>
      <c r="WG67" s="95"/>
      <c r="WH67" s="95"/>
      <c r="WI67" s="95"/>
      <c r="WJ67" s="95"/>
      <c r="WK67" s="95"/>
      <c r="WL67" s="95"/>
      <c r="WM67" s="95"/>
      <c r="WN67" s="95"/>
      <c r="WO67" s="95"/>
      <c r="WP67" s="95"/>
      <c r="WQ67" s="95"/>
      <c r="WR67" s="95"/>
      <c r="WS67" s="95"/>
      <c r="WT67" s="95"/>
      <c r="WU67" s="95"/>
      <c r="WV67" s="95"/>
      <c r="WW67" s="95"/>
      <c r="WX67" s="95"/>
      <c r="WY67" s="95"/>
      <c r="WZ67" s="95"/>
      <c r="XA67" s="95"/>
      <c r="XB67" s="95"/>
      <c r="XC67" s="95"/>
      <c r="XD67" s="95"/>
      <c r="XE67" s="95"/>
      <c r="XF67" s="95"/>
      <c r="XG67" s="95"/>
      <c r="XH67" s="95"/>
      <c r="XI67" s="95"/>
      <c r="XJ67" s="95"/>
      <c r="XK67" s="95"/>
      <c r="XL67" s="95"/>
      <c r="XM67" s="95"/>
      <c r="XN67" s="95"/>
      <c r="XO67" s="95"/>
      <c r="XP67" s="95"/>
      <c r="XQ67" s="95"/>
      <c r="XR67" s="95"/>
      <c r="XS67" s="95"/>
      <c r="XT67" s="95"/>
      <c r="XU67" s="95"/>
      <c r="XV67" s="95"/>
      <c r="XW67" s="95"/>
      <c r="XX67" s="95"/>
      <c r="XY67" s="95"/>
      <c r="XZ67" s="95"/>
      <c r="YA67" s="95"/>
      <c r="YB67" s="95"/>
      <c r="YC67" s="95"/>
      <c r="YD67" s="95"/>
      <c r="YE67" s="95"/>
      <c r="YF67" s="95"/>
      <c r="YG67" s="95"/>
      <c r="YH67" s="95"/>
      <c r="YI67" s="95"/>
      <c r="YJ67" s="95"/>
      <c r="YK67" s="95"/>
      <c r="YL67" s="95"/>
      <c r="YM67" s="95"/>
      <c r="YN67" s="95"/>
      <c r="YO67" s="95"/>
      <c r="YP67" s="95"/>
      <c r="YQ67" s="95"/>
      <c r="YR67" s="95"/>
      <c r="YS67" s="95"/>
      <c r="YT67" s="95"/>
      <c r="YU67" s="95"/>
      <c r="YV67" s="95"/>
      <c r="YW67" s="95"/>
      <c r="YX67" s="95"/>
      <c r="YY67" s="95"/>
      <c r="YZ67" s="95"/>
      <c r="ZA67" s="95"/>
      <c r="ZB67" s="95"/>
      <c r="ZC67" s="95"/>
      <c r="ZD67" s="95"/>
      <c r="ZE67" s="95"/>
      <c r="ZF67" s="95"/>
      <c r="ZG67" s="95"/>
      <c r="ZH67" s="95"/>
      <c r="ZI67" s="95"/>
      <c r="ZJ67" s="95"/>
      <c r="ZK67" s="95"/>
      <c r="ZL67" s="95"/>
      <c r="ZM67" s="95"/>
      <c r="ZN67" s="95"/>
      <c r="ZO67" s="95"/>
      <c r="ZP67" s="95"/>
      <c r="ZQ67" s="95"/>
      <c r="ZR67" s="95"/>
      <c r="ZS67" s="95"/>
      <c r="ZT67" s="95"/>
      <c r="ZU67" s="95"/>
      <c r="ZV67" s="95"/>
      <c r="ZW67" s="95"/>
      <c r="ZX67" s="95"/>
      <c r="ZY67" s="95"/>
      <c r="ZZ67" s="95"/>
      <c r="AAA67" s="95"/>
      <c r="AAB67" s="95"/>
      <c r="AAC67" s="95"/>
      <c r="AAD67" s="95"/>
      <c r="AAE67" s="95"/>
      <c r="AAF67" s="95"/>
      <c r="AAG67" s="95"/>
      <c r="AAH67" s="95"/>
      <c r="AAI67" s="95"/>
      <c r="AAJ67" s="95"/>
      <c r="AAK67" s="95"/>
      <c r="AAL67" s="95"/>
      <c r="AAM67" s="95"/>
      <c r="AAN67" s="95"/>
      <c r="AAO67" s="95"/>
      <c r="AAP67" s="95"/>
      <c r="AAQ67" s="95"/>
      <c r="AAR67" s="95"/>
      <c r="AAS67" s="95"/>
      <c r="AAT67" s="95"/>
      <c r="AAU67" s="95"/>
      <c r="AAV67" s="95"/>
      <c r="AAW67" s="95"/>
      <c r="AAX67" s="95"/>
      <c r="AAY67" s="95"/>
      <c r="AAZ67" s="95"/>
      <c r="ABA67" s="95"/>
      <c r="ABB67" s="95"/>
      <c r="ABC67" s="95"/>
      <c r="ABD67" s="95"/>
      <c r="ABE67" s="95"/>
      <c r="ABF67" s="95"/>
      <c r="ABG67" s="95"/>
      <c r="ABH67" s="95"/>
      <c r="ABI67" s="95"/>
      <c r="ABJ67" s="95"/>
      <c r="ABK67" s="95"/>
      <c r="ABL67" s="95"/>
      <c r="ABM67" s="95"/>
      <c r="ABN67" s="95"/>
      <c r="ABO67" s="95"/>
      <c r="ABP67" s="95"/>
      <c r="ABQ67" s="95"/>
      <c r="ABR67" s="95"/>
      <c r="ABS67" s="95"/>
      <c r="ABT67" s="95"/>
      <c r="ABU67" s="95"/>
      <c r="ABV67" s="95"/>
      <c r="ABW67" s="95"/>
      <c r="ABX67" s="95"/>
      <c r="ABY67" s="95"/>
      <c r="ABZ67" s="95"/>
      <c r="ACA67" s="95"/>
      <c r="ACB67" s="95"/>
      <c r="ACC67" s="95"/>
      <c r="ACD67" s="95"/>
      <c r="ACE67" s="95"/>
      <c r="ACF67" s="95"/>
      <c r="ACG67" s="95"/>
      <c r="ACH67" s="95"/>
      <c r="ACI67" s="95"/>
      <c r="ACJ67" s="95"/>
      <c r="ACK67" s="95"/>
      <c r="ACL67" s="95"/>
      <c r="ACM67" s="95"/>
      <c r="ACN67" s="95"/>
      <c r="ACO67" s="95"/>
      <c r="ACP67" s="95"/>
      <c r="ACQ67" s="95"/>
      <c r="ACR67" s="95"/>
      <c r="ACS67" s="95"/>
      <c r="ACT67" s="95"/>
      <c r="ACU67" s="95"/>
      <c r="ACV67" s="95"/>
      <c r="ACW67" s="95"/>
      <c r="ACX67" s="95"/>
      <c r="ACY67" s="95"/>
      <c r="ACZ67" s="95"/>
      <c r="ADA67" s="95"/>
      <c r="ADB67" s="95"/>
      <c r="ADC67" s="95"/>
      <c r="ADD67" s="95"/>
      <c r="ADE67" s="95"/>
      <c r="ADF67" s="95"/>
      <c r="ADG67" s="95"/>
      <c r="ADH67" s="95"/>
      <c r="ADI67" s="95"/>
      <c r="ADJ67" s="95"/>
      <c r="ADK67" s="95"/>
      <c r="ADL67" s="95"/>
      <c r="ADM67" s="95"/>
      <c r="ADN67" s="95"/>
      <c r="ADO67" s="95"/>
      <c r="ADP67" s="95"/>
      <c r="ADQ67" s="95"/>
      <c r="ADR67" s="95"/>
      <c r="ADS67" s="95"/>
      <c r="ADT67" s="95"/>
      <c r="ADU67" s="95"/>
      <c r="ADV67" s="95"/>
      <c r="ADW67" s="95"/>
      <c r="ADX67" s="95"/>
      <c r="ADY67" s="95"/>
      <c r="ADZ67" s="95"/>
      <c r="AEA67" s="95"/>
      <c r="AEB67" s="95"/>
      <c r="AEC67" s="95"/>
      <c r="AED67" s="95"/>
      <c r="AEE67" s="95"/>
      <c r="AEF67" s="95"/>
      <c r="AEG67" s="95"/>
      <c r="AEH67" s="95"/>
      <c r="AEI67" s="95"/>
      <c r="AEJ67" s="95"/>
      <c r="AEK67" s="95"/>
      <c r="AEL67" s="95"/>
      <c r="AEM67" s="95"/>
      <c r="AEN67" s="95"/>
      <c r="AEO67" s="95"/>
      <c r="AEP67" s="95"/>
      <c r="AEQ67" s="95"/>
      <c r="AER67" s="95"/>
      <c r="AES67" s="95"/>
      <c r="AET67" s="95"/>
      <c r="AEU67" s="95"/>
      <c r="AEV67" s="95"/>
      <c r="AEW67" s="95"/>
      <c r="AEX67" s="95"/>
      <c r="AEY67" s="95"/>
      <c r="AEZ67" s="95"/>
      <c r="AFA67" s="95"/>
      <c r="AFB67" s="95"/>
      <c r="AFC67" s="95"/>
      <c r="AFD67" s="95"/>
      <c r="AFE67" s="95"/>
      <c r="AFF67" s="95"/>
      <c r="AFG67" s="95"/>
      <c r="AFH67" s="95"/>
      <c r="AFI67" s="95"/>
      <c r="AFJ67" s="95"/>
      <c r="AFK67" s="95"/>
      <c r="AFL67" s="95"/>
      <c r="AFM67" s="95"/>
      <c r="AFN67" s="95"/>
      <c r="AFO67" s="95"/>
      <c r="AFP67" s="95"/>
      <c r="AFQ67" s="95"/>
      <c r="AFR67" s="95"/>
      <c r="AFS67" s="95"/>
      <c r="AFT67" s="95"/>
      <c r="AFU67" s="95"/>
      <c r="AFV67" s="95"/>
      <c r="AFW67" s="95"/>
      <c r="AFX67" s="95"/>
      <c r="AFY67" s="95"/>
      <c r="AFZ67" s="95"/>
      <c r="AGA67" s="95"/>
      <c r="AGB67" s="95"/>
      <c r="AGC67" s="95"/>
      <c r="AGD67" s="95"/>
      <c r="AGE67" s="95"/>
      <c r="AGF67" s="95"/>
      <c r="AGG67" s="95"/>
      <c r="AGH67" s="95"/>
      <c r="AGI67" s="95"/>
      <c r="AGJ67" s="95"/>
      <c r="AGK67" s="95"/>
      <c r="AGL67" s="95"/>
      <c r="AGM67" s="95"/>
      <c r="AGN67" s="95"/>
      <c r="AGO67" s="95"/>
      <c r="AGP67" s="95"/>
      <c r="AGQ67" s="95"/>
      <c r="AGR67" s="95"/>
      <c r="AGS67" s="95"/>
      <c r="AGT67" s="95"/>
      <c r="AGU67" s="95"/>
      <c r="AGV67" s="95"/>
      <c r="AGW67" s="95"/>
      <c r="AGX67" s="95"/>
      <c r="AGY67" s="95"/>
      <c r="AGZ67" s="95"/>
      <c r="AHA67" s="95"/>
      <c r="AHB67" s="95"/>
      <c r="AHC67" s="95"/>
      <c r="AHD67" s="95"/>
      <c r="AHE67" s="95"/>
      <c r="AHF67" s="95"/>
      <c r="AHG67" s="95"/>
      <c r="AHH67" s="95"/>
      <c r="AHI67" s="95"/>
      <c r="AHJ67" s="95"/>
      <c r="AHK67" s="95"/>
      <c r="AHL67" s="95"/>
      <c r="AHM67" s="95"/>
      <c r="AHN67" s="95"/>
      <c r="AHO67" s="95"/>
      <c r="AHP67" s="95"/>
      <c r="AHQ67" s="95"/>
      <c r="AHR67" s="95"/>
      <c r="AHS67" s="95"/>
      <c r="AHT67" s="95"/>
      <c r="AHU67" s="95"/>
      <c r="AHV67" s="95"/>
      <c r="AHW67" s="95"/>
      <c r="AHX67" s="95"/>
      <c r="AHY67" s="95"/>
      <c r="AHZ67" s="95"/>
      <c r="AIA67" s="95"/>
      <c r="AIB67" s="95"/>
      <c r="AIC67" s="95"/>
      <c r="AID67" s="95"/>
      <c r="AIE67" s="95"/>
      <c r="AIF67" s="95"/>
      <c r="AIG67" s="95"/>
      <c r="AIH67" s="95"/>
      <c r="AII67" s="95"/>
      <c r="AIJ67" s="95"/>
      <c r="AIK67" s="95"/>
      <c r="AIL67" s="95"/>
      <c r="AIM67" s="95"/>
      <c r="AIN67" s="95"/>
      <c r="AIO67" s="95"/>
      <c r="AIP67" s="95"/>
      <c r="AIQ67" s="95"/>
      <c r="AIR67" s="95"/>
      <c r="AIS67" s="95"/>
      <c r="AIT67" s="95"/>
      <c r="AIU67" s="95"/>
      <c r="AIV67" s="95"/>
      <c r="AIW67" s="95"/>
      <c r="AIX67" s="95"/>
      <c r="AIY67" s="95"/>
      <c r="AIZ67" s="95"/>
      <c r="AJA67" s="95"/>
      <c r="AJB67" s="95"/>
      <c r="AJC67" s="95"/>
      <c r="AJD67" s="95"/>
      <c r="AJE67" s="95"/>
      <c r="AJF67" s="95"/>
      <c r="AJG67" s="95"/>
      <c r="AJH67" s="95"/>
      <c r="AJI67" s="95"/>
      <c r="AJJ67" s="95"/>
      <c r="AJK67" s="95"/>
      <c r="AJL67" s="95"/>
      <c r="AJM67" s="95"/>
      <c r="AJN67" s="95"/>
      <c r="AJO67" s="95"/>
      <c r="AJP67" s="95"/>
      <c r="AJQ67" s="95"/>
      <c r="AJR67" s="95"/>
      <c r="AJS67" s="95"/>
      <c r="AJT67" s="95"/>
      <c r="AJU67" s="95"/>
      <c r="AJV67" s="95"/>
      <c r="AJW67" s="95"/>
      <c r="AJX67" s="95"/>
      <c r="AJY67" s="95"/>
      <c r="AJZ67" s="95"/>
      <c r="AKA67" s="95"/>
      <c r="AKB67" s="95"/>
      <c r="AKC67" s="95"/>
      <c r="AKD67" s="95"/>
      <c r="AKE67" s="95"/>
      <c r="AKF67" s="95"/>
      <c r="AKG67" s="95"/>
      <c r="AKH67" s="95"/>
      <c r="AKI67" s="95"/>
      <c r="AKJ67" s="95"/>
      <c r="AKK67" s="95"/>
      <c r="AKL67" s="95"/>
      <c r="AKM67" s="95"/>
      <c r="AKN67" s="95"/>
      <c r="AKO67" s="95"/>
      <c r="AKP67" s="95"/>
      <c r="AKQ67" s="95"/>
      <c r="AKR67" s="95"/>
      <c r="AKS67" s="95"/>
      <c r="AKT67" s="95"/>
      <c r="AKU67" s="95"/>
      <c r="AKV67" s="95"/>
      <c r="AKW67" s="95"/>
      <c r="AKX67" s="95"/>
      <c r="AKY67" s="95"/>
      <c r="AKZ67" s="95"/>
      <c r="ALA67" s="95"/>
      <c r="ALB67" s="95"/>
      <c r="ALC67" s="95"/>
      <c r="ALD67" s="95"/>
      <c r="ALE67" s="95"/>
      <c r="ALF67" s="95"/>
      <c r="ALG67" s="95"/>
      <c r="ALH67" s="95"/>
      <c r="ALI67" s="95"/>
      <c r="ALJ67" s="95"/>
      <c r="ALK67" s="95"/>
      <c r="ALL67" s="95"/>
      <c r="ALM67" s="95"/>
      <c r="ALN67" s="95"/>
      <c r="ALO67" s="95"/>
      <c r="ALP67" s="95"/>
      <c r="ALQ67" s="95"/>
      <c r="ALR67" s="95"/>
      <c r="ALS67" s="95"/>
      <c r="ALT67" s="95"/>
      <c r="ALU67" s="95"/>
      <c r="ALV67" s="95"/>
      <c r="ALW67" s="95"/>
      <c r="ALX67" s="95"/>
      <c r="ALY67" s="95"/>
      <c r="ALZ67" s="95"/>
      <c r="AMA67" s="95"/>
      <c r="AMB67" s="95"/>
      <c r="AMC67" s="95"/>
      <c r="AMD67" s="95"/>
      <c r="AME67" s="95"/>
      <c r="AMF67" s="95"/>
      <c r="AMG67" s="95"/>
      <c r="AMH67" s="95"/>
      <c r="AMI67" s="95"/>
      <c r="AMJ67" s="95"/>
      <c r="AMK67" s="95"/>
      <c r="AML67" s="95"/>
      <c r="AMM67" s="95"/>
      <c r="AMN67" s="95"/>
      <c r="AMO67" s="95"/>
      <c r="AMP67" s="95"/>
      <c r="AMQ67" s="95"/>
      <c r="AMR67" s="95"/>
      <c r="AMS67" s="95"/>
      <c r="AMT67" s="95"/>
      <c r="AMU67" s="95"/>
      <c r="AMV67" s="95"/>
      <c r="AMW67" s="95"/>
      <c r="AMX67" s="95"/>
      <c r="AMY67" s="95"/>
      <c r="AMZ67" s="95"/>
      <c r="ANA67" s="95"/>
      <c r="ANB67" s="95"/>
      <c r="ANC67" s="95"/>
      <c r="AND67" s="95"/>
      <c r="ANE67" s="95"/>
      <c r="ANF67" s="95"/>
      <c r="ANG67" s="95"/>
      <c r="ANH67" s="95"/>
      <c r="ANI67" s="95"/>
      <c r="ANJ67" s="95"/>
      <c r="ANK67" s="95"/>
      <c r="ANL67" s="95"/>
      <c r="ANM67" s="95"/>
      <c r="ANN67" s="95"/>
      <c r="ANO67" s="95"/>
      <c r="ANP67" s="95"/>
      <c r="ANQ67" s="95"/>
      <c r="ANR67" s="95"/>
      <c r="ANS67" s="95"/>
      <c r="ANT67" s="95"/>
      <c r="ANU67" s="95"/>
      <c r="ANV67" s="95"/>
      <c r="ANW67" s="95"/>
      <c r="ANX67" s="95"/>
      <c r="ANY67" s="95"/>
      <c r="ANZ67" s="95"/>
      <c r="AOA67" s="95"/>
      <c r="AOB67" s="95"/>
      <c r="AOC67" s="95"/>
      <c r="AOD67" s="95"/>
      <c r="AOE67" s="95"/>
      <c r="AOF67" s="95"/>
      <c r="AOG67" s="95"/>
      <c r="AOH67" s="95"/>
      <c r="AOI67" s="95"/>
      <c r="AOJ67" s="95"/>
      <c r="AOK67" s="95"/>
      <c r="AOL67" s="95"/>
      <c r="AOM67" s="95"/>
      <c r="AON67" s="95"/>
      <c r="AOO67" s="95"/>
      <c r="AOP67" s="95"/>
      <c r="AOQ67" s="95"/>
      <c r="AOR67" s="95"/>
      <c r="AOS67" s="95"/>
      <c r="AOT67" s="95"/>
      <c r="AOU67" s="95"/>
      <c r="AOV67" s="95"/>
      <c r="AOW67" s="95"/>
      <c r="AOX67" s="95"/>
      <c r="AOY67" s="95"/>
      <c r="AOZ67" s="95"/>
      <c r="APA67" s="95"/>
      <c r="APB67" s="95"/>
      <c r="APC67" s="95"/>
      <c r="APD67" s="95"/>
      <c r="APE67" s="95"/>
      <c r="APF67" s="95"/>
      <c r="APG67" s="95"/>
      <c r="APH67" s="95"/>
      <c r="API67" s="95"/>
      <c r="APJ67" s="95"/>
      <c r="APK67" s="95"/>
      <c r="APL67" s="95"/>
      <c r="APM67" s="95"/>
      <c r="APN67" s="95"/>
      <c r="APO67" s="95"/>
      <c r="APP67" s="95"/>
      <c r="APQ67" s="95"/>
      <c r="APR67" s="95"/>
      <c r="APS67" s="95"/>
      <c r="APT67" s="95"/>
      <c r="APU67" s="95"/>
      <c r="APV67" s="95"/>
      <c r="APW67" s="95"/>
      <c r="APX67" s="95"/>
      <c r="APY67" s="95"/>
      <c r="APZ67" s="95"/>
      <c r="AQA67" s="95"/>
      <c r="AQB67" s="95"/>
      <c r="AQC67" s="95"/>
      <c r="AQD67" s="95"/>
      <c r="AQE67" s="95"/>
      <c r="AQF67" s="95"/>
      <c r="AQG67" s="95"/>
      <c r="AQH67" s="95"/>
      <c r="AQI67" s="95"/>
      <c r="AQJ67" s="95"/>
      <c r="AQK67" s="95"/>
      <c r="AQL67" s="95"/>
      <c r="AQM67" s="95"/>
      <c r="AQN67" s="95"/>
      <c r="AQO67" s="95"/>
      <c r="AQP67" s="95"/>
      <c r="AQQ67" s="95"/>
      <c r="AQR67" s="95"/>
      <c r="AQS67" s="95"/>
      <c r="AQT67" s="95"/>
      <c r="AQU67" s="95"/>
      <c r="AQV67" s="95"/>
      <c r="AQW67" s="95"/>
      <c r="AQX67" s="95"/>
      <c r="AQY67" s="95"/>
      <c r="AQZ67" s="95"/>
      <c r="ARA67" s="95"/>
      <c r="ARB67" s="95"/>
      <c r="ARC67" s="95"/>
      <c r="ARD67" s="95"/>
      <c r="ARE67" s="95"/>
      <c r="ARF67" s="95"/>
      <c r="ARG67" s="95"/>
      <c r="ARH67" s="95"/>
      <c r="ARI67" s="95"/>
      <c r="ARJ67" s="95"/>
      <c r="ARK67" s="95"/>
      <c r="ARL67" s="95"/>
      <c r="ARM67" s="95"/>
      <c r="ARN67" s="95"/>
      <c r="ARO67" s="95"/>
      <c r="ARP67" s="95"/>
      <c r="ARQ67" s="95"/>
      <c r="ARR67" s="95"/>
      <c r="ARS67" s="95"/>
      <c r="ART67" s="95"/>
      <c r="ARU67" s="95"/>
      <c r="ARV67" s="95"/>
      <c r="ARW67" s="95"/>
      <c r="ARX67" s="95"/>
      <c r="ARY67" s="95"/>
      <c r="ARZ67" s="95"/>
      <c r="ASA67" s="95"/>
      <c r="ASB67" s="95"/>
      <c r="ASC67" s="95"/>
      <c r="ASD67" s="95"/>
      <c r="ASE67" s="95"/>
      <c r="ASF67" s="95"/>
      <c r="ASG67" s="95"/>
      <c r="ASH67" s="95"/>
      <c r="ASI67" s="95"/>
      <c r="ASJ67" s="95"/>
      <c r="ASK67" s="95"/>
      <c r="ASL67" s="95"/>
      <c r="ASM67" s="95"/>
      <c r="ASN67" s="95"/>
      <c r="ASO67" s="95"/>
      <c r="ASP67" s="95"/>
      <c r="ASQ67" s="95"/>
      <c r="ASR67" s="95"/>
      <c r="ASS67" s="95"/>
      <c r="AST67" s="95"/>
      <c r="ASU67" s="95"/>
      <c r="ASV67" s="95"/>
      <c r="ASW67" s="95"/>
      <c r="ASX67" s="95"/>
      <c r="ASY67" s="95"/>
      <c r="ASZ67" s="95"/>
      <c r="ATA67" s="95"/>
      <c r="ATB67" s="95"/>
      <c r="ATC67" s="95"/>
      <c r="ATD67" s="95"/>
      <c r="ATE67" s="95"/>
      <c r="ATF67" s="95"/>
      <c r="ATG67" s="95"/>
      <c r="ATH67" s="95"/>
      <c r="ATI67" s="95"/>
      <c r="ATJ67" s="95"/>
      <c r="ATK67" s="95"/>
      <c r="ATL67" s="95"/>
      <c r="ATM67" s="95"/>
      <c r="ATN67" s="95"/>
      <c r="ATO67" s="95"/>
      <c r="ATP67" s="95"/>
      <c r="ATQ67" s="95"/>
      <c r="ATR67" s="95"/>
      <c r="ATS67" s="95"/>
      <c r="ATT67" s="95"/>
      <c r="ATU67" s="95"/>
      <c r="ATV67" s="95"/>
      <c r="ATW67" s="95"/>
      <c r="ATX67" s="95"/>
      <c r="ATY67" s="95"/>
      <c r="ATZ67" s="95"/>
      <c r="AUA67" s="95"/>
      <c r="AUB67" s="95"/>
      <c r="AUC67" s="95"/>
      <c r="AUD67" s="95"/>
      <c r="AUE67" s="95"/>
      <c r="AUF67" s="95"/>
      <c r="AUG67" s="95"/>
      <c r="AUH67" s="95"/>
      <c r="AUI67" s="95"/>
      <c r="AUJ67" s="95"/>
      <c r="AUK67" s="95"/>
      <c r="AUL67" s="95"/>
      <c r="AUM67" s="95"/>
      <c r="AUN67" s="95"/>
      <c r="AUO67" s="95"/>
      <c r="AUP67" s="95"/>
      <c r="AUQ67" s="95"/>
      <c r="AUR67" s="95"/>
      <c r="AUS67" s="95"/>
      <c r="AUT67" s="95"/>
      <c r="AUU67" s="95"/>
      <c r="AUV67" s="95"/>
      <c r="AUW67" s="95"/>
      <c r="AUX67" s="95"/>
      <c r="AUY67" s="95"/>
      <c r="AUZ67" s="95"/>
      <c r="AVA67" s="95"/>
      <c r="AVB67" s="95"/>
      <c r="AVC67" s="95"/>
      <c r="AVD67" s="95"/>
      <c r="AVE67" s="95"/>
      <c r="AVF67" s="95"/>
      <c r="AVG67" s="95"/>
      <c r="AVH67" s="95"/>
      <c r="AVI67" s="95"/>
      <c r="AVJ67" s="95"/>
      <c r="AVK67" s="95"/>
      <c r="AVL67" s="95"/>
      <c r="AVM67" s="95"/>
      <c r="AVN67" s="95"/>
      <c r="AVO67" s="95"/>
      <c r="AVP67" s="95"/>
      <c r="AVQ67" s="95"/>
      <c r="AVR67" s="95"/>
      <c r="AVS67" s="95"/>
      <c r="AVT67" s="95"/>
      <c r="AVU67" s="95"/>
      <c r="AVV67" s="95"/>
      <c r="AVW67" s="95"/>
      <c r="AVX67" s="95"/>
      <c r="AVY67" s="95"/>
      <c r="AVZ67" s="95"/>
      <c r="AWA67" s="95"/>
      <c r="AWB67" s="95"/>
      <c r="AWC67" s="95"/>
      <c r="AWD67" s="95"/>
      <c r="AWE67" s="95"/>
      <c r="AWF67" s="95"/>
      <c r="AWG67" s="95"/>
      <c r="AWH67" s="95"/>
      <c r="AWI67" s="95"/>
      <c r="AWJ67" s="95"/>
      <c r="AWK67" s="95"/>
      <c r="AWL67" s="95"/>
      <c r="AWM67" s="95"/>
      <c r="AWN67" s="95"/>
      <c r="AWO67" s="95"/>
      <c r="AWP67" s="95"/>
      <c r="AWQ67" s="95"/>
      <c r="AWR67" s="95"/>
      <c r="AWS67" s="95"/>
      <c r="AWT67" s="95"/>
      <c r="AWU67" s="95"/>
      <c r="AWV67" s="95"/>
      <c r="AWW67" s="95"/>
      <c r="AWX67" s="95"/>
      <c r="AWY67" s="95"/>
      <c r="AWZ67" s="95"/>
      <c r="AXA67" s="95"/>
      <c r="AXB67" s="95"/>
      <c r="AXC67" s="95"/>
      <c r="AXD67" s="95"/>
      <c r="AXE67" s="95"/>
      <c r="AXF67" s="95"/>
      <c r="AXG67" s="95"/>
      <c r="AXH67" s="95"/>
      <c r="AXI67" s="95"/>
      <c r="AXJ67" s="95"/>
      <c r="AXK67" s="95"/>
      <c r="AXL67" s="95"/>
      <c r="AXM67" s="95"/>
      <c r="AXN67" s="95"/>
      <c r="AXO67" s="95"/>
      <c r="AXP67" s="95"/>
      <c r="AXQ67" s="95"/>
      <c r="AXR67" s="95"/>
      <c r="AXS67" s="95"/>
      <c r="AXT67" s="95"/>
      <c r="AXU67" s="95"/>
      <c r="AXV67" s="95"/>
      <c r="AXW67" s="95"/>
      <c r="AXX67" s="95"/>
      <c r="AXY67" s="95"/>
      <c r="AXZ67" s="95"/>
      <c r="AYA67" s="95"/>
      <c r="AYB67" s="95"/>
      <c r="AYC67" s="95"/>
      <c r="AYD67" s="95"/>
      <c r="AYE67" s="95"/>
      <c r="AYF67" s="95"/>
      <c r="AYG67" s="95"/>
      <c r="AYH67" s="95"/>
      <c r="AYI67" s="95"/>
      <c r="AYJ67" s="95"/>
      <c r="AYK67" s="95"/>
      <c r="AYL67" s="95"/>
      <c r="AYM67" s="95"/>
      <c r="AYN67" s="95"/>
      <c r="AYO67" s="95"/>
      <c r="AYP67" s="95"/>
      <c r="AYQ67" s="95"/>
      <c r="AYR67" s="95"/>
      <c r="AYS67" s="95"/>
      <c r="AYT67" s="95"/>
      <c r="AYU67" s="95"/>
      <c r="AYV67" s="95"/>
      <c r="AYW67" s="95"/>
      <c r="AYX67" s="95"/>
      <c r="AYY67" s="95"/>
      <c r="AYZ67" s="95"/>
      <c r="AZA67" s="95"/>
      <c r="AZB67" s="95"/>
      <c r="AZC67" s="95"/>
      <c r="AZD67" s="95"/>
      <c r="AZE67" s="95"/>
      <c r="AZF67" s="95"/>
      <c r="AZG67" s="95"/>
      <c r="AZH67" s="95"/>
      <c r="AZI67" s="95"/>
      <c r="AZJ67" s="95"/>
      <c r="AZK67" s="95"/>
      <c r="AZL67" s="95"/>
      <c r="AZM67" s="95"/>
      <c r="AZN67" s="95"/>
      <c r="AZO67" s="95"/>
      <c r="AZP67" s="95"/>
      <c r="AZQ67" s="95"/>
      <c r="AZR67" s="95"/>
      <c r="AZS67" s="95"/>
      <c r="AZT67" s="95"/>
      <c r="AZU67" s="95"/>
      <c r="AZV67" s="95"/>
      <c r="AZW67" s="95"/>
      <c r="AZX67" s="95"/>
      <c r="AZY67" s="95"/>
      <c r="AZZ67" s="95"/>
      <c r="BAA67" s="95"/>
      <c r="BAB67" s="95"/>
      <c r="BAC67" s="95"/>
      <c r="BAD67" s="95"/>
      <c r="BAE67" s="95"/>
      <c r="BAF67" s="95"/>
      <c r="BAG67" s="95"/>
      <c r="BAH67" s="95"/>
      <c r="BAI67" s="95"/>
      <c r="BAJ67" s="95"/>
      <c r="BAK67" s="95"/>
      <c r="BAL67" s="95"/>
      <c r="BAM67" s="95"/>
      <c r="BAN67" s="95"/>
      <c r="BAO67" s="95"/>
      <c r="BAP67" s="95"/>
      <c r="BAQ67" s="95"/>
      <c r="BAR67" s="95"/>
      <c r="BAS67" s="95"/>
      <c r="BAT67" s="95"/>
      <c r="BAU67" s="95"/>
      <c r="BAV67" s="95"/>
      <c r="BAW67" s="95"/>
      <c r="BAX67" s="95"/>
      <c r="BAY67" s="95"/>
      <c r="BAZ67" s="95"/>
      <c r="BBA67" s="95"/>
      <c r="BBB67" s="95"/>
      <c r="BBC67" s="95"/>
      <c r="BBD67" s="95"/>
      <c r="BBE67" s="95"/>
      <c r="BBF67" s="95"/>
      <c r="BBG67" s="95"/>
      <c r="BBH67" s="95"/>
      <c r="BBI67" s="95"/>
      <c r="BBJ67" s="95"/>
      <c r="BBK67" s="95"/>
      <c r="BBL67" s="95"/>
      <c r="BBM67" s="95"/>
      <c r="BBN67" s="95"/>
      <c r="BBO67" s="95"/>
      <c r="BBP67" s="95"/>
      <c r="BBQ67" s="95"/>
      <c r="BBR67" s="95"/>
      <c r="BBS67" s="95"/>
      <c r="BBT67" s="95"/>
      <c r="BBU67" s="95"/>
      <c r="BBV67" s="95"/>
      <c r="BBW67" s="95"/>
      <c r="BBX67" s="95"/>
      <c r="BBY67" s="95"/>
      <c r="BBZ67" s="95"/>
      <c r="BCA67" s="95"/>
      <c r="BCB67" s="95"/>
      <c r="BCC67" s="95"/>
      <c r="BCD67" s="95"/>
      <c r="BCE67" s="95"/>
      <c r="BCF67" s="95"/>
      <c r="BCG67" s="95"/>
      <c r="BCH67" s="95"/>
      <c r="BCI67" s="95"/>
      <c r="BCJ67" s="95"/>
      <c r="BCK67" s="95"/>
      <c r="BCL67" s="95"/>
      <c r="BCM67" s="95"/>
      <c r="BCN67" s="95"/>
      <c r="BCO67" s="95"/>
      <c r="BCP67" s="95"/>
      <c r="BCQ67" s="95"/>
      <c r="BCR67" s="95"/>
      <c r="BCS67" s="95"/>
      <c r="BCT67" s="95"/>
      <c r="BCU67" s="95"/>
      <c r="BCV67" s="95"/>
      <c r="BCW67" s="95"/>
      <c r="BCX67" s="95"/>
      <c r="BCY67" s="95"/>
      <c r="BCZ67" s="95"/>
      <c r="BDA67" s="95"/>
      <c r="BDB67" s="95"/>
      <c r="BDC67" s="95"/>
      <c r="BDD67" s="95"/>
      <c r="BDE67" s="95"/>
      <c r="BDF67" s="95"/>
      <c r="BDG67" s="95"/>
      <c r="BDH67" s="95"/>
      <c r="BDI67" s="95"/>
      <c r="BDJ67" s="95"/>
      <c r="BDK67" s="95"/>
      <c r="BDL67" s="95"/>
      <c r="BDM67" s="95"/>
      <c r="BDN67" s="95"/>
      <c r="BDO67" s="95"/>
      <c r="BDP67" s="95"/>
      <c r="BDQ67" s="95"/>
      <c r="BDR67" s="95"/>
      <c r="BDS67" s="95"/>
      <c r="BDT67" s="95"/>
      <c r="BDU67" s="95"/>
      <c r="BDV67" s="95"/>
      <c r="BDW67" s="95"/>
      <c r="BDX67" s="95"/>
      <c r="BDY67" s="95"/>
      <c r="BDZ67" s="95"/>
      <c r="BEA67" s="95"/>
      <c r="BEB67" s="95"/>
      <c r="BEC67" s="95"/>
      <c r="BED67" s="95"/>
      <c r="BEE67" s="95"/>
      <c r="BEF67" s="95"/>
      <c r="BEG67" s="95"/>
      <c r="BEH67" s="95"/>
      <c r="BEI67" s="95"/>
      <c r="BEJ67" s="95"/>
      <c r="BEK67" s="95"/>
      <c r="BEL67" s="95"/>
      <c r="BEM67" s="95"/>
      <c r="BEN67" s="95"/>
      <c r="BEO67" s="95"/>
      <c r="BEP67" s="95"/>
      <c r="BEQ67" s="95"/>
      <c r="BER67" s="95"/>
      <c r="BES67" s="95"/>
      <c r="BET67" s="95"/>
      <c r="BEU67" s="95"/>
      <c r="BEV67" s="95"/>
      <c r="BEW67" s="95"/>
      <c r="BEX67" s="95"/>
      <c r="BEY67" s="95"/>
      <c r="BEZ67" s="95"/>
      <c r="BFA67" s="95"/>
      <c r="BFB67" s="95"/>
      <c r="BFC67" s="95"/>
      <c r="BFD67" s="95"/>
      <c r="BFE67" s="95"/>
      <c r="BFF67" s="95"/>
      <c r="BFG67" s="95"/>
      <c r="BFH67" s="95"/>
      <c r="BFI67" s="95"/>
      <c r="BFJ67" s="95"/>
      <c r="BFK67" s="95"/>
      <c r="BFL67" s="95"/>
      <c r="BFM67" s="95"/>
      <c r="BFN67" s="95"/>
      <c r="BFO67" s="95"/>
      <c r="BFP67" s="95"/>
      <c r="BFQ67" s="95"/>
      <c r="BFR67" s="95"/>
      <c r="BFS67" s="95"/>
      <c r="BFT67" s="95"/>
      <c r="BFU67" s="95"/>
      <c r="BFV67" s="95"/>
      <c r="BFW67" s="95"/>
      <c r="BFX67" s="95"/>
      <c r="BFY67" s="95"/>
      <c r="BFZ67" s="95"/>
      <c r="BGA67" s="95"/>
      <c r="BGB67" s="95"/>
      <c r="BGC67" s="95"/>
      <c r="BGD67" s="95"/>
      <c r="BGE67" s="95"/>
      <c r="BGF67" s="95"/>
      <c r="BGG67" s="95"/>
      <c r="BGH67" s="95"/>
      <c r="BGI67" s="95"/>
      <c r="BGJ67" s="95"/>
      <c r="BGK67" s="95"/>
      <c r="BGL67" s="95"/>
      <c r="BGM67" s="95"/>
      <c r="BGN67" s="95"/>
      <c r="BGO67" s="95"/>
      <c r="BGP67" s="95"/>
      <c r="BGQ67" s="95"/>
      <c r="BGR67" s="95"/>
      <c r="BGS67" s="95"/>
      <c r="BGT67" s="95"/>
      <c r="BGU67" s="95"/>
      <c r="BGV67" s="95"/>
      <c r="BGW67" s="95"/>
      <c r="BGX67" s="95"/>
      <c r="BGY67" s="95"/>
      <c r="BGZ67" s="95"/>
      <c r="BHA67" s="95"/>
      <c r="BHB67" s="95"/>
      <c r="BHC67" s="95"/>
      <c r="BHD67" s="95"/>
      <c r="BHE67" s="95"/>
      <c r="BHF67" s="95"/>
      <c r="BHG67" s="95"/>
      <c r="BHH67" s="95"/>
      <c r="BHI67" s="95"/>
      <c r="BHJ67" s="95"/>
      <c r="BHK67" s="95"/>
      <c r="BHL67" s="95"/>
      <c r="BHM67" s="95"/>
      <c r="BHN67" s="95"/>
      <c r="BHO67" s="95"/>
      <c r="BHP67" s="95"/>
      <c r="BHQ67" s="95"/>
      <c r="BHR67" s="95"/>
      <c r="BHS67" s="95"/>
      <c r="BHT67" s="95"/>
      <c r="BHU67" s="95"/>
      <c r="BHV67" s="95"/>
      <c r="BHW67" s="95"/>
      <c r="BHX67" s="95"/>
      <c r="BHY67" s="95"/>
      <c r="BHZ67" s="95"/>
      <c r="BIA67" s="95"/>
      <c r="BIB67" s="95"/>
      <c r="BIC67" s="95"/>
      <c r="BID67" s="95"/>
      <c r="BIE67" s="95"/>
      <c r="BIF67" s="95"/>
      <c r="BIG67" s="95"/>
      <c r="BIH67" s="95"/>
      <c r="BII67" s="95"/>
      <c r="BIJ67" s="95"/>
      <c r="BIK67" s="95"/>
      <c r="BIL67" s="95"/>
      <c r="BIM67" s="95"/>
      <c r="BIN67" s="95"/>
      <c r="BIO67" s="95"/>
      <c r="BIP67" s="95"/>
      <c r="BIQ67" s="95"/>
      <c r="BIR67" s="95"/>
      <c r="BIS67" s="95"/>
      <c r="BIT67" s="95"/>
      <c r="BIU67" s="95"/>
      <c r="BIV67" s="95"/>
      <c r="BIW67" s="95"/>
      <c r="BIX67" s="95"/>
      <c r="BIY67" s="95"/>
      <c r="BIZ67" s="95"/>
      <c r="BJA67" s="95"/>
      <c r="BJB67" s="95"/>
      <c r="BJC67" s="95"/>
      <c r="BJD67" s="95"/>
      <c r="BJE67" s="95"/>
      <c r="BJF67" s="95"/>
      <c r="BJG67" s="95"/>
      <c r="BJH67" s="95"/>
      <c r="BJI67" s="95"/>
      <c r="BJJ67" s="95"/>
      <c r="BJK67" s="95"/>
      <c r="BJL67" s="95"/>
      <c r="BJM67" s="95"/>
      <c r="BJN67" s="95"/>
      <c r="BJO67" s="95"/>
      <c r="BJP67" s="95"/>
      <c r="BJQ67" s="95"/>
      <c r="BJR67" s="95"/>
      <c r="BJS67" s="95"/>
      <c r="BJT67" s="95"/>
      <c r="BJU67" s="95"/>
      <c r="BJV67" s="95"/>
      <c r="BJW67" s="95"/>
      <c r="BJX67" s="95"/>
      <c r="BJY67" s="95"/>
      <c r="BJZ67" s="95"/>
      <c r="BKA67" s="95"/>
      <c r="BKB67" s="95"/>
      <c r="BKC67" s="95"/>
      <c r="BKD67" s="95"/>
      <c r="BKE67" s="95"/>
      <c r="BKF67" s="95"/>
      <c r="BKG67" s="95"/>
      <c r="BKH67" s="95"/>
      <c r="BKI67" s="95"/>
      <c r="BKJ67" s="95"/>
      <c r="BKK67" s="95"/>
      <c r="BKL67" s="95"/>
      <c r="BKM67" s="95"/>
      <c r="BKN67" s="95"/>
      <c r="BKO67" s="95"/>
      <c r="BKP67" s="95"/>
      <c r="BKQ67" s="95"/>
      <c r="BKR67" s="95"/>
      <c r="BKS67" s="95"/>
      <c r="BKT67" s="95"/>
      <c r="BKU67" s="95"/>
      <c r="BKV67" s="95"/>
      <c r="BKW67" s="95"/>
      <c r="BKX67" s="95"/>
      <c r="BKY67" s="95"/>
      <c r="BKZ67" s="95"/>
      <c r="BLA67" s="95"/>
      <c r="BLB67" s="95"/>
      <c r="BLC67" s="95"/>
      <c r="BLD67" s="95"/>
      <c r="BLE67" s="95"/>
      <c r="BLF67" s="95"/>
      <c r="BLG67" s="95"/>
      <c r="BLH67" s="95"/>
      <c r="BLI67" s="95"/>
      <c r="BLJ67" s="95"/>
      <c r="BLK67" s="95"/>
      <c r="BLL67" s="95"/>
      <c r="BLM67" s="95"/>
      <c r="BLN67" s="95"/>
      <c r="BLO67" s="95"/>
      <c r="BLP67" s="95"/>
      <c r="BLQ67" s="95"/>
      <c r="BLR67" s="95"/>
      <c r="BLS67" s="95"/>
      <c r="BLT67" s="95"/>
      <c r="BLU67" s="95"/>
      <c r="BLV67" s="95"/>
      <c r="BLW67" s="95"/>
      <c r="BLX67" s="95"/>
      <c r="BLY67" s="95"/>
      <c r="BLZ67" s="95"/>
      <c r="BMA67" s="95"/>
      <c r="BMB67" s="95"/>
      <c r="BMC67" s="95"/>
      <c r="BMD67" s="95"/>
      <c r="BME67" s="95"/>
      <c r="BMF67" s="95"/>
      <c r="BMG67" s="95"/>
      <c r="BMH67" s="95"/>
      <c r="BMI67" s="95"/>
      <c r="BMJ67" s="95"/>
      <c r="BMK67" s="95"/>
      <c r="BML67" s="95"/>
      <c r="BMM67" s="95"/>
      <c r="BMN67" s="95"/>
      <c r="BMO67" s="95"/>
      <c r="BMP67" s="95"/>
      <c r="BMQ67" s="95"/>
      <c r="BMR67" s="95"/>
      <c r="BMS67" s="95"/>
      <c r="BMT67" s="95"/>
      <c r="BMU67" s="95"/>
      <c r="BMV67" s="95"/>
      <c r="BMW67" s="95"/>
      <c r="BMX67" s="95"/>
      <c r="BMY67" s="95"/>
      <c r="BMZ67" s="95"/>
      <c r="BNA67" s="95"/>
      <c r="BNB67" s="95"/>
      <c r="BNC67" s="95"/>
      <c r="BND67" s="95"/>
      <c r="BNE67" s="95"/>
      <c r="BNF67" s="95"/>
      <c r="BNG67" s="95"/>
      <c r="BNH67" s="95"/>
      <c r="BNI67" s="95"/>
      <c r="BNJ67" s="95"/>
      <c r="BNK67" s="95"/>
      <c r="BNL67" s="95"/>
      <c r="BNM67" s="95"/>
      <c r="BNN67" s="95"/>
      <c r="BNO67" s="95"/>
      <c r="BNP67" s="95"/>
      <c r="BNQ67" s="95"/>
      <c r="BNR67" s="95"/>
      <c r="BNS67" s="95"/>
      <c r="BNT67" s="95"/>
      <c r="BNU67" s="95"/>
      <c r="BNV67" s="95"/>
      <c r="BNW67" s="95"/>
      <c r="BNX67" s="95"/>
      <c r="BNY67" s="95"/>
      <c r="BNZ67" s="95"/>
      <c r="BOA67" s="95"/>
      <c r="BOB67" s="95"/>
      <c r="BOC67" s="95"/>
      <c r="BOD67" s="95"/>
      <c r="BOE67" s="95"/>
      <c r="BOF67" s="95"/>
      <c r="BOG67" s="95"/>
      <c r="BOH67" s="95"/>
      <c r="BOI67" s="95"/>
      <c r="BOJ67" s="95"/>
      <c r="BOK67" s="95"/>
      <c r="BOL67" s="95"/>
      <c r="BOM67" s="95"/>
      <c r="BON67" s="95"/>
      <c r="BOO67" s="95"/>
      <c r="BOP67" s="95"/>
      <c r="BOQ67" s="95"/>
      <c r="BOR67" s="95"/>
      <c r="BOS67" s="95"/>
      <c r="BOT67" s="95"/>
      <c r="BOU67" s="95"/>
      <c r="BOV67" s="95"/>
      <c r="BOW67" s="95"/>
      <c r="BOX67" s="95"/>
      <c r="BOY67" s="95"/>
      <c r="BOZ67" s="95"/>
      <c r="BPA67" s="95"/>
      <c r="BPB67" s="95"/>
      <c r="BPC67" s="95"/>
      <c r="BPD67" s="95"/>
      <c r="BPE67" s="95"/>
      <c r="BPF67" s="95"/>
      <c r="BPG67" s="95"/>
      <c r="BPH67" s="95"/>
      <c r="BPI67" s="95"/>
      <c r="BPJ67" s="95"/>
      <c r="BPK67" s="95"/>
      <c r="BPL67" s="95"/>
      <c r="BPM67" s="95"/>
      <c r="BPN67" s="95"/>
      <c r="BPO67" s="95"/>
      <c r="BPP67" s="95"/>
      <c r="BPQ67" s="95"/>
      <c r="BPR67" s="95"/>
      <c r="BPS67" s="95"/>
      <c r="BPT67" s="95"/>
      <c r="BPU67" s="95"/>
      <c r="BPV67" s="95"/>
      <c r="BPW67" s="95"/>
      <c r="BPX67" s="95"/>
      <c r="BPY67" s="95"/>
      <c r="BPZ67" s="95"/>
      <c r="BQA67" s="95"/>
      <c r="BQB67" s="95"/>
      <c r="BQC67" s="95"/>
      <c r="BQD67" s="95"/>
      <c r="BQE67" s="95"/>
      <c r="BQF67" s="95"/>
      <c r="BQG67" s="95"/>
      <c r="BQH67" s="95"/>
      <c r="BQI67" s="95"/>
      <c r="BQJ67" s="95"/>
      <c r="BQK67" s="95"/>
      <c r="BQL67" s="95"/>
      <c r="BQM67" s="95"/>
      <c r="BQN67" s="95"/>
      <c r="BQO67" s="95"/>
      <c r="BQP67" s="95"/>
      <c r="BQQ67" s="95"/>
      <c r="BQR67" s="95"/>
      <c r="BQS67" s="95"/>
      <c r="BQT67" s="95"/>
      <c r="BQU67" s="95"/>
      <c r="BQV67" s="95"/>
      <c r="BQW67" s="95"/>
      <c r="BQX67" s="95"/>
      <c r="BQY67" s="95"/>
      <c r="BQZ67" s="95"/>
      <c r="BRA67" s="95"/>
      <c r="BRB67" s="95"/>
      <c r="BRC67" s="95"/>
      <c r="BRD67" s="95"/>
      <c r="BRE67" s="95"/>
      <c r="BRF67" s="95"/>
      <c r="BRG67" s="95"/>
      <c r="BRH67" s="95"/>
      <c r="BRI67" s="95"/>
      <c r="BRJ67" s="95"/>
      <c r="BRK67" s="95"/>
      <c r="BRL67" s="95"/>
      <c r="BRM67" s="95"/>
      <c r="BRN67" s="95"/>
      <c r="BRO67" s="95"/>
      <c r="BRP67" s="95"/>
      <c r="BRQ67" s="95"/>
      <c r="BRR67" s="95"/>
      <c r="BRS67" s="95"/>
      <c r="BRT67" s="95"/>
      <c r="BRU67" s="95"/>
      <c r="BRV67" s="95"/>
      <c r="BRW67" s="95"/>
      <c r="BRX67" s="95"/>
      <c r="BRY67" s="95"/>
      <c r="BRZ67" s="95"/>
      <c r="BSA67" s="95"/>
      <c r="BSB67" s="95"/>
      <c r="BSC67" s="95"/>
      <c r="BSD67" s="95"/>
      <c r="BSE67" s="95"/>
      <c r="BSF67" s="95"/>
      <c r="BSG67" s="95"/>
      <c r="BSH67" s="95"/>
      <c r="BSI67" s="95"/>
      <c r="BSJ67" s="95"/>
      <c r="BSK67" s="95"/>
      <c r="BSL67" s="95"/>
      <c r="BSM67" s="95"/>
      <c r="BSN67" s="95"/>
      <c r="BSO67" s="95"/>
      <c r="BSP67" s="95"/>
      <c r="BSQ67" s="95"/>
      <c r="BSR67" s="95"/>
      <c r="BSS67" s="95"/>
      <c r="BST67" s="95"/>
      <c r="BSU67" s="95"/>
      <c r="BSV67" s="95"/>
      <c r="BSW67" s="95"/>
      <c r="BSX67" s="95"/>
      <c r="BSY67" s="95"/>
      <c r="BSZ67" s="95"/>
      <c r="BTA67" s="95"/>
      <c r="BTB67" s="95"/>
      <c r="BTC67" s="95"/>
      <c r="BTD67" s="95"/>
      <c r="BTE67" s="95"/>
      <c r="BTF67" s="95"/>
      <c r="BTG67" s="95"/>
      <c r="BTH67" s="95"/>
      <c r="BTI67" s="95"/>
      <c r="BTJ67" s="95"/>
      <c r="BTK67" s="95"/>
      <c r="BTL67" s="95"/>
      <c r="BTM67" s="95"/>
      <c r="BTN67" s="95"/>
      <c r="BTO67" s="95"/>
      <c r="BTP67" s="95"/>
      <c r="BTQ67" s="95"/>
      <c r="BTR67" s="95"/>
      <c r="BTS67" s="95"/>
      <c r="BTT67" s="95"/>
      <c r="BTU67" s="95"/>
      <c r="BTV67" s="95"/>
      <c r="BTW67" s="95"/>
      <c r="BTX67" s="95"/>
      <c r="BTY67" s="95"/>
      <c r="BTZ67" s="95"/>
      <c r="BUA67" s="95"/>
      <c r="BUB67" s="95"/>
      <c r="BUC67" s="95"/>
      <c r="BUD67" s="95"/>
      <c r="BUE67" s="95"/>
      <c r="BUF67" s="95"/>
      <c r="BUG67" s="95"/>
      <c r="BUH67" s="95"/>
      <c r="BUI67" s="95"/>
      <c r="BUJ67" s="95"/>
      <c r="BUK67" s="95"/>
      <c r="BUL67" s="95"/>
      <c r="BUM67" s="95"/>
      <c r="BUN67" s="95"/>
      <c r="BUO67" s="95"/>
      <c r="BUP67" s="95"/>
      <c r="BUQ67" s="95"/>
      <c r="BUR67" s="95"/>
      <c r="BUS67" s="95"/>
      <c r="BUT67" s="95"/>
      <c r="BUU67" s="95"/>
      <c r="BUV67" s="95"/>
      <c r="BUW67" s="95"/>
      <c r="BUX67" s="95"/>
      <c r="BUY67" s="95"/>
      <c r="BUZ67" s="95"/>
      <c r="BVA67" s="95"/>
      <c r="BVB67" s="95"/>
      <c r="BVC67" s="95"/>
      <c r="BVD67" s="95"/>
      <c r="BVE67" s="95"/>
      <c r="BVF67" s="95"/>
      <c r="BVG67" s="95"/>
      <c r="BVH67" s="95"/>
      <c r="BVI67" s="95"/>
      <c r="BVJ67" s="95"/>
      <c r="BVK67" s="95"/>
      <c r="BVL67" s="95"/>
      <c r="BVM67" s="95"/>
      <c r="BVN67" s="95"/>
      <c r="BVO67" s="95"/>
      <c r="BVP67" s="95"/>
      <c r="BVQ67" s="95"/>
      <c r="BVR67" s="95"/>
      <c r="BVS67" s="95"/>
      <c r="BVT67" s="95"/>
      <c r="BVU67" s="95"/>
      <c r="BVV67" s="95"/>
      <c r="BVW67" s="95"/>
      <c r="BVX67" s="95"/>
      <c r="BVY67" s="95"/>
      <c r="BVZ67" s="95"/>
      <c r="BWA67" s="95"/>
      <c r="BWB67" s="95"/>
      <c r="BWC67" s="95"/>
      <c r="BWD67" s="95"/>
      <c r="BWE67" s="95"/>
      <c r="BWF67" s="95"/>
      <c r="BWG67" s="95"/>
      <c r="BWH67" s="95"/>
      <c r="BWI67" s="95"/>
      <c r="BWJ67" s="95"/>
      <c r="BWK67" s="95"/>
      <c r="BWL67" s="95"/>
      <c r="BWM67" s="95"/>
      <c r="BWN67" s="95"/>
      <c r="BWO67" s="95"/>
      <c r="BWP67" s="95"/>
      <c r="BWQ67" s="95"/>
      <c r="BWR67" s="95"/>
      <c r="BWS67" s="95"/>
      <c r="BWT67" s="95"/>
      <c r="BWU67" s="95"/>
      <c r="BWV67" s="95"/>
      <c r="BWW67" s="95"/>
      <c r="BWX67" s="95"/>
      <c r="BWY67" s="95"/>
      <c r="BWZ67" s="95"/>
      <c r="BXA67" s="95"/>
      <c r="BXB67" s="95"/>
      <c r="BXC67" s="95"/>
      <c r="BXD67" s="95"/>
      <c r="BXE67" s="95"/>
      <c r="BXF67" s="95"/>
      <c r="BXG67" s="95"/>
      <c r="BXH67" s="95"/>
      <c r="BXI67" s="95"/>
      <c r="BXJ67" s="95"/>
      <c r="BXK67" s="95"/>
      <c r="BXL67" s="95"/>
      <c r="BXM67" s="95"/>
      <c r="BXN67" s="95"/>
      <c r="BXO67" s="95"/>
      <c r="BXP67" s="95"/>
      <c r="BXQ67" s="95"/>
      <c r="BXR67" s="95"/>
      <c r="BXS67" s="95"/>
      <c r="BXT67" s="95"/>
      <c r="BXU67" s="95"/>
      <c r="BXV67" s="95"/>
      <c r="BXW67" s="95"/>
      <c r="BXX67" s="95"/>
      <c r="BXY67" s="95"/>
      <c r="BXZ67" s="95"/>
      <c r="BYA67" s="95"/>
      <c r="BYB67" s="95"/>
      <c r="BYC67" s="95"/>
      <c r="BYD67" s="95"/>
      <c r="BYE67" s="95"/>
      <c r="BYF67" s="95"/>
      <c r="BYG67" s="95"/>
    </row>
    <row r="68" spans="1:2009" s="229" customFormat="1" ht="24.95" customHeight="1" thickBot="1" x14ac:dyDescent="0.3">
      <c r="A68" s="228"/>
      <c r="B68" s="473" t="s">
        <v>469</v>
      </c>
      <c r="C68" s="284">
        <f>SUM(C8+C14+C23+C27+C32+C44+C56)+C36+C51+C60+C62+C58+C66+C64</f>
        <v>172016.19799999997</v>
      </c>
      <c r="D68" s="284">
        <f>SUM(D8+D14+D23+D27+D32+D44+D56)+D36+D51+D60+D58+D62</f>
        <v>61670.23</v>
      </c>
      <c r="E68" s="284">
        <f>SUM(E8+E14+E23+E27+E32+E44+E56)+E36+E51+E60</f>
        <v>52467.61</v>
      </c>
      <c r="F68" s="284">
        <f>SUM(F8+F14+F23+F27+F32+F44+F56)+F36+F51+F60</f>
        <v>10550.4</v>
      </c>
      <c r="G68" s="705">
        <f>SUM(G8+G14+G23+G27+G32+G44+G56)+G36+G51+G60+G62+G58+G66+G64</f>
        <v>298881.25800000003</v>
      </c>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c r="IW68" s="198"/>
      <c r="IX68" s="198"/>
      <c r="IY68" s="198"/>
      <c r="IZ68" s="198"/>
      <c r="JA68" s="198"/>
      <c r="JB68" s="198"/>
      <c r="JC68" s="198"/>
      <c r="JD68" s="198"/>
      <c r="JE68" s="198"/>
      <c r="JF68" s="198"/>
      <c r="JG68" s="198"/>
      <c r="JH68" s="198"/>
      <c r="JI68" s="198"/>
      <c r="JJ68" s="198"/>
      <c r="JK68" s="198"/>
      <c r="JL68" s="198"/>
      <c r="JM68" s="198"/>
      <c r="JN68" s="198"/>
      <c r="JO68" s="198"/>
      <c r="JP68" s="198"/>
      <c r="JQ68" s="198"/>
      <c r="JR68" s="198"/>
      <c r="JS68" s="198"/>
      <c r="JT68" s="198"/>
      <c r="JU68" s="198"/>
      <c r="JV68" s="198"/>
      <c r="JW68" s="198"/>
      <c r="JX68" s="198"/>
      <c r="JY68" s="198"/>
      <c r="JZ68" s="198"/>
      <c r="KA68" s="198"/>
      <c r="KB68" s="198"/>
      <c r="KC68" s="198"/>
      <c r="KD68" s="198"/>
      <c r="KE68" s="198"/>
      <c r="KF68" s="198"/>
      <c r="KG68" s="198"/>
      <c r="KH68" s="198"/>
      <c r="KI68" s="198"/>
      <c r="KJ68" s="198"/>
      <c r="KK68" s="198"/>
      <c r="KL68" s="198"/>
      <c r="KM68" s="198"/>
      <c r="KN68" s="198"/>
      <c r="KO68" s="198"/>
      <c r="KP68" s="198"/>
      <c r="KQ68" s="198"/>
      <c r="KR68" s="198"/>
      <c r="KS68" s="198"/>
      <c r="KT68" s="198"/>
      <c r="KU68" s="198"/>
      <c r="KV68" s="198"/>
      <c r="KW68" s="198"/>
      <c r="KX68" s="198"/>
      <c r="KY68" s="198"/>
      <c r="KZ68" s="198"/>
      <c r="LA68" s="198"/>
      <c r="LB68" s="198"/>
      <c r="LC68" s="198"/>
      <c r="LD68" s="198"/>
      <c r="LE68" s="198"/>
      <c r="LF68" s="198"/>
      <c r="LG68" s="198"/>
      <c r="LH68" s="198"/>
      <c r="LI68" s="198"/>
      <c r="LJ68" s="198"/>
      <c r="LK68" s="198"/>
      <c r="LL68" s="198"/>
      <c r="LM68" s="198"/>
      <c r="LN68" s="198"/>
      <c r="LO68" s="198"/>
      <c r="LP68" s="198"/>
      <c r="LQ68" s="198"/>
      <c r="LR68" s="198"/>
      <c r="LS68" s="198"/>
      <c r="LT68" s="198"/>
      <c r="LU68" s="198"/>
      <c r="LV68" s="198"/>
      <c r="LW68" s="198"/>
      <c r="LX68" s="198"/>
      <c r="LY68" s="198"/>
      <c r="LZ68" s="198"/>
      <c r="MA68" s="198"/>
      <c r="MB68" s="198"/>
      <c r="MC68" s="198"/>
      <c r="MD68" s="198"/>
      <c r="ME68" s="198"/>
      <c r="MF68" s="198"/>
      <c r="MG68" s="198"/>
      <c r="MH68" s="198"/>
      <c r="MI68" s="198"/>
      <c r="MJ68" s="198"/>
      <c r="MK68" s="198"/>
      <c r="ML68" s="198"/>
      <c r="MM68" s="198"/>
      <c r="MN68" s="198"/>
      <c r="MO68" s="198"/>
      <c r="MP68" s="198"/>
      <c r="MQ68" s="198"/>
      <c r="MR68" s="198"/>
      <c r="MS68" s="198"/>
      <c r="MT68" s="198"/>
      <c r="MU68" s="198"/>
      <c r="MV68" s="198"/>
      <c r="MW68" s="198"/>
      <c r="MX68" s="198"/>
      <c r="MY68" s="198"/>
      <c r="MZ68" s="198"/>
      <c r="NA68" s="198"/>
      <c r="NB68" s="198"/>
      <c r="NC68" s="198"/>
      <c r="ND68" s="198"/>
      <c r="NE68" s="198"/>
      <c r="NF68" s="198"/>
      <c r="NG68" s="198"/>
      <c r="NH68" s="198"/>
      <c r="NI68" s="198"/>
      <c r="NJ68" s="198"/>
      <c r="NK68" s="198"/>
      <c r="NL68" s="198"/>
      <c r="NM68" s="198"/>
      <c r="NN68" s="198"/>
      <c r="NO68" s="198"/>
      <c r="NP68" s="198"/>
      <c r="NQ68" s="198"/>
      <c r="NR68" s="198"/>
      <c r="NS68" s="198"/>
      <c r="NT68" s="198"/>
      <c r="NU68" s="198"/>
      <c r="NV68" s="198"/>
      <c r="NW68" s="198"/>
      <c r="NX68" s="198"/>
      <c r="NY68" s="198"/>
      <c r="NZ68" s="198"/>
      <c r="OA68" s="198"/>
      <c r="OB68" s="198"/>
      <c r="OC68" s="198"/>
      <c r="OD68" s="198"/>
      <c r="OE68" s="198"/>
      <c r="OF68" s="198"/>
      <c r="OG68" s="198"/>
      <c r="OH68" s="198"/>
      <c r="OI68" s="198"/>
      <c r="OJ68" s="198"/>
      <c r="OK68" s="198"/>
      <c r="OL68" s="198"/>
      <c r="OM68" s="198"/>
      <c r="ON68" s="198"/>
      <c r="OO68" s="198"/>
      <c r="OP68" s="198"/>
      <c r="OQ68" s="198"/>
      <c r="OR68" s="198"/>
      <c r="OS68" s="198"/>
      <c r="OT68" s="198"/>
      <c r="OU68" s="198"/>
      <c r="OV68" s="198"/>
      <c r="OW68" s="198"/>
      <c r="OX68" s="198"/>
      <c r="OY68" s="198"/>
      <c r="OZ68" s="198"/>
      <c r="PA68" s="198"/>
      <c r="PB68" s="198"/>
      <c r="PC68" s="198"/>
      <c r="PD68" s="198"/>
      <c r="PE68" s="198"/>
      <c r="PF68" s="198"/>
      <c r="PG68" s="198"/>
      <c r="PH68" s="198"/>
      <c r="PI68" s="198"/>
      <c r="PJ68" s="198"/>
      <c r="PK68" s="198"/>
      <c r="PL68" s="198"/>
      <c r="PM68" s="198"/>
      <c r="PN68" s="198"/>
      <c r="PO68" s="198"/>
      <c r="PP68" s="198"/>
      <c r="PQ68" s="198"/>
      <c r="PR68" s="198"/>
      <c r="PS68" s="198"/>
      <c r="PT68" s="198"/>
      <c r="PU68" s="198"/>
      <c r="PV68" s="198"/>
      <c r="PW68" s="198"/>
      <c r="PX68" s="198"/>
      <c r="PY68" s="198"/>
      <c r="PZ68" s="198"/>
      <c r="QA68" s="198"/>
      <c r="QB68" s="198"/>
      <c r="QC68" s="198"/>
      <c r="QD68" s="198"/>
      <c r="QE68" s="198"/>
      <c r="QF68" s="198"/>
      <c r="QG68" s="198"/>
      <c r="QH68" s="198"/>
      <c r="QI68" s="198"/>
      <c r="QJ68" s="198"/>
      <c r="QK68" s="198"/>
      <c r="QL68" s="198"/>
      <c r="QM68" s="198"/>
      <c r="QN68" s="198"/>
      <c r="QO68" s="198"/>
      <c r="QP68" s="198"/>
      <c r="QQ68" s="198"/>
      <c r="QR68" s="198"/>
      <c r="QS68" s="198"/>
      <c r="QT68" s="198"/>
      <c r="QU68" s="198"/>
      <c r="QV68" s="198"/>
      <c r="QW68" s="198"/>
      <c r="QX68" s="198"/>
      <c r="QY68" s="198"/>
      <c r="QZ68" s="198"/>
      <c r="RA68" s="198"/>
      <c r="RB68" s="198"/>
      <c r="RC68" s="198"/>
      <c r="RD68" s="198"/>
      <c r="RE68" s="198"/>
      <c r="RF68" s="198"/>
      <c r="RG68" s="198"/>
      <c r="RH68" s="198"/>
      <c r="RI68" s="198"/>
      <c r="RJ68" s="198"/>
      <c r="RK68" s="198"/>
      <c r="RL68" s="198"/>
      <c r="RM68" s="198"/>
      <c r="RN68" s="198"/>
      <c r="RO68" s="198"/>
      <c r="RP68" s="198"/>
      <c r="RQ68" s="198"/>
      <c r="RR68" s="198"/>
      <c r="RS68" s="198"/>
      <c r="RT68" s="198"/>
      <c r="RU68" s="198"/>
      <c r="RV68" s="198"/>
      <c r="RW68" s="198"/>
      <c r="RX68" s="198"/>
      <c r="RY68" s="198"/>
      <c r="RZ68" s="198"/>
      <c r="SA68" s="198"/>
      <c r="SB68" s="198"/>
      <c r="SC68" s="198"/>
      <c r="SD68" s="198"/>
      <c r="SE68" s="198"/>
      <c r="SF68" s="198"/>
      <c r="SG68" s="198"/>
      <c r="SH68" s="198"/>
      <c r="SI68" s="198"/>
      <c r="SJ68" s="198"/>
      <c r="SK68" s="198"/>
      <c r="SL68" s="198"/>
      <c r="SM68" s="198"/>
      <c r="SN68" s="198"/>
      <c r="SO68" s="198"/>
      <c r="SP68" s="198"/>
      <c r="SQ68" s="198"/>
      <c r="SR68" s="198"/>
      <c r="SS68" s="198"/>
      <c r="ST68" s="198"/>
      <c r="SU68" s="198"/>
      <c r="SV68" s="198"/>
      <c r="SW68" s="198"/>
      <c r="SX68" s="198"/>
      <c r="SY68" s="198"/>
      <c r="SZ68" s="198"/>
      <c r="TA68" s="198"/>
      <c r="TB68" s="198"/>
      <c r="TC68" s="198"/>
      <c r="TD68" s="198"/>
      <c r="TE68" s="198"/>
      <c r="TF68" s="198"/>
      <c r="TG68" s="198"/>
      <c r="TH68" s="198"/>
      <c r="TI68" s="198"/>
      <c r="TJ68" s="198"/>
      <c r="TK68" s="198"/>
      <c r="TL68" s="198"/>
      <c r="TM68" s="198"/>
      <c r="TN68" s="198"/>
      <c r="TO68" s="198"/>
      <c r="TP68" s="198"/>
      <c r="TQ68" s="198"/>
      <c r="TR68" s="198"/>
      <c r="TS68" s="198"/>
      <c r="TT68" s="198"/>
      <c r="TU68" s="198"/>
      <c r="TV68" s="198"/>
      <c r="TW68" s="198"/>
      <c r="TX68" s="198"/>
      <c r="TY68" s="198"/>
      <c r="TZ68" s="198"/>
      <c r="UA68" s="198"/>
      <c r="UB68" s="198"/>
      <c r="UC68" s="198"/>
      <c r="UD68" s="198"/>
      <c r="UE68" s="198"/>
      <c r="UF68" s="198"/>
      <c r="UG68" s="198"/>
      <c r="UH68" s="198"/>
      <c r="UI68" s="198"/>
      <c r="UJ68" s="198"/>
      <c r="UK68" s="198"/>
      <c r="UL68" s="198"/>
      <c r="UM68" s="198"/>
      <c r="UN68" s="198"/>
      <c r="UO68" s="198"/>
      <c r="UP68" s="198"/>
      <c r="UQ68" s="198"/>
      <c r="UR68" s="198"/>
      <c r="US68" s="198"/>
      <c r="UT68" s="198"/>
      <c r="UU68" s="198"/>
      <c r="UV68" s="198"/>
      <c r="UW68" s="198"/>
      <c r="UX68" s="198"/>
      <c r="UY68" s="198"/>
      <c r="UZ68" s="198"/>
      <c r="VA68" s="198"/>
      <c r="VB68" s="198"/>
      <c r="VC68" s="198"/>
      <c r="VD68" s="198"/>
      <c r="VE68" s="198"/>
      <c r="VF68" s="198"/>
      <c r="VG68" s="198"/>
      <c r="VH68" s="198"/>
      <c r="VI68" s="198"/>
      <c r="VJ68" s="198"/>
      <c r="VK68" s="198"/>
      <c r="VL68" s="198"/>
      <c r="VM68" s="198"/>
      <c r="VN68" s="198"/>
      <c r="VO68" s="198"/>
      <c r="VP68" s="198"/>
      <c r="VQ68" s="198"/>
      <c r="VR68" s="198"/>
      <c r="VS68" s="198"/>
      <c r="VT68" s="198"/>
      <c r="VU68" s="198"/>
      <c r="VV68" s="198"/>
      <c r="VW68" s="198"/>
      <c r="VX68" s="198"/>
      <c r="VY68" s="198"/>
      <c r="VZ68" s="198"/>
      <c r="WA68" s="198"/>
      <c r="WB68" s="198"/>
      <c r="WC68" s="198"/>
      <c r="WD68" s="198"/>
      <c r="WE68" s="198"/>
      <c r="WF68" s="198"/>
      <c r="WG68" s="198"/>
      <c r="WH68" s="198"/>
      <c r="WI68" s="198"/>
      <c r="WJ68" s="198"/>
      <c r="WK68" s="198"/>
      <c r="WL68" s="198"/>
      <c r="WM68" s="198"/>
      <c r="WN68" s="198"/>
      <c r="WO68" s="198"/>
      <c r="WP68" s="198"/>
      <c r="WQ68" s="198"/>
      <c r="WR68" s="198"/>
      <c r="WS68" s="198"/>
      <c r="WT68" s="198"/>
      <c r="WU68" s="198"/>
      <c r="WV68" s="198"/>
      <c r="WW68" s="198"/>
      <c r="WX68" s="198"/>
      <c r="WY68" s="198"/>
      <c r="WZ68" s="198"/>
      <c r="XA68" s="198"/>
      <c r="XB68" s="198"/>
      <c r="XC68" s="198"/>
      <c r="XD68" s="198"/>
      <c r="XE68" s="198"/>
      <c r="XF68" s="198"/>
      <c r="XG68" s="198"/>
      <c r="XH68" s="198"/>
      <c r="XI68" s="198"/>
      <c r="XJ68" s="198"/>
      <c r="XK68" s="198"/>
      <c r="XL68" s="198"/>
      <c r="XM68" s="198"/>
      <c r="XN68" s="198"/>
      <c r="XO68" s="198"/>
      <c r="XP68" s="198"/>
      <c r="XQ68" s="198"/>
      <c r="XR68" s="198"/>
      <c r="XS68" s="198"/>
      <c r="XT68" s="198"/>
      <c r="XU68" s="198"/>
      <c r="XV68" s="198"/>
      <c r="XW68" s="198"/>
      <c r="XX68" s="198"/>
      <c r="XY68" s="198"/>
      <c r="XZ68" s="198"/>
      <c r="YA68" s="198"/>
      <c r="YB68" s="198"/>
      <c r="YC68" s="198"/>
      <c r="YD68" s="198"/>
      <c r="YE68" s="198"/>
      <c r="YF68" s="198"/>
      <c r="YG68" s="198"/>
      <c r="YH68" s="198"/>
      <c r="YI68" s="198"/>
      <c r="YJ68" s="198"/>
      <c r="YK68" s="198"/>
      <c r="YL68" s="198"/>
      <c r="YM68" s="198"/>
      <c r="YN68" s="198"/>
      <c r="YO68" s="198"/>
      <c r="YP68" s="198"/>
      <c r="YQ68" s="198"/>
      <c r="YR68" s="198"/>
      <c r="YS68" s="198"/>
      <c r="YT68" s="198"/>
      <c r="YU68" s="198"/>
      <c r="YV68" s="198"/>
      <c r="YW68" s="198"/>
      <c r="YX68" s="198"/>
      <c r="YY68" s="198"/>
      <c r="YZ68" s="198"/>
      <c r="ZA68" s="198"/>
      <c r="ZB68" s="198"/>
      <c r="ZC68" s="198"/>
      <c r="ZD68" s="198"/>
      <c r="ZE68" s="198"/>
      <c r="ZF68" s="198"/>
      <c r="ZG68" s="198"/>
      <c r="ZH68" s="198"/>
      <c r="ZI68" s="198"/>
      <c r="ZJ68" s="198"/>
      <c r="ZK68" s="198"/>
      <c r="ZL68" s="198"/>
      <c r="ZM68" s="198"/>
      <c r="ZN68" s="198"/>
      <c r="ZO68" s="198"/>
      <c r="ZP68" s="198"/>
      <c r="ZQ68" s="198"/>
      <c r="ZR68" s="198"/>
      <c r="ZS68" s="198"/>
      <c r="ZT68" s="198"/>
      <c r="ZU68" s="198"/>
      <c r="ZV68" s="198"/>
      <c r="ZW68" s="198"/>
      <c r="ZX68" s="198"/>
      <c r="ZY68" s="198"/>
      <c r="ZZ68" s="198"/>
      <c r="AAA68" s="198"/>
      <c r="AAB68" s="198"/>
      <c r="AAC68" s="198"/>
      <c r="AAD68" s="198"/>
      <c r="AAE68" s="198"/>
      <c r="AAF68" s="198"/>
      <c r="AAG68" s="198"/>
      <c r="AAH68" s="198"/>
      <c r="AAI68" s="198"/>
      <c r="AAJ68" s="198"/>
      <c r="AAK68" s="198"/>
      <c r="AAL68" s="198"/>
      <c r="AAM68" s="198"/>
      <c r="AAN68" s="198"/>
      <c r="AAO68" s="198"/>
      <c r="AAP68" s="198"/>
      <c r="AAQ68" s="198"/>
      <c r="AAR68" s="198"/>
      <c r="AAS68" s="198"/>
      <c r="AAT68" s="198"/>
      <c r="AAU68" s="198"/>
      <c r="AAV68" s="198"/>
      <c r="AAW68" s="198"/>
      <c r="AAX68" s="198"/>
      <c r="AAY68" s="198"/>
      <c r="AAZ68" s="198"/>
      <c r="ABA68" s="198"/>
      <c r="ABB68" s="198"/>
      <c r="ABC68" s="198"/>
      <c r="ABD68" s="198"/>
      <c r="ABE68" s="198"/>
      <c r="ABF68" s="198"/>
      <c r="ABG68" s="198"/>
      <c r="ABH68" s="198"/>
      <c r="ABI68" s="198"/>
      <c r="ABJ68" s="198"/>
      <c r="ABK68" s="198"/>
      <c r="ABL68" s="198"/>
      <c r="ABM68" s="198"/>
      <c r="ABN68" s="198"/>
      <c r="ABO68" s="198"/>
      <c r="ABP68" s="198"/>
      <c r="ABQ68" s="198"/>
      <c r="ABR68" s="198"/>
      <c r="ABS68" s="198"/>
      <c r="ABT68" s="198"/>
      <c r="ABU68" s="198"/>
      <c r="ABV68" s="198"/>
      <c r="ABW68" s="198"/>
      <c r="ABX68" s="198"/>
      <c r="ABY68" s="198"/>
      <c r="ABZ68" s="198"/>
      <c r="ACA68" s="198"/>
      <c r="ACB68" s="198"/>
      <c r="ACC68" s="198"/>
      <c r="ACD68" s="198"/>
      <c r="ACE68" s="198"/>
      <c r="ACF68" s="198"/>
      <c r="ACG68" s="198"/>
      <c r="ACH68" s="198"/>
      <c r="ACI68" s="198"/>
      <c r="ACJ68" s="198"/>
      <c r="ACK68" s="198"/>
      <c r="ACL68" s="198"/>
      <c r="ACM68" s="198"/>
      <c r="ACN68" s="198"/>
      <c r="ACO68" s="198"/>
      <c r="ACP68" s="198"/>
      <c r="ACQ68" s="198"/>
      <c r="ACR68" s="198"/>
      <c r="ACS68" s="198"/>
      <c r="ACT68" s="198"/>
      <c r="ACU68" s="198"/>
      <c r="ACV68" s="198"/>
      <c r="ACW68" s="198"/>
      <c r="ACX68" s="198"/>
      <c r="ACY68" s="198"/>
      <c r="ACZ68" s="198"/>
      <c r="ADA68" s="198"/>
      <c r="ADB68" s="198"/>
      <c r="ADC68" s="198"/>
      <c r="ADD68" s="198"/>
      <c r="ADE68" s="198"/>
      <c r="ADF68" s="198"/>
      <c r="ADG68" s="198"/>
      <c r="ADH68" s="198"/>
      <c r="ADI68" s="198"/>
      <c r="ADJ68" s="198"/>
      <c r="ADK68" s="198"/>
      <c r="ADL68" s="198"/>
      <c r="ADM68" s="198"/>
      <c r="ADN68" s="198"/>
      <c r="ADO68" s="198"/>
      <c r="ADP68" s="198"/>
      <c r="ADQ68" s="198"/>
      <c r="ADR68" s="198"/>
      <c r="ADS68" s="198"/>
      <c r="ADT68" s="198"/>
      <c r="ADU68" s="198"/>
      <c r="ADV68" s="198"/>
      <c r="ADW68" s="198"/>
      <c r="ADX68" s="198"/>
      <c r="ADY68" s="198"/>
      <c r="ADZ68" s="198"/>
      <c r="AEA68" s="198"/>
      <c r="AEB68" s="198"/>
      <c r="AEC68" s="198"/>
      <c r="AED68" s="198"/>
      <c r="AEE68" s="198"/>
      <c r="AEF68" s="198"/>
      <c r="AEG68" s="198"/>
      <c r="AEH68" s="198"/>
      <c r="AEI68" s="198"/>
      <c r="AEJ68" s="198"/>
      <c r="AEK68" s="198"/>
      <c r="AEL68" s="198"/>
      <c r="AEM68" s="198"/>
      <c r="AEN68" s="198"/>
      <c r="AEO68" s="198"/>
      <c r="AEP68" s="198"/>
      <c r="AEQ68" s="198"/>
      <c r="AER68" s="198"/>
      <c r="AES68" s="198"/>
      <c r="AET68" s="198"/>
      <c r="AEU68" s="198"/>
      <c r="AEV68" s="198"/>
      <c r="AEW68" s="198"/>
      <c r="AEX68" s="198"/>
      <c r="AEY68" s="198"/>
      <c r="AEZ68" s="198"/>
      <c r="AFA68" s="198"/>
      <c r="AFB68" s="198"/>
      <c r="AFC68" s="198"/>
      <c r="AFD68" s="198"/>
      <c r="AFE68" s="198"/>
      <c r="AFF68" s="198"/>
      <c r="AFG68" s="198"/>
      <c r="AFH68" s="198"/>
      <c r="AFI68" s="198"/>
      <c r="AFJ68" s="198"/>
      <c r="AFK68" s="198"/>
      <c r="AFL68" s="198"/>
      <c r="AFM68" s="198"/>
      <c r="AFN68" s="198"/>
      <c r="AFO68" s="198"/>
      <c r="AFP68" s="198"/>
      <c r="AFQ68" s="198"/>
      <c r="AFR68" s="198"/>
      <c r="AFS68" s="198"/>
      <c r="AFT68" s="198"/>
      <c r="AFU68" s="198"/>
      <c r="AFV68" s="198"/>
      <c r="AFW68" s="198"/>
      <c r="AFX68" s="198"/>
      <c r="AFY68" s="198"/>
      <c r="AFZ68" s="198"/>
      <c r="AGA68" s="198"/>
      <c r="AGB68" s="198"/>
      <c r="AGC68" s="198"/>
      <c r="AGD68" s="198"/>
      <c r="AGE68" s="198"/>
      <c r="AGF68" s="198"/>
      <c r="AGG68" s="198"/>
      <c r="AGH68" s="198"/>
      <c r="AGI68" s="198"/>
      <c r="AGJ68" s="198"/>
      <c r="AGK68" s="198"/>
      <c r="AGL68" s="198"/>
      <c r="AGM68" s="198"/>
      <c r="AGN68" s="198"/>
      <c r="AGO68" s="198"/>
      <c r="AGP68" s="198"/>
      <c r="AGQ68" s="198"/>
      <c r="AGR68" s="198"/>
      <c r="AGS68" s="198"/>
      <c r="AGT68" s="198"/>
      <c r="AGU68" s="198"/>
      <c r="AGV68" s="198"/>
      <c r="AGW68" s="198"/>
      <c r="AGX68" s="198"/>
      <c r="AGY68" s="198"/>
      <c r="AGZ68" s="198"/>
      <c r="AHA68" s="198"/>
      <c r="AHB68" s="198"/>
      <c r="AHC68" s="198"/>
      <c r="AHD68" s="198"/>
      <c r="AHE68" s="198"/>
      <c r="AHF68" s="198"/>
      <c r="AHG68" s="198"/>
      <c r="AHH68" s="198"/>
      <c r="AHI68" s="198"/>
      <c r="AHJ68" s="198"/>
      <c r="AHK68" s="198"/>
      <c r="AHL68" s="198"/>
      <c r="AHM68" s="198"/>
      <c r="AHN68" s="198"/>
      <c r="AHO68" s="198"/>
      <c r="AHP68" s="198"/>
      <c r="AHQ68" s="198"/>
      <c r="AHR68" s="198"/>
      <c r="AHS68" s="198"/>
      <c r="AHT68" s="198"/>
      <c r="AHU68" s="198"/>
      <c r="AHV68" s="198"/>
      <c r="AHW68" s="198"/>
      <c r="AHX68" s="198"/>
      <c r="AHY68" s="198"/>
      <c r="AHZ68" s="198"/>
      <c r="AIA68" s="198"/>
      <c r="AIB68" s="198"/>
      <c r="AIC68" s="198"/>
      <c r="AID68" s="198"/>
      <c r="AIE68" s="198"/>
      <c r="AIF68" s="198"/>
      <c r="AIG68" s="198"/>
      <c r="AIH68" s="198"/>
      <c r="AII68" s="198"/>
      <c r="AIJ68" s="198"/>
      <c r="AIK68" s="198"/>
      <c r="AIL68" s="198"/>
      <c r="AIM68" s="198"/>
      <c r="AIN68" s="198"/>
      <c r="AIO68" s="198"/>
      <c r="AIP68" s="198"/>
      <c r="AIQ68" s="198"/>
      <c r="AIR68" s="198"/>
      <c r="AIS68" s="198"/>
      <c r="AIT68" s="198"/>
      <c r="AIU68" s="198"/>
      <c r="AIV68" s="198"/>
      <c r="AIW68" s="198"/>
      <c r="AIX68" s="198"/>
      <c r="AIY68" s="198"/>
      <c r="AIZ68" s="198"/>
      <c r="AJA68" s="198"/>
      <c r="AJB68" s="198"/>
      <c r="AJC68" s="198"/>
      <c r="AJD68" s="198"/>
      <c r="AJE68" s="198"/>
      <c r="AJF68" s="198"/>
      <c r="AJG68" s="198"/>
      <c r="AJH68" s="198"/>
      <c r="AJI68" s="198"/>
      <c r="AJJ68" s="198"/>
      <c r="AJK68" s="198"/>
      <c r="AJL68" s="198"/>
      <c r="AJM68" s="198"/>
      <c r="AJN68" s="198"/>
      <c r="AJO68" s="198"/>
      <c r="AJP68" s="198"/>
      <c r="AJQ68" s="198"/>
      <c r="AJR68" s="198"/>
      <c r="AJS68" s="198"/>
      <c r="AJT68" s="198"/>
      <c r="AJU68" s="198"/>
      <c r="AJV68" s="198"/>
      <c r="AJW68" s="198"/>
      <c r="AJX68" s="198"/>
      <c r="AJY68" s="198"/>
      <c r="AJZ68" s="198"/>
      <c r="AKA68" s="198"/>
      <c r="AKB68" s="198"/>
      <c r="AKC68" s="198"/>
      <c r="AKD68" s="198"/>
      <c r="AKE68" s="198"/>
      <c r="AKF68" s="198"/>
      <c r="AKG68" s="198"/>
      <c r="AKH68" s="198"/>
      <c r="AKI68" s="198"/>
      <c r="AKJ68" s="198"/>
      <c r="AKK68" s="198"/>
      <c r="AKL68" s="198"/>
      <c r="AKM68" s="198"/>
      <c r="AKN68" s="198"/>
      <c r="AKO68" s="198"/>
      <c r="AKP68" s="198"/>
      <c r="AKQ68" s="198"/>
      <c r="AKR68" s="198"/>
      <c r="AKS68" s="198"/>
      <c r="AKT68" s="198"/>
      <c r="AKU68" s="198"/>
      <c r="AKV68" s="198"/>
      <c r="AKW68" s="198"/>
      <c r="AKX68" s="198"/>
      <c r="AKY68" s="198"/>
      <c r="AKZ68" s="198"/>
      <c r="ALA68" s="198"/>
      <c r="ALB68" s="198"/>
      <c r="ALC68" s="198"/>
      <c r="ALD68" s="198"/>
      <c r="ALE68" s="198"/>
      <c r="ALF68" s="198"/>
      <c r="ALG68" s="198"/>
      <c r="ALH68" s="198"/>
      <c r="ALI68" s="198"/>
      <c r="ALJ68" s="198"/>
      <c r="ALK68" s="198"/>
      <c r="ALL68" s="198"/>
      <c r="ALM68" s="198"/>
      <c r="ALN68" s="198"/>
      <c r="ALO68" s="198"/>
      <c r="ALP68" s="198"/>
      <c r="ALQ68" s="198"/>
      <c r="ALR68" s="198"/>
      <c r="ALS68" s="198"/>
      <c r="ALT68" s="198"/>
      <c r="ALU68" s="198"/>
      <c r="ALV68" s="198"/>
      <c r="ALW68" s="198"/>
      <c r="ALX68" s="198"/>
      <c r="ALY68" s="198"/>
      <c r="ALZ68" s="198"/>
      <c r="AMA68" s="198"/>
      <c r="AMB68" s="198"/>
      <c r="AMC68" s="198"/>
      <c r="AMD68" s="198"/>
      <c r="AME68" s="198"/>
      <c r="AMF68" s="198"/>
      <c r="AMG68" s="198"/>
      <c r="AMH68" s="198"/>
      <c r="AMI68" s="198"/>
      <c r="AMJ68" s="198"/>
      <c r="AMK68" s="198"/>
      <c r="AML68" s="198"/>
      <c r="AMM68" s="198"/>
      <c r="AMN68" s="198"/>
      <c r="AMO68" s="198"/>
      <c r="AMP68" s="198"/>
      <c r="AMQ68" s="198"/>
      <c r="AMR68" s="198"/>
      <c r="AMS68" s="198"/>
      <c r="AMT68" s="198"/>
      <c r="AMU68" s="198"/>
      <c r="AMV68" s="198"/>
      <c r="AMW68" s="198"/>
      <c r="AMX68" s="198"/>
      <c r="AMY68" s="198"/>
      <c r="AMZ68" s="198"/>
      <c r="ANA68" s="198"/>
      <c r="ANB68" s="198"/>
      <c r="ANC68" s="198"/>
      <c r="AND68" s="198"/>
      <c r="ANE68" s="198"/>
      <c r="ANF68" s="198"/>
      <c r="ANG68" s="198"/>
      <c r="ANH68" s="198"/>
      <c r="ANI68" s="198"/>
      <c r="ANJ68" s="198"/>
      <c r="ANK68" s="198"/>
      <c r="ANL68" s="198"/>
      <c r="ANM68" s="198"/>
      <c r="ANN68" s="198"/>
      <c r="ANO68" s="198"/>
      <c r="ANP68" s="198"/>
      <c r="ANQ68" s="198"/>
      <c r="ANR68" s="198"/>
      <c r="ANS68" s="198"/>
      <c r="ANT68" s="198"/>
      <c r="ANU68" s="198"/>
      <c r="ANV68" s="198"/>
      <c r="ANW68" s="198"/>
      <c r="ANX68" s="198"/>
      <c r="ANY68" s="198"/>
      <c r="ANZ68" s="198"/>
      <c r="AOA68" s="198"/>
      <c r="AOB68" s="198"/>
      <c r="AOC68" s="198"/>
      <c r="AOD68" s="198"/>
      <c r="AOE68" s="198"/>
      <c r="AOF68" s="198"/>
      <c r="AOG68" s="198"/>
      <c r="AOH68" s="198"/>
      <c r="AOI68" s="198"/>
      <c r="AOJ68" s="198"/>
      <c r="AOK68" s="198"/>
      <c r="AOL68" s="198"/>
      <c r="AOM68" s="198"/>
      <c r="AON68" s="198"/>
      <c r="AOO68" s="198"/>
      <c r="AOP68" s="198"/>
      <c r="AOQ68" s="198"/>
      <c r="AOR68" s="198"/>
      <c r="AOS68" s="198"/>
      <c r="AOT68" s="198"/>
      <c r="AOU68" s="198"/>
      <c r="AOV68" s="198"/>
      <c r="AOW68" s="198"/>
      <c r="AOX68" s="198"/>
      <c r="AOY68" s="198"/>
      <c r="AOZ68" s="198"/>
      <c r="APA68" s="198"/>
      <c r="APB68" s="198"/>
      <c r="APC68" s="198"/>
      <c r="APD68" s="198"/>
      <c r="APE68" s="198"/>
      <c r="APF68" s="198"/>
      <c r="APG68" s="198"/>
      <c r="APH68" s="198"/>
      <c r="API68" s="198"/>
      <c r="APJ68" s="198"/>
      <c r="APK68" s="198"/>
      <c r="APL68" s="198"/>
      <c r="APM68" s="198"/>
      <c r="APN68" s="198"/>
      <c r="APO68" s="198"/>
      <c r="APP68" s="198"/>
      <c r="APQ68" s="198"/>
      <c r="APR68" s="198"/>
      <c r="APS68" s="198"/>
      <c r="APT68" s="198"/>
      <c r="APU68" s="198"/>
      <c r="APV68" s="198"/>
      <c r="APW68" s="198"/>
      <c r="APX68" s="198"/>
      <c r="APY68" s="198"/>
      <c r="APZ68" s="198"/>
      <c r="AQA68" s="198"/>
      <c r="AQB68" s="198"/>
      <c r="AQC68" s="198"/>
      <c r="AQD68" s="198"/>
      <c r="AQE68" s="198"/>
      <c r="AQF68" s="198"/>
      <c r="AQG68" s="198"/>
      <c r="AQH68" s="198"/>
      <c r="AQI68" s="198"/>
      <c r="AQJ68" s="198"/>
      <c r="AQK68" s="198"/>
      <c r="AQL68" s="198"/>
      <c r="AQM68" s="198"/>
      <c r="AQN68" s="198"/>
      <c r="AQO68" s="198"/>
      <c r="AQP68" s="198"/>
      <c r="AQQ68" s="198"/>
      <c r="AQR68" s="198"/>
      <c r="AQS68" s="198"/>
      <c r="AQT68" s="198"/>
      <c r="AQU68" s="198"/>
      <c r="AQV68" s="198"/>
      <c r="AQW68" s="198"/>
      <c r="AQX68" s="198"/>
      <c r="AQY68" s="198"/>
      <c r="AQZ68" s="198"/>
      <c r="ARA68" s="198"/>
      <c r="ARB68" s="198"/>
      <c r="ARC68" s="198"/>
      <c r="ARD68" s="198"/>
      <c r="ARE68" s="198"/>
      <c r="ARF68" s="198"/>
      <c r="ARG68" s="198"/>
      <c r="ARH68" s="198"/>
      <c r="ARI68" s="198"/>
      <c r="ARJ68" s="198"/>
      <c r="ARK68" s="198"/>
      <c r="ARL68" s="198"/>
      <c r="ARM68" s="198"/>
      <c r="ARN68" s="198"/>
      <c r="ARO68" s="198"/>
      <c r="ARP68" s="198"/>
      <c r="ARQ68" s="198"/>
      <c r="ARR68" s="198"/>
      <c r="ARS68" s="198"/>
      <c r="ART68" s="198"/>
      <c r="ARU68" s="198"/>
      <c r="ARV68" s="198"/>
      <c r="ARW68" s="198"/>
      <c r="ARX68" s="198"/>
      <c r="ARY68" s="198"/>
      <c r="ARZ68" s="198"/>
      <c r="ASA68" s="198"/>
      <c r="ASB68" s="198"/>
      <c r="ASC68" s="198"/>
      <c r="ASD68" s="198"/>
      <c r="ASE68" s="198"/>
      <c r="ASF68" s="198"/>
      <c r="ASG68" s="198"/>
      <c r="ASH68" s="198"/>
      <c r="ASI68" s="198"/>
      <c r="ASJ68" s="198"/>
      <c r="ASK68" s="198"/>
      <c r="ASL68" s="198"/>
      <c r="ASM68" s="198"/>
      <c r="ASN68" s="198"/>
      <c r="ASO68" s="198"/>
      <c r="ASP68" s="198"/>
      <c r="ASQ68" s="198"/>
      <c r="ASR68" s="198"/>
      <c r="ASS68" s="198"/>
      <c r="AST68" s="198"/>
      <c r="ASU68" s="198"/>
      <c r="ASV68" s="198"/>
      <c r="ASW68" s="198"/>
      <c r="ASX68" s="198"/>
      <c r="ASY68" s="198"/>
      <c r="ASZ68" s="198"/>
      <c r="ATA68" s="198"/>
      <c r="ATB68" s="198"/>
      <c r="ATC68" s="198"/>
      <c r="ATD68" s="198"/>
      <c r="ATE68" s="198"/>
      <c r="ATF68" s="198"/>
      <c r="ATG68" s="198"/>
      <c r="ATH68" s="198"/>
      <c r="ATI68" s="198"/>
      <c r="ATJ68" s="198"/>
      <c r="ATK68" s="198"/>
      <c r="ATL68" s="198"/>
      <c r="ATM68" s="198"/>
      <c r="ATN68" s="198"/>
      <c r="ATO68" s="198"/>
      <c r="ATP68" s="198"/>
      <c r="ATQ68" s="198"/>
      <c r="ATR68" s="198"/>
      <c r="ATS68" s="198"/>
      <c r="ATT68" s="198"/>
      <c r="ATU68" s="198"/>
      <c r="ATV68" s="198"/>
      <c r="ATW68" s="198"/>
      <c r="ATX68" s="198"/>
      <c r="ATY68" s="198"/>
      <c r="ATZ68" s="198"/>
      <c r="AUA68" s="198"/>
      <c r="AUB68" s="198"/>
      <c r="AUC68" s="198"/>
      <c r="AUD68" s="198"/>
      <c r="AUE68" s="198"/>
      <c r="AUF68" s="198"/>
      <c r="AUG68" s="198"/>
      <c r="AUH68" s="198"/>
      <c r="AUI68" s="198"/>
      <c r="AUJ68" s="198"/>
      <c r="AUK68" s="198"/>
      <c r="AUL68" s="198"/>
      <c r="AUM68" s="198"/>
      <c r="AUN68" s="198"/>
      <c r="AUO68" s="198"/>
      <c r="AUP68" s="198"/>
      <c r="AUQ68" s="198"/>
      <c r="AUR68" s="198"/>
      <c r="AUS68" s="198"/>
      <c r="AUT68" s="198"/>
      <c r="AUU68" s="198"/>
      <c r="AUV68" s="198"/>
      <c r="AUW68" s="198"/>
      <c r="AUX68" s="198"/>
      <c r="AUY68" s="198"/>
      <c r="AUZ68" s="198"/>
      <c r="AVA68" s="198"/>
      <c r="AVB68" s="198"/>
      <c r="AVC68" s="198"/>
      <c r="AVD68" s="198"/>
      <c r="AVE68" s="198"/>
      <c r="AVF68" s="198"/>
      <c r="AVG68" s="198"/>
      <c r="AVH68" s="198"/>
      <c r="AVI68" s="198"/>
      <c r="AVJ68" s="198"/>
      <c r="AVK68" s="198"/>
      <c r="AVL68" s="198"/>
      <c r="AVM68" s="198"/>
      <c r="AVN68" s="198"/>
      <c r="AVO68" s="198"/>
      <c r="AVP68" s="198"/>
      <c r="AVQ68" s="198"/>
      <c r="AVR68" s="198"/>
      <c r="AVS68" s="198"/>
      <c r="AVT68" s="198"/>
      <c r="AVU68" s="198"/>
      <c r="AVV68" s="198"/>
      <c r="AVW68" s="198"/>
      <c r="AVX68" s="198"/>
      <c r="AVY68" s="198"/>
      <c r="AVZ68" s="198"/>
      <c r="AWA68" s="198"/>
      <c r="AWB68" s="198"/>
      <c r="AWC68" s="198"/>
      <c r="AWD68" s="198"/>
      <c r="AWE68" s="198"/>
      <c r="AWF68" s="198"/>
      <c r="AWG68" s="198"/>
      <c r="AWH68" s="198"/>
      <c r="AWI68" s="198"/>
      <c r="AWJ68" s="198"/>
      <c r="AWK68" s="198"/>
      <c r="AWL68" s="198"/>
      <c r="AWM68" s="198"/>
      <c r="AWN68" s="198"/>
      <c r="AWO68" s="198"/>
      <c r="AWP68" s="198"/>
      <c r="AWQ68" s="198"/>
      <c r="AWR68" s="198"/>
      <c r="AWS68" s="198"/>
      <c r="AWT68" s="198"/>
      <c r="AWU68" s="198"/>
      <c r="AWV68" s="198"/>
      <c r="AWW68" s="198"/>
      <c r="AWX68" s="198"/>
      <c r="AWY68" s="198"/>
      <c r="AWZ68" s="198"/>
      <c r="AXA68" s="198"/>
      <c r="AXB68" s="198"/>
      <c r="AXC68" s="198"/>
      <c r="AXD68" s="198"/>
      <c r="AXE68" s="198"/>
      <c r="AXF68" s="198"/>
      <c r="AXG68" s="198"/>
      <c r="AXH68" s="198"/>
      <c r="AXI68" s="198"/>
      <c r="AXJ68" s="198"/>
      <c r="AXK68" s="198"/>
      <c r="AXL68" s="198"/>
      <c r="AXM68" s="198"/>
      <c r="AXN68" s="198"/>
      <c r="AXO68" s="198"/>
      <c r="AXP68" s="198"/>
      <c r="AXQ68" s="198"/>
      <c r="AXR68" s="198"/>
      <c r="AXS68" s="198"/>
      <c r="AXT68" s="198"/>
      <c r="AXU68" s="198"/>
      <c r="AXV68" s="198"/>
      <c r="AXW68" s="198"/>
      <c r="AXX68" s="198"/>
      <c r="AXY68" s="198"/>
      <c r="AXZ68" s="198"/>
      <c r="AYA68" s="198"/>
      <c r="AYB68" s="198"/>
      <c r="AYC68" s="198"/>
      <c r="AYD68" s="198"/>
      <c r="AYE68" s="198"/>
      <c r="AYF68" s="198"/>
      <c r="AYG68" s="198"/>
      <c r="AYH68" s="198"/>
      <c r="AYI68" s="198"/>
      <c r="AYJ68" s="198"/>
      <c r="AYK68" s="198"/>
      <c r="AYL68" s="198"/>
      <c r="AYM68" s="198"/>
      <c r="AYN68" s="198"/>
      <c r="AYO68" s="198"/>
      <c r="AYP68" s="198"/>
      <c r="AYQ68" s="198"/>
      <c r="AYR68" s="198"/>
      <c r="AYS68" s="198"/>
      <c r="AYT68" s="198"/>
      <c r="AYU68" s="198"/>
      <c r="AYV68" s="198"/>
      <c r="AYW68" s="198"/>
      <c r="AYX68" s="198"/>
      <c r="AYY68" s="198"/>
      <c r="AYZ68" s="198"/>
      <c r="AZA68" s="198"/>
      <c r="AZB68" s="198"/>
      <c r="AZC68" s="198"/>
      <c r="AZD68" s="198"/>
      <c r="AZE68" s="198"/>
      <c r="AZF68" s="198"/>
      <c r="AZG68" s="198"/>
      <c r="AZH68" s="198"/>
      <c r="AZI68" s="198"/>
      <c r="AZJ68" s="198"/>
      <c r="AZK68" s="198"/>
      <c r="AZL68" s="198"/>
      <c r="AZM68" s="198"/>
      <c r="AZN68" s="198"/>
      <c r="AZO68" s="198"/>
      <c r="AZP68" s="198"/>
      <c r="AZQ68" s="198"/>
      <c r="AZR68" s="198"/>
      <c r="AZS68" s="198"/>
      <c r="AZT68" s="198"/>
      <c r="AZU68" s="198"/>
      <c r="AZV68" s="198"/>
      <c r="AZW68" s="198"/>
      <c r="AZX68" s="198"/>
      <c r="AZY68" s="198"/>
      <c r="AZZ68" s="198"/>
      <c r="BAA68" s="198"/>
      <c r="BAB68" s="198"/>
      <c r="BAC68" s="198"/>
      <c r="BAD68" s="198"/>
      <c r="BAE68" s="198"/>
      <c r="BAF68" s="198"/>
      <c r="BAG68" s="198"/>
      <c r="BAH68" s="198"/>
      <c r="BAI68" s="198"/>
      <c r="BAJ68" s="198"/>
      <c r="BAK68" s="198"/>
      <c r="BAL68" s="198"/>
      <c r="BAM68" s="198"/>
      <c r="BAN68" s="198"/>
      <c r="BAO68" s="198"/>
      <c r="BAP68" s="198"/>
      <c r="BAQ68" s="198"/>
      <c r="BAR68" s="198"/>
      <c r="BAS68" s="198"/>
      <c r="BAT68" s="198"/>
      <c r="BAU68" s="198"/>
      <c r="BAV68" s="198"/>
      <c r="BAW68" s="198"/>
      <c r="BAX68" s="198"/>
      <c r="BAY68" s="198"/>
      <c r="BAZ68" s="198"/>
      <c r="BBA68" s="198"/>
      <c r="BBB68" s="198"/>
      <c r="BBC68" s="198"/>
      <c r="BBD68" s="198"/>
      <c r="BBE68" s="198"/>
      <c r="BBF68" s="198"/>
      <c r="BBG68" s="198"/>
      <c r="BBH68" s="198"/>
      <c r="BBI68" s="198"/>
      <c r="BBJ68" s="198"/>
      <c r="BBK68" s="198"/>
      <c r="BBL68" s="198"/>
      <c r="BBM68" s="198"/>
      <c r="BBN68" s="198"/>
      <c r="BBO68" s="198"/>
      <c r="BBP68" s="198"/>
      <c r="BBQ68" s="198"/>
      <c r="BBR68" s="198"/>
      <c r="BBS68" s="198"/>
      <c r="BBT68" s="198"/>
      <c r="BBU68" s="198"/>
      <c r="BBV68" s="198"/>
      <c r="BBW68" s="198"/>
      <c r="BBX68" s="198"/>
      <c r="BBY68" s="198"/>
      <c r="BBZ68" s="198"/>
      <c r="BCA68" s="198"/>
      <c r="BCB68" s="198"/>
      <c r="BCC68" s="198"/>
      <c r="BCD68" s="198"/>
      <c r="BCE68" s="198"/>
      <c r="BCF68" s="198"/>
      <c r="BCG68" s="198"/>
      <c r="BCH68" s="198"/>
      <c r="BCI68" s="198"/>
      <c r="BCJ68" s="198"/>
      <c r="BCK68" s="198"/>
      <c r="BCL68" s="198"/>
      <c r="BCM68" s="198"/>
      <c r="BCN68" s="198"/>
      <c r="BCO68" s="198"/>
      <c r="BCP68" s="198"/>
      <c r="BCQ68" s="198"/>
      <c r="BCR68" s="198"/>
      <c r="BCS68" s="198"/>
      <c r="BCT68" s="198"/>
      <c r="BCU68" s="198"/>
      <c r="BCV68" s="198"/>
      <c r="BCW68" s="198"/>
      <c r="BCX68" s="198"/>
      <c r="BCY68" s="198"/>
      <c r="BCZ68" s="198"/>
      <c r="BDA68" s="198"/>
      <c r="BDB68" s="198"/>
      <c r="BDC68" s="198"/>
      <c r="BDD68" s="198"/>
      <c r="BDE68" s="198"/>
      <c r="BDF68" s="198"/>
      <c r="BDG68" s="198"/>
      <c r="BDH68" s="198"/>
      <c r="BDI68" s="198"/>
      <c r="BDJ68" s="198"/>
      <c r="BDK68" s="198"/>
      <c r="BDL68" s="198"/>
      <c r="BDM68" s="198"/>
      <c r="BDN68" s="198"/>
      <c r="BDO68" s="198"/>
      <c r="BDP68" s="198"/>
      <c r="BDQ68" s="198"/>
      <c r="BDR68" s="198"/>
      <c r="BDS68" s="198"/>
      <c r="BDT68" s="198"/>
      <c r="BDU68" s="198"/>
      <c r="BDV68" s="198"/>
      <c r="BDW68" s="198"/>
      <c r="BDX68" s="198"/>
      <c r="BDY68" s="198"/>
      <c r="BDZ68" s="198"/>
      <c r="BEA68" s="198"/>
      <c r="BEB68" s="198"/>
      <c r="BEC68" s="198"/>
      <c r="BED68" s="198"/>
      <c r="BEE68" s="198"/>
      <c r="BEF68" s="198"/>
      <c r="BEG68" s="198"/>
      <c r="BEH68" s="198"/>
      <c r="BEI68" s="198"/>
      <c r="BEJ68" s="198"/>
      <c r="BEK68" s="198"/>
      <c r="BEL68" s="198"/>
      <c r="BEM68" s="198"/>
      <c r="BEN68" s="198"/>
      <c r="BEO68" s="198"/>
      <c r="BEP68" s="198"/>
      <c r="BEQ68" s="198"/>
      <c r="BER68" s="198"/>
      <c r="BES68" s="198"/>
      <c r="BET68" s="198"/>
      <c r="BEU68" s="198"/>
      <c r="BEV68" s="198"/>
      <c r="BEW68" s="198"/>
      <c r="BEX68" s="198"/>
      <c r="BEY68" s="198"/>
      <c r="BEZ68" s="198"/>
      <c r="BFA68" s="198"/>
      <c r="BFB68" s="198"/>
      <c r="BFC68" s="198"/>
      <c r="BFD68" s="198"/>
      <c r="BFE68" s="198"/>
      <c r="BFF68" s="198"/>
      <c r="BFG68" s="198"/>
      <c r="BFH68" s="198"/>
      <c r="BFI68" s="198"/>
      <c r="BFJ68" s="198"/>
      <c r="BFK68" s="198"/>
      <c r="BFL68" s="198"/>
      <c r="BFM68" s="198"/>
      <c r="BFN68" s="198"/>
      <c r="BFO68" s="198"/>
      <c r="BFP68" s="198"/>
      <c r="BFQ68" s="198"/>
      <c r="BFR68" s="198"/>
      <c r="BFS68" s="198"/>
      <c r="BFT68" s="198"/>
      <c r="BFU68" s="198"/>
      <c r="BFV68" s="198"/>
      <c r="BFW68" s="198"/>
      <c r="BFX68" s="198"/>
      <c r="BFY68" s="198"/>
      <c r="BFZ68" s="198"/>
      <c r="BGA68" s="198"/>
      <c r="BGB68" s="198"/>
      <c r="BGC68" s="198"/>
      <c r="BGD68" s="198"/>
      <c r="BGE68" s="198"/>
      <c r="BGF68" s="198"/>
      <c r="BGG68" s="198"/>
      <c r="BGH68" s="198"/>
      <c r="BGI68" s="198"/>
      <c r="BGJ68" s="198"/>
      <c r="BGK68" s="198"/>
      <c r="BGL68" s="198"/>
      <c r="BGM68" s="198"/>
      <c r="BGN68" s="198"/>
      <c r="BGO68" s="198"/>
      <c r="BGP68" s="198"/>
      <c r="BGQ68" s="198"/>
      <c r="BGR68" s="198"/>
      <c r="BGS68" s="198"/>
      <c r="BGT68" s="198"/>
      <c r="BGU68" s="198"/>
      <c r="BGV68" s="198"/>
      <c r="BGW68" s="198"/>
      <c r="BGX68" s="198"/>
      <c r="BGY68" s="198"/>
      <c r="BGZ68" s="198"/>
      <c r="BHA68" s="198"/>
      <c r="BHB68" s="198"/>
      <c r="BHC68" s="198"/>
      <c r="BHD68" s="198"/>
      <c r="BHE68" s="198"/>
      <c r="BHF68" s="198"/>
      <c r="BHG68" s="198"/>
      <c r="BHH68" s="198"/>
      <c r="BHI68" s="198"/>
      <c r="BHJ68" s="198"/>
      <c r="BHK68" s="198"/>
      <c r="BHL68" s="198"/>
      <c r="BHM68" s="198"/>
      <c r="BHN68" s="198"/>
      <c r="BHO68" s="198"/>
      <c r="BHP68" s="198"/>
      <c r="BHQ68" s="198"/>
      <c r="BHR68" s="198"/>
      <c r="BHS68" s="198"/>
      <c r="BHT68" s="198"/>
      <c r="BHU68" s="198"/>
      <c r="BHV68" s="198"/>
      <c r="BHW68" s="198"/>
      <c r="BHX68" s="198"/>
      <c r="BHY68" s="198"/>
      <c r="BHZ68" s="198"/>
      <c r="BIA68" s="198"/>
      <c r="BIB68" s="198"/>
      <c r="BIC68" s="198"/>
      <c r="BID68" s="198"/>
      <c r="BIE68" s="198"/>
      <c r="BIF68" s="198"/>
      <c r="BIG68" s="198"/>
      <c r="BIH68" s="198"/>
      <c r="BII68" s="198"/>
      <c r="BIJ68" s="198"/>
      <c r="BIK68" s="198"/>
      <c r="BIL68" s="198"/>
      <c r="BIM68" s="198"/>
      <c r="BIN68" s="198"/>
      <c r="BIO68" s="198"/>
      <c r="BIP68" s="198"/>
      <c r="BIQ68" s="198"/>
      <c r="BIR68" s="198"/>
      <c r="BIS68" s="198"/>
      <c r="BIT68" s="198"/>
      <c r="BIU68" s="198"/>
      <c r="BIV68" s="198"/>
      <c r="BIW68" s="198"/>
      <c r="BIX68" s="198"/>
      <c r="BIY68" s="198"/>
      <c r="BIZ68" s="198"/>
      <c r="BJA68" s="198"/>
      <c r="BJB68" s="198"/>
      <c r="BJC68" s="198"/>
      <c r="BJD68" s="198"/>
      <c r="BJE68" s="198"/>
      <c r="BJF68" s="198"/>
      <c r="BJG68" s="198"/>
      <c r="BJH68" s="198"/>
      <c r="BJI68" s="198"/>
      <c r="BJJ68" s="198"/>
      <c r="BJK68" s="198"/>
      <c r="BJL68" s="198"/>
      <c r="BJM68" s="198"/>
      <c r="BJN68" s="198"/>
      <c r="BJO68" s="198"/>
      <c r="BJP68" s="198"/>
      <c r="BJQ68" s="198"/>
      <c r="BJR68" s="198"/>
      <c r="BJS68" s="198"/>
      <c r="BJT68" s="198"/>
      <c r="BJU68" s="198"/>
      <c r="BJV68" s="198"/>
      <c r="BJW68" s="198"/>
      <c r="BJX68" s="198"/>
      <c r="BJY68" s="198"/>
      <c r="BJZ68" s="198"/>
      <c r="BKA68" s="198"/>
      <c r="BKB68" s="198"/>
      <c r="BKC68" s="198"/>
      <c r="BKD68" s="198"/>
      <c r="BKE68" s="198"/>
      <c r="BKF68" s="198"/>
      <c r="BKG68" s="198"/>
      <c r="BKH68" s="198"/>
      <c r="BKI68" s="198"/>
      <c r="BKJ68" s="198"/>
      <c r="BKK68" s="198"/>
      <c r="BKL68" s="198"/>
      <c r="BKM68" s="198"/>
      <c r="BKN68" s="198"/>
      <c r="BKO68" s="198"/>
      <c r="BKP68" s="198"/>
      <c r="BKQ68" s="198"/>
      <c r="BKR68" s="198"/>
      <c r="BKS68" s="198"/>
      <c r="BKT68" s="198"/>
      <c r="BKU68" s="198"/>
      <c r="BKV68" s="198"/>
      <c r="BKW68" s="198"/>
      <c r="BKX68" s="198"/>
      <c r="BKY68" s="198"/>
      <c r="BKZ68" s="198"/>
      <c r="BLA68" s="198"/>
      <c r="BLB68" s="198"/>
      <c r="BLC68" s="198"/>
      <c r="BLD68" s="198"/>
      <c r="BLE68" s="198"/>
      <c r="BLF68" s="198"/>
      <c r="BLG68" s="198"/>
      <c r="BLH68" s="198"/>
      <c r="BLI68" s="198"/>
      <c r="BLJ68" s="198"/>
      <c r="BLK68" s="198"/>
      <c r="BLL68" s="198"/>
      <c r="BLM68" s="198"/>
      <c r="BLN68" s="198"/>
      <c r="BLO68" s="198"/>
      <c r="BLP68" s="198"/>
      <c r="BLQ68" s="198"/>
      <c r="BLR68" s="198"/>
      <c r="BLS68" s="198"/>
      <c r="BLT68" s="198"/>
      <c r="BLU68" s="198"/>
      <c r="BLV68" s="198"/>
      <c r="BLW68" s="198"/>
      <c r="BLX68" s="198"/>
      <c r="BLY68" s="198"/>
      <c r="BLZ68" s="198"/>
      <c r="BMA68" s="198"/>
      <c r="BMB68" s="198"/>
      <c r="BMC68" s="198"/>
      <c r="BMD68" s="198"/>
      <c r="BME68" s="198"/>
      <c r="BMF68" s="198"/>
      <c r="BMG68" s="198"/>
      <c r="BMH68" s="198"/>
      <c r="BMI68" s="198"/>
      <c r="BMJ68" s="198"/>
      <c r="BMK68" s="198"/>
      <c r="BML68" s="198"/>
      <c r="BMM68" s="198"/>
      <c r="BMN68" s="198"/>
      <c r="BMO68" s="198"/>
      <c r="BMP68" s="198"/>
      <c r="BMQ68" s="198"/>
      <c r="BMR68" s="198"/>
      <c r="BMS68" s="198"/>
      <c r="BMT68" s="198"/>
      <c r="BMU68" s="198"/>
      <c r="BMV68" s="198"/>
      <c r="BMW68" s="198"/>
      <c r="BMX68" s="198"/>
      <c r="BMY68" s="198"/>
      <c r="BMZ68" s="198"/>
      <c r="BNA68" s="198"/>
      <c r="BNB68" s="198"/>
      <c r="BNC68" s="198"/>
      <c r="BND68" s="198"/>
      <c r="BNE68" s="198"/>
      <c r="BNF68" s="198"/>
      <c r="BNG68" s="198"/>
      <c r="BNH68" s="198"/>
      <c r="BNI68" s="198"/>
      <c r="BNJ68" s="198"/>
      <c r="BNK68" s="198"/>
      <c r="BNL68" s="198"/>
      <c r="BNM68" s="198"/>
      <c r="BNN68" s="198"/>
      <c r="BNO68" s="198"/>
      <c r="BNP68" s="198"/>
      <c r="BNQ68" s="198"/>
      <c r="BNR68" s="198"/>
      <c r="BNS68" s="198"/>
      <c r="BNT68" s="198"/>
      <c r="BNU68" s="198"/>
      <c r="BNV68" s="198"/>
      <c r="BNW68" s="198"/>
      <c r="BNX68" s="198"/>
      <c r="BNY68" s="198"/>
      <c r="BNZ68" s="198"/>
      <c r="BOA68" s="198"/>
      <c r="BOB68" s="198"/>
      <c r="BOC68" s="198"/>
      <c r="BOD68" s="198"/>
      <c r="BOE68" s="198"/>
      <c r="BOF68" s="198"/>
      <c r="BOG68" s="198"/>
      <c r="BOH68" s="198"/>
      <c r="BOI68" s="198"/>
      <c r="BOJ68" s="198"/>
      <c r="BOK68" s="198"/>
      <c r="BOL68" s="198"/>
      <c r="BOM68" s="198"/>
      <c r="BON68" s="198"/>
      <c r="BOO68" s="198"/>
      <c r="BOP68" s="198"/>
      <c r="BOQ68" s="198"/>
      <c r="BOR68" s="198"/>
      <c r="BOS68" s="198"/>
      <c r="BOT68" s="198"/>
      <c r="BOU68" s="198"/>
      <c r="BOV68" s="198"/>
      <c r="BOW68" s="198"/>
      <c r="BOX68" s="198"/>
      <c r="BOY68" s="198"/>
      <c r="BOZ68" s="198"/>
      <c r="BPA68" s="198"/>
      <c r="BPB68" s="198"/>
      <c r="BPC68" s="198"/>
      <c r="BPD68" s="198"/>
      <c r="BPE68" s="198"/>
      <c r="BPF68" s="198"/>
      <c r="BPG68" s="198"/>
      <c r="BPH68" s="198"/>
      <c r="BPI68" s="198"/>
      <c r="BPJ68" s="198"/>
      <c r="BPK68" s="198"/>
      <c r="BPL68" s="198"/>
      <c r="BPM68" s="198"/>
      <c r="BPN68" s="198"/>
      <c r="BPO68" s="198"/>
      <c r="BPP68" s="198"/>
      <c r="BPQ68" s="198"/>
      <c r="BPR68" s="198"/>
      <c r="BPS68" s="198"/>
      <c r="BPT68" s="198"/>
      <c r="BPU68" s="198"/>
      <c r="BPV68" s="198"/>
      <c r="BPW68" s="198"/>
      <c r="BPX68" s="198"/>
      <c r="BPY68" s="198"/>
      <c r="BPZ68" s="198"/>
      <c r="BQA68" s="198"/>
      <c r="BQB68" s="198"/>
      <c r="BQC68" s="198"/>
      <c r="BQD68" s="198"/>
      <c r="BQE68" s="198"/>
      <c r="BQF68" s="198"/>
      <c r="BQG68" s="198"/>
      <c r="BQH68" s="198"/>
      <c r="BQI68" s="198"/>
      <c r="BQJ68" s="198"/>
      <c r="BQK68" s="198"/>
      <c r="BQL68" s="198"/>
      <c r="BQM68" s="198"/>
      <c r="BQN68" s="198"/>
      <c r="BQO68" s="198"/>
      <c r="BQP68" s="198"/>
      <c r="BQQ68" s="198"/>
      <c r="BQR68" s="198"/>
      <c r="BQS68" s="198"/>
      <c r="BQT68" s="198"/>
      <c r="BQU68" s="198"/>
      <c r="BQV68" s="198"/>
      <c r="BQW68" s="198"/>
      <c r="BQX68" s="198"/>
      <c r="BQY68" s="198"/>
      <c r="BQZ68" s="198"/>
      <c r="BRA68" s="198"/>
      <c r="BRB68" s="198"/>
      <c r="BRC68" s="198"/>
      <c r="BRD68" s="198"/>
      <c r="BRE68" s="198"/>
      <c r="BRF68" s="198"/>
      <c r="BRG68" s="198"/>
      <c r="BRH68" s="198"/>
      <c r="BRI68" s="198"/>
      <c r="BRJ68" s="198"/>
      <c r="BRK68" s="198"/>
      <c r="BRL68" s="198"/>
      <c r="BRM68" s="198"/>
      <c r="BRN68" s="198"/>
      <c r="BRO68" s="198"/>
      <c r="BRP68" s="198"/>
      <c r="BRQ68" s="198"/>
      <c r="BRR68" s="198"/>
      <c r="BRS68" s="198"/>
      <c r="BRT68" s="198"/>
      <c r="BRU68" s="198"/>
      <c r="BRV68" s="198"/>
      <c r="BRW68" s="198"/>
      <c r="BRX68" s="198"/>
      <c r="BRY68" s="198"/>
      <c r="BRZ68" s="198"/>
      <c r="BSA68" s="198"/>
      <c r="BSB68" s="198"/>
      <c r="BSC68" s="198"/>
      <c r="BSD68" s="198"/>
      <c r="BSE68" s="198"/>
      <c r="BSF68" s="198"/>
      <c r="BSG68" s="198"/>
      <c r="BSH68" s="198"/>
      <c r="BSI68" s="198"/>
      <c r="BSJ68" s="198"/>
      <c r="BSK68" s="198"/>
      <c r="BSL68" s="198"/>
      <c r="BSM68" s="198"/>
      <c r="BSN68" s="198"/>
      <c r="BSO68" s="198"/>
      <c r="BSP68" s="198"/>
      <c r="BSQ68" s="198"/>
      <c r="BSR68" s="198"/>
      <c r="BSS68" s="198"/>
      <c r="BST68" s="198"/>
      <c r="BSU68" s="198"/>
      <c r="BSV68" s="198"/>
      <c r="BSW68" s="198"/>
      <c r="BSX68" s="198"/>
      <c r="BSY68" s="198"/>
      <c r="BSZ68" s="198"/>
      <c r="BTA68" s="198"/>
      <c r="BTB68" s="198"/>
      <c r="BTC68" s="198"/>
      <c r="BTD68" s="198"/>
      <c r="BTE68" s="198"/>
      <c r="BTF68" s="198"/>
      <c r="BTG68" s="198"/>
      <c r="BTH68" s="198"/>
      <c r="BTI68" s="198"/>
      <c r="BTJ68" s="198"/>
      <c r="BTK68" s="198"/>
      <c r="BTL68" s="198"/>
      <c r="BTM68" s="198"/>
      <c r="BTN68" s="198"/>
      <c r="BTO68" s="198"/>
      <c r="BTP68" s="198"/>
      <c r="BTQ68" s="198"/>
      <c r="BTR68" s="198"/>
      <c r="BTS68" s="198"/>
      <c r="BTT68" s="198"/>
      <c r="BTU68" s="198"/>
      <c r="BTV68" s="198"/>
      <c r="BTW68" s="198"/>
      <c r="BTX68" s="198"/>
      <c r="BTY68" s="198"/>
      <c r="BTZ68" s="198"/>
      <c r="BUA68" s="198"/>
      <c r="BUB68" s="198"/>
      <c r="BUC68" s="198"/>
      <c r="BUD68" s="198"/>
      <c r="BUE68" s="198"/>
      <c r="BUF68" s="198"/>
      <c r="BUG68" s="198"/>
      <c r="BUH68" s="198"/>
      <c r="BUI68" s="198"/>
      <c r="BUJ68" s="198"/>
      <c r="BUK68" s="198"/>
      <c r="BUL68" s="198"/>
      <c r="BUM68" s="198"/>
      <c r="BUN68" s="198"/>
      <c r="BUO68" s="198"/>
      <c r="BUP68" s="198"/>
      <c r="BUQ68" s="198"/>
      <c r="BUR68" s="198"/>
      <c r="BUS68" s="198"/>
      <c r="BUT68" s="198"/>
      <c r="BUU68" s="198"/>
      <c r="BUV68" s="198"/>
      <c r="BUW68" s="198"/>
      <c r="BUX68" s="198"/>
      <c r="BUY68" s="198"/>
      <c r="BUZ68" s="198"/>
      <c r="BVA68" s="198"/>
      <c r="BVB68" s="198"/>
      <c r="BVC68" s="198"/>
      <c r="BVD68" s="198"/>
      <c r="BVE68" s="198"/>
      <c r="BVF68" s="198"/>
      <c r="BVG68" s="198"/>
      <c r="BVH68" s="198"/>
      <c r="BVI68" s="198"/>
      <c r="BVJ68" s="198"/>
      <c r="BVK68" s="198"/>
      <c r="BVL68" s="198"/>
      <c r="BVM68" s="198"/>
      <c r="BVN68" s="198"/>
      <c r="BVO68" s="198"/>
      <c r="BVP68" s="198"/>
      <c r="BVQ68" s="198"/>
      <c r="BVR68" s="198"/>
      <c r="BVS68" s="198"/>
      <c r="BVT68" s="198"/>
      <c r="BVU68" s="198"/>
      <c r="BVV68" s="198"/>
      <c r="BVW68" s="198"/>
      <c r="BVX68" s="198"/>
      <c r="BVY68" s="198"/>
      <c r="BVZ68" s="198"/>
      <c r="BWA68" s="198"/>
      <c r="BWB68" s="198"/>
      <c r="BWC68" s="198"/>
      <c r="BWD68" s="198"/>
      <c r="BWE68" s="198"/>
      <c r="BWF68" s="198"/>
      <c r="BWG68" s="198"/>
      <c r="BWH68" s="198"/>
      <c r="BWI68" s="198"/>
      <c r="BWJ68" s="198"/>
      <c r="BWK68" s="198"/>
      <c r="BWL68" s="198"/>
      <c r="BWM68" s="198"/>
      <c r="BWN68" s="198"/>
      <c r="BWO68" s="198"/>
      <c r="BWP68" s="198"/>
      <c r="BWQ68" s="198"/>
      <c r="BWR68" s="198"/>
      <c r="BWS68" s="198"/>
      <c r="BWT68" s="198"/>
      <c r="BWU68" s="198"/>
      <c r="BWV68" s="198"/>
      <c r="BWW68" s="198"/>
      <c r="BWX68" s="198"/>
      <c r="BWY68" s="198"/>
      <c r="BWZ68" s="198"/>
      <c r="BXA68" s="198"/>
      <c r="BXB68" s="198"/>
      <c r="BXC68" s="198"/>
      <c r="BXD68" s="198"/>
      <c r="BXE68" s="198"/>
      <c r="BXF68" s="198"/>
      <c r="BXG68" s="198"/>
      <c r="BXH68" s="198"/>
      <c r="BXI68" s="198"/>
      <c r="BXJ68" s="198"/>
      <c r="BXK68" s="198"/>
      <c r="BXL68" s="198"/>
      <c r="BXM68" s="198"/>
      <c r="BXN68" s="198"/>
      <c r="BXO68" s="198"/>
      <c r="BXP68" s="198"/>
      <c r="BXQ68" s="198"/>
      <c r="BXR68" s="198"/>
      <c r="BXS68" s="198"/>
      <c r="BXT68" s="198"/>
      <c r="BXU68" s="198"/>
      <c r="BXV68" s="198"/>
      <c r="BXW68" s="198"/>
      <c r="BXX68" s="198"/>
      <c r="BXY68" s="198"/>
      <c r="BXZ68" s="198"/>
      <c r="BYA68" s="198"/>
      <c r="BYB68" s="198"/>
      <c r="BYC68" s="198"/>
      <c r="BYD68" s="198"/>
      <c r="BYE68" s="198"/>
      <c r="BYF68" s="198"/>
      <c r="BYG68" s="198"/>
    </row>
    <row r="69" spans="1:2009" s="198" customFormat="1" ht="9" customHeight="1" x14ac:dyDescent="0.25">
      <c r="A69" s="738"/>
      <c r="B69" s="739"/>
      <c r="C69" s="740"/>
      <c r="D69" s="740"/>
      <c r="E69" s="740"/>
      <c r="F69" s="740"/>
      <c r="G69" s="741"/>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row>
    <row r="70" spans="1:2009" s="96" customFormat="1" ht="22.5" customHeight="1" x14ac:dyDescent="0.25">
      <c r="A70" s="122"/>
      <c r="B70" s="736" t="s">
        <v>408</v>
      </c>
      <c r="C70" s="737">
        <f>C68/G$68</f>
        <v>0.57553357193109766</v>
      </c>
      <c r="D70" s="737">
        <f>D68/$G68</f>
        <v>0.2063368924926032</v>
      </c>
      <c r="E70" s="737">
        <f t="shared" ref="E70:G70" si="4">E68/$G68</f>
        <v>0.17554667144769578</v>
      </c>
      <c r="F70" s="737">
        <f t="shared" si="4"/>
        <v>3.5299637289401394E-2</v>
      </c>
      <c r="G70" s="737">
        <f t="shared" si="4"/>
        <v>1</v>
      </c>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c r="HZ70" s="95"/>
      <c r="IA70" s="95"/>
      <c r="IB70" s="95"/>
      <c r="IC70" s="95"/>
      <c r="ID70" s="95"/>
      <c r="IE70" s="95"/>
      <c r="IF70" s="95"/>
      <c r="IG70" s="95"/>
      <c r="IH70" s="95"/>
      <c r="II70" s="95"/>
      <c r="IJ70" s="95"/>
      <c r="IK70" s="95"/>
      <c r="IL70" s="95"/>
      <c r="IM70" s="95"/>
      <c r="IN70" s="95"/>
      <c r="IO70" s="95"/>
      <c r="IP70" s="95"/>
      <c r="IQ70" s="95"/>
      <c r="IR70" s="95"/>
      <c r="IS70" s="95"/>
      <c r="IT70" s="95"/>
      <c r="IU70" s="95"/>
      <c r="IV70" s="95"/>
      <c r="IW70" s="95"/>
      <c r="IX70" s="95"/>
      <c r="IY70" s="95"/>
      <c r="IZ70" s="95"/>
      <c r="JA70" s="95"/>
      <c r="JB70" s="95"/>
      <c r="JC70" s="95"/>
      <c r="JD70" s="95"/>
      <c r="JE70" s="95"/>
      <c r="JF70" s="95"/>
      <c r="JG70" s="95"/>
      <c r="JH70" s="95"/>
      <c r="JI70" s="95"/>
      <c r="JJ70" s="95"/>
      <c r="JK70" s="95"/>
      <c r="JL70" s="95"/>
      <c r="JM70" s="95"/>
      <c r="JN70" s="95"/>
      <c r="JO70" s="95"/>
      <c r="JP70" s="95"/>
      <c r="JQ70" s="95"/>
      <c r="JR70" s="95"/>
      <c r="JS70" s="95"/>
      <c r="JT70" s="95"/>
      <c r="JU70" s="95"/>
      <c r="JV70" s="95"/>
      <c r="JW70" s="95"/>
      <c r="JX70" s="95"/>
      <c r="JY70" s="95"/>
      <c r="JZ70" s="95"/>
      <c r="KA70" s="95"/>
      <c r="KB70" s="95"/>
      <c r="KC70" s="95"/>
      <c r="KD70" s="95"/>
      <c r="KE70" s="95"/>
      <c r="KF70" s="95"/>
      <c r="KG70" s="95"/>
      <c r="KH70" s="95"/>
      <c r="KI70" s="95"/>
      <c r="KJ70" s="95"/>
      <c r="KK70" s="95"/>
      <c r="KL70" s="95"/>
      <c r="KM70" s="95"/>
      <c r="KN70" s="95"/>
      <c r="KO70" s="95"/>
      <c r="KP70" s="95"/>
      <c r="KQ70" s="95"/>
      <c r="KR70" s="95"/>
      <c r="KS70" s="95"/>
      <c r="KT70" s="95"/>
      <c r="KU70" s="95"/>
      <c r="KV70" s="95"/>
      <c r="KW70" s="95"/>
      <c r="KX70" s="95"/>
      <c r="KY70" s="95"/>
      <c r="KZ70" s="95"/>
      <c r="LA70" s="95"/>
      <c r="LB70" s="95"/>
      <c r="LC70" s="95"/>
      <c r="LD70" s="95"/>
      <c r="LE70" s="95"/>
      <c r="LF70" s="95"/>
      <c r="LG70" s="95"/>
      <c r="LH70" s="95"/>
      <c r="LI70" s="95"/>
      <c r="LJ70" s="95"/>
      <c r="LK70" s="95"/>
      <c r="LL70" s="95"/>
      <c r="LM70" s="95"/>
      <c r="LN70" s="95"/>
      <c r="LO70" s="95"/>
      <c r="LP70" s="95"/>
      <c r="LQ70" s="95"/>
      <c r="LR70" s="95"/>
      <c r="LS70" s="95"/>
      <c r="LT70" s="95"/>
      <c r="LU70" s="95"/>
      <c r="LV70" s="95"/>
      <c r="LW70" s="95"/>
      <c r="LX70" s="95"/>
      <c r="LY70" s="95"/>
      <c r="LZ70" s="95"/>
      <c r="MA70" s="95"/>
      <c r="MB70" s="95"/>
      <c r="MC70" s="95"/>
      <c r="MD70" s="95"/>
      <c r="ME70" s="95"/>
      <c r="MF70" s="95"/>
      <c r="MG70" s="95"/>
      <c r="MH70" s="95"/>
      <c r="MI70" s="95"/>
      <c r="MJ70" s="95"/>
      <c r="MK70" s="95"/>
      <c r="ML70" s="95"/>
      <c r="MM70" s="95"/>
      <c r="MN70" s="95"/>
      <c r="MO70" s="95"/>
      <c r="MP70" s="95"/>
      <c r="MQ70" s="95"/>
      <c r="MR70" s="95"/>
      <c r="MS70" s="95"/>
      <c r="MT70" s="95"/>
      <c r="MU70" s="95"/>
      <c r="MV70" s="95"/>
      <c r="MW70" s="95"/>
      <c r="MX70" s="95"/>
      <c r="MY70" s="95"/>
      <c r="MZ70" s="95"/>
      <c r="NA70" s="95"/>
      <c r="NB70" s="95"/>
      <c r="NC70" s="95"/>
      <c r="ND70" s="95"/>
      <c r="NE70" s="95"/>
      <c r="NF70" s="95"/>
      <c r="NG70" s="95"/>
      <c r="NH70" s="95"/>
      <c r="NI70" s="95"/>
      <c r="NJ70" s="95"/>
      <c r="NK70" s="95"/>
      <c r="NL70" s="95"/>
      <c r="NM70" s="95"/>
      <c r="NN70" s="95"/>
      <c r="NO70" s="95"/>
      <c r="NP70" s="95"/>
      <c r="NQ70" s="95"/>
      <c r="NR70" s="95"/>
      <c r="NS70" s="95"/>
      <c r="NT70" s="95"/>
      <c r="NU70" s="95"/>
      <c r="NV70" s="95"/>
      <c r="NW70" s="95"/>
      <c r="NX70" s="95"/>
      <c r="NY70" s="95"/>
      <c r="NZ70" s="95"/>
      <c r="OA70" s="95"/>
      <c r="OB70" s="95"/>
      <c r="OC70" s="95"/>
      <c r="OD70" s="95"/>
      <c r="OE70" s="95"/>
      <c r="OF70" s="95"/>
      <c r="OG70" s="95"/>
      <c r="OH70" s="95"/>
      <c r="OI70" s="95"/>
      <c r="OJ70" s="95"/>
      <c r="OK70" s="95"/>
      <c r="OL70" s="95"/>
      <c r="OM70" s="95"/>
      <c r="ON70" s="95"/>
      <c r="OO70" s="95"/>
      <c r="OP70" s="95"/>
      <c r="OQ70" s="95"/>
      <c r="OR70" s="95"/>
      <c r="OS70" s="95"/>
      <c r="OT70" s="95"/>
      <c r="OU70" s="95"/>
      <c r="OV70" s="95"/>
      <c r="OW70" s="95"/>
      <c r="OX70" s="95"/>
      <c r="OY70" s="95"/>
      <c r="OZ70" s="95"/>
      <c r="PA70" s="95"/>
      <c r="PB70" s="95"/>
      <c r="PC70" s="95"/>
      <c r="PD70" s="95"/>
      <c r="PE70" s="95"/>
      <c r="PF70" s="95"/>
      <c r="PG70" s="95"/>
      <c r="PH70" s="95"/>
      <c r="PI70" s="95"/>
      <c r="PJ70" s="95"/>
      <c r="PK70" s="95"/>
      <c r="PL70" s="95"/>
      <c r="PM70" s="95"/>
      <c r="PN70" s="95"/>
      <c r="PO70" s="95"/>
      <c r="PP70" s="95"/>
      <c r="PQ70" s="95"/>
      <c r="PR70" s="95"/>
      <c r="PS70" s="95"/>
      <c r="PT70" s="95"/>
      <c r="PU70" s="95"/>
      <c r="PV70" s="95"/>
      <c r="PW70" s="95"/>
      <c r="PX70" s="95"/>
      <c r="PY70" s="95"/>
      <c r="PZ70" s="95"/>
      <c r="QA70" s="95"/>
      <c r="QB70" s="95"/>
      <c r="QC70" s="95"/>
      <c r="QD70" s="95"/>
      <c r="QE70" s="95"/>
      <c r="QF70" s="95"/>
      <c r="QG70" s="95"/>
      <c r="QH70" s="95"/>
      <c r="QI70" s="95"/>
      <c r="QJ70" s="95"/>
      <c r="QK70" s="95"/>
      <c r="QL70" s="95"/>
      <c r="QM70" s="95"/>
      <c r="QN70" s="95"/>
      <c r="QO70" s="95"/>
      <c r="QP70" s="95"/>
      <c r="QQ70" s="95"/>
      <c r="QR70" s="95"/>
      <c r="QS70" s="95"/>
      <c r="QT70" s="95"/>
      <c r="QU70" s="95"/>
      <c r="QV70" s="95"/>
      <c r="QW70" s="95"/>
      <c r="QX70" s="95"/>
      <c r="QY70" s="95"/>
      <c r="QZ70" s="95"/>
      <c r="RA70" s="95"/>
      <c r="RB70" s="95"/>
      <c r="RC70" s="95"/>
      <c r="RD70" s="95"/>
      <c r="RE70" s="95"/>
      <c r="RF70" s="95"/>
      <c r="RG70" s="95"/>
      <c r="RH70" s="95"/>
      <c r="RI70" s="95"/>
      <c r="RJ70" s="95"/>
      <c r="RK70" s="95"/>
      <c r="RL70" s="95"/>
      <c r="RM70" s="95"/>
      <c r="RN70" s="95"/>
      <c r="RO70" s="95"/>
      <c r="RP70" s="95"/>
      <c r="RQ70" s="95"/>
      <c r="RR70" s="95"/>
      <c r="RS70" s="95"/>
      <c r="RT70" s="95"/>
      <c r="RU70" s="95"/>
      <c r="RV70" s="95"/>
      <c r="RW70" s="95"/>
      <c r="RX70" s="95"/>
      <c r="RY70" s="95"/>
      <c r="RZ70" s="95"/>
      <c r="SA70" s="95"/>
      <c r="SB70" s="95"/>
      <c r="SC70" s="95"/>
      <c r="SD70" s="95"/>
      <c r="SE70" s="95"/>
      <c r="SF70" s="95"/>
      <c r="SG70" s="95"/>
      <c r="SH70" s="95"/>
      <c r="SI70" s="95"/>
      <c r="SJ70" s="95"/>
      <c r="SK70" s="95"/>
      <c r="SL70" s="95"/>
      <c r="SM70" s="95"/>
      <c r="SN70" s="95"/>
      <c r="SO70" s="95"/>
      <c r="SP70" s="95"/>
      <c r="SQ70" s="95"/>
      <c r="SR70" s="95"/>
      <c r="SS70" s="95"/>
      <c r="ST70" s="95"/>
      <c r="SU70" s="95"/>
      <c r="SV70" s="95"/>
      <c r="SW70" s="95"/>
      <c r="SX70" s="95"/>
      <c r="SY70" s="95"/>
      <c r="SZ70" s="95"/>
      <c r="TA70" s="95"/>
      <c r="TB70" s="95"/>
      <c r="TC70" s="95"/>
      <c r="TD70" s="95"/>
      <c r="TE70" s="95"/>
      <c r="TF70" s="95"/>
      <c r="TG70" s="95"/>
      <c r="TH70" s="95"/>
      <c r="TI70" s="95"/>
      <c r="TJ70" s="95"/>
      <c r="TK70" s="95"/>
      <c r="TL70" s="95"/>
      <c r="TM70" s="95"/>
      <c r="TN70" s="95"/>
      <c r="TO70" s="95"/>
      <c r="TP70" s="95"/>
      <c r="TQ70" s="95"/>
      <c r="TR70" s="95"/>
      <c r="TS70" s="95"/>
      <c r="TT70" s="95"/>
      <c r="TU70" s="95"/>
      <c r="TV70" s="95"/>
      <c r="TW70" s="95"/>
      <c r="TX70" s="95"/>
      <c r="TY70" s="95"/>
      <c r="TZ70" s="95"/>
      <c r="UA70" s="95"/>
      <c r="UB70" s="95"/>
      <c r="UC70" s="95"/>
      <c r="UD70" s="95"/>
      <c r="UE70" s="95"/>
      <c r="UF70" s="95"/>
      <c r="UG70" s="95"/>
      <c r="UH70" s="95"/>
      <c r="UI70" s="95"/>
      <c r="UJ70" s="95"/>
      <c r="UK70" s="95"/>
      <c r="UL70" s="95"/>
      <c r="UM70" s="95"/>
      <c r="UN70" s="95"/>
      <c r="UO70" s="95"/>
      <c r="UP70" s="95"/>
      <c r="UQ70" s="95"/>
      <c r="UR70" s="95"/>
      <c r="US70" s="95"/>
      <c r="UT70" s="95"/>
      <c r="UU70" s="95"/>
      <c r="UV70" s="95"/>
      <c r="UW70" s="95"/>
      <c r="UX70" s="95"/>
      <c r="UY70" s="95"/>
      <c r="UZ70" s="95"/>
      <c r="VA70" s="95"/>
      <c r="VB70" s="95"/>
      <c r="VC70" s="95"/>
      <c r="VD70" s="95"/>
      <c r="VE70" s="95"/>
      <c r="VF70" s="95"/>
      <c r="VG70" s="95"/>
      <c r="VH70" s="95"/>
      <c r="VI70" s="95"/>
      <c r="VJ70" s="95"/>
      <c r="VK70" s="95"/>
      <c r="VL70" s="95"/>
      <c r="VM70" s="95"/>
      <c r="VN70" s="95"/>
      <c r="VO70" s="95"/>
      <c r="VP70" s="95"/>
      <c r="VQ70" s="95"/>
      <c r="VR70" s="95"/>
      <c r="VS70" s="95"/>
      <c r="VT70" s="95"/>
      <c r="VU70" s="95"/>
      <c r="VV70" s="95"/>
      <c r="VW70" s="95"/>
      <c r="VX70" s="95"/>
      <c r="VY70" s="95"/>
      <c r="VZ70" s="95"/>
      <c r="WA70" s="95"/>
      <c r="WB70" s="95"/>
      <c r="WC70" s="95"/>
      <c r="WD70" s="95"/>
      <c r="WE70" s="95"/>
      <c r="WF70" s="95"/>
      <c r="WG70" s="95"/>
      <c r="WH70" s="95"/>
      <c r="WI70" s="95"/>
      <c r="WJ70" s="95"/>
      <c r="WK70" s="95"/>
      <c r="WL70" s="95"/>
      <c r="WM70" s="95"/>
      <c r="WN70" s="95"/>
      <c r="WO70" s="95"/>
      <c r="WP70" s="95"/>
      <c r="WQ70" s="95"/>
      <c r="WR70" s="95"/>
      <c r="WS70" s="95"/>
      <c r="WT70" s="95"/>
      <c r="WU70" s="95"/>
      <c r="WV70" s="95"/>
      <c r="WW70" s="95"/>
      <c r="WX70" s="95"/>
      <c r="WY70" s="95"/>
      <c r="WZ70" s="95"/>
      <c r="XA70" s="95"/>
      <c r="XB70" s="95"/>
      <c r="XC70" s="95"/>
      <c r="XD70" s="95"/>
      <c r="XE70" s="95"/>
      <c r="XF70" s="95"/>
      <c r="XG70" s="95"/>
      <c r="XH70" s="95"/>
      <c r="XI70" s="95"/>
      <c r="XJ70" s="95"/>
      <c r="XK70" s="95"/>
      <c r="XL70" s="95"/>
      <c r="XM70" s="95"/>
      <c r="XN70" s="95"/>
      <c r="XO70" s="95"/>
      <c r="XP70" s="95"/>
      <c r="XQ70" s="95"/>
      <c r="XR70" s="95"/>
      <c r="XS70" s="95"/>
      <c r="XT70" s="95"/>
      <c r="XU70" s="95"/>
      <c r="XV70" s="95"/>
      <c r="XW70" s="95"/>
      <c r="XX70" s="95"/>
      <c r="XY70" s="95"/>
      <c r="XZ70" s="95"/>
      <c r="YA70" s="95"/>
      <c r="YB70" s="95"/>
      <c r="YC70" s="95"/>
      <c r="YD70" s="95"/>
      <c r="YE70" s="95"/>
      <c r="YF70" s="95"/>
      <c r="YG70" s="95"/>
      <c r="YH70" s="95"/>
      <c r="YI70" s="95"/>
      <c r="YJ70" s="95"/>
      <c r="YK70" s="95"/>
      <c r="YL70" s="95"/>
      <c r="YM70" s="95"/>
      <c r="YN70" s="95"/>
      <c r="YO70" s="95"/>
      <c r="YP70" s="95"/>
      <c r="YQ70" s="95"/>
      <c r="YR70" s="95"/>
      <c r="YS70" s="95"/>
      <c r="YT70" s="95"/>
      <c r="YU70" s="95"/>
      <c r="YV70" s="95"/>
      <c r="YW70" s="95"/>
      <c r="YX70" s="95"/>
      <c r="YY70" s="95"/>
      <c r="YZ70" s="95"/>
      <c r="ZA70" s="95"/>
      <c r="ZB70" s="95"/>
      <c r="ZC70" s="95"/>
      <c r="ZD70" s="95"/>
      <c r="ZE70" s="95"/>
      <c r="ZF70" s="95"/>
      <c r="ZG70" s="95"/>
      <c r="ZH70" s="95"/>
      <c r="ZI70" s="95"/>
      <c r="ZJ70" s="95"/>
      <c r="ZK70" s="95"/>
      <c r="ZL70" s="95"/>
      <c r="ZM70" s="95"/>
      <c r="ZN70" s="95"/>
      <c r="ZO70" s="95"/>
      <c r="ZP70" s="95"/>
      <c r="ZQ70" s="95"/>
      <c r="ZR70" s="95"/>
      <c r="ZS70" s="95"/>
      <c r="ZT70" s="95"/>
      <c r="ZU70" s="95"/>
      <c r="ZV70" s="95"/>
      <c r="ZW70" s="95"/>
      <c r="ZX70" s="95"/>
      <c r="ZY70" s="95"/>
      <c r="ZZ70" s="95"/>
      <c r="AAA70" s="95"/>
      <c r="AAB70" s="95"/>
      <c r="AAC70" s="95"/>
      <c r="AAD70" s="95"/>
      <c r="AAE70" s="95"/>
      <c r="AAF70" s="95"/>
      <c r="AAG70" s="95"/>
      <c r="AAH70" s="95"/>
      <c r="AAI70" s="95"/>
      <c r="AAJ70" s="95"/>
      <c r="AAK70" s="95"/>
      <c r="AAL70" s="95"/>
      <c r="AAM70" s="95"/>
      <c r="AAN70" s="95"/>
      <c r="AAO70" s="95"/>
      <c r="AAP70" s="95"/>
      <c r="AAQ70" s="95"/>
      <c r="AAR70" s="95"/>
      <c r="AAS70" s="95"/>
      <c r="AAT70" s="95"/>
      <c r="AAU70" s="95"/>
      <c r="AAV70" s="95"/>
      <c r="AAW70" s="95"/>
      <c r="AAX70" s="95"/>
      <c r="AAY70" s="95"/>
      <c r="AAZ70" s="95"/>
      <c r="ABA70" s="95"/>
      <c r="ABB70" s="95"/>
      <c r="ABC70" s="95"/>
      <c r="ABD70" s="95"/>
      <c r="ABE70" s="95"/>
      <c r="ABF70" s="95"/>
      <c r="ABG70" s="95"/>
      <c r="ABH70" s="95"/>
      <c r="ABI70" s="95"/>
      <c r="ABJ70" s="95"/>
      <c r="ABK70" s="95"/>
      <c r="ABL70" s="95"/>
      <c r="ABM70" s="95"/>
      <c r="ABN70" s="95"/>
      <c r="ABO70" s="95"/>
      <c r="ABP70" s="95"/>
      <c r="ABQ70" s="95"/>
      <c r="ABR70" s="95"/>
      <c r="ABS70" s="95"/>
      <c r="ABT70" s="95"/>
      <c r="ABU70" s="95"/>
      <c r="ABV70" s="95"/>
      <c r="ABW70" s="95"/>
      <c r="ABX70" s="95"/>
      <c r="ABY70" s="95"/>
      <c r="ABZ70" s="95"/>
      <c r="ACA70" s="95"/>
      <c r="ACB70" s="95"/>
      <c r="ACC70" s="95"/>
      <c r="ACD70" s="95"/>
      <c r="ACE70" s="95"/>
      <c r="ACF70" s="95"/>
      <c r="ACG70" s="95"/>
      <c r="ACH70" s="95"/>
      <c r="ACI70" s="95"/>
      <c r="ACJ70" s="95"/>
      <c r="ACK70" s="95"/>
      <c r="ACL70" s="95"/>
      <c r="ACM70" s="95"/>
      <c r="ACN70" s="95"/>
      <c r="ACO70" s="95"/>
      <c r="ACP70" s="95"/>
      <c r="ACQ70" s="95"/>
      <c r="ACR70" s="95"/>
      <c r="ACS70" s="95"/>
      <c r="ACT70" s="95"/>
      <c r="ACU70" s="95"/>
      <c r="ACV70" s="95"/>
      <c r="ACW70" s="95"/>
      <c r="ACX70" s="95"/>
      <c r="ACY70" s="95"/>
      <c r="ACZ70" s="95"/>
      <c r="ADA70" s="95"/>
      <c r="ADB70" s="95"/>
      <c r="ADC70" s="95"/>
      <c r="ADD70" s="95"/>
      <c r="ADE70" s="95"/>
      <c r="ADF70" s="95"/>
      <c r="ADG70" s="95"/>
      <c r="ADH70" s="95"/>
      <c r="ADI70" s="95"/>
      <c r="ADJ70" s="95"/>
      <c r="ADK70" s="95"/>
      <c r="ADL70" s="95"/>
      <c r="ADM70" s="95"/>
      <c r="ADN70" s="95"/>
      <c r="ADO70" s="95"/>
      <c r="ADP70" s="95"/>
      <c r="ADQ70" s="95"/>
      <c r="ADR70" s="95"/>
      <c r="ADS70" s="95"/>
      <c r="ADT70" s="95"/>
      <c r="ADU70" s="95"/>
      <c r="ADV70" s="95"/>
      <c r="ADW70" s="95"/>
      <c r="ADX70" s="95"/>
      <c r="ADY70" s="95"/>
      <c r="ADZ70" s="95"/>
      <c r="AEA70" s="95"/>
      <c r="AEB70" s="95"/>
      <c r="AEC70" s="95"/>
      <c r="AED70" s="95"/>
      <c r="AEE70" s="95"/>
      <c r="AEF70" s="95"/>
      <c r="AEG70" s="95"/>
      <c r="AEH70" s="95"/>
      <c r="AEI70" s="95"/>
      <c r="AEJ70" s="95"/>
      <c r="AEK70" s="95"/>
      <c r="AEL70" s="95"/>
      <c r="AEM70" s="95"/>
      <c r="AEN70" s="95"/>
      <c r="AEO70" s="95"/>
      <c r="AEP70" s="95"/>
      <c r="AEQ70" s="95"/>
      <c r="AER70" s="95"/>
      <c r="AES70" s="95"/>
      <c r="AET70" s="95"/>
      <c r="AEU70" s="95"/>
      <c r="AEV70" s="95"/>
      <c r="AEW70" s="95"/>
      <c r="AEX70" s="95"/>
      <c r="AEY70" s="95"/>
      <c r="AEZ70" s="95"/>
      <c r="AFA70" s="95"/>
      <c r="AFB70" s="95"/>
      <c r="AFC70" s="95"/>
      <c r="AFD70" s="95"/>
      <c r="AFE70" s="95"/>
      <c r="AFF70" s="95"/>
      <c r="AFG70" s="95"/>
      <c r="AFH70" s="95"/>
      <c r="AFI70" s="95"/>
      <c r="AFJ70" s="95"/>
      <c r="AFK70" s="95"/>
      <c r="AFL70" s="95"/>
      <c r="AFM70" s="95"/>
      <c r="AFN70" s="95"/>
      <c r="AFO70" s="95"/>
      <c r="AFP70" s="95"/>
      <c r="AFQ70" s="95"/>
      <c r="AFR70" s="95"/>
      <c r="AFS70" s="95"/>
      <c r="AFT70" s="95"/>
      <c r="AFU70" s="95"/>
      <c r="AFV70" s="95"/>
      <c r="AFW70" s="95"/>
      <c r="AFX70" s="95"/>
      <c r="AFY70" s="95"/>
      <c r="AFZ70" s="95"/>
      <c r="AGA70" s="95"/>
      <c r="AGB70" s="95"/>
      <c r="AGC70" s="95"/>
      <c r="AGD70" s="95"/>
      <c r="AGE70" s="95"/>
      <c r="AGF70" s="95"/>
      <c r="AGG70" s="95"/>
      <c r="AGH70" s="95"/>
      <c r="AGI70" s="95"/>
      <c r="AGJ70" s="95"/>
      <c r="AGK70" s="95"/>
      <c r="AGL70" s="95"/>
      <c r="AGM70" s="95"/>
      <c r="AGN70" s="95"/>
      <c r="AGO70" s="95"/>
      <c r="AGP70" s="95"/>
      <c r="AGQ70" s="95"/>
      <c r="AGR70" s="95"/>
      <c r="AGS70" s="95"/>
      <c r="AGT70" s="95"/>
      <c r="AGU70" s="95"/>
      <c r="AGV70" s="95"/>
      <c r="AGW70" s="95"/>
      <c r="AGX70" s="95"/>
      <c r="AGY70" s="95"/>
      <c r="AGZ70" s="95"/>
      <c r="AHA70" s="95"/>
      <c r="AHB70" s="95"/>
      <c r="AHC70" s="95"/>
      <c r="AHD70" s="95"/>
      <c r="AHE70" s="95"/>
      <c r="AHF70" s="95"/>
      <c r="AHG70" s="95"/>
      <c r="AHH70" s="95"/>
      <c r="AHI70" s="95"/>
      <c r="AHJ70" s="95"/>
      <c r="AHK70" s="95"/>
      <c r="AHL70" s="95"/>
      <c r="AHM70" s="95"/>
      <c r="AHN70" s="95"/>
      <c r="AHO70" s="95"/>
      <c r="AHP70" s="95"/>
      <c r="AHQ70" s="95"/>
      <c r="AHR70" s="95"/>
      <c r="AHS70" s="95"/>
      <c r="AHT70" s="95"/>
      <c r="AHU70" s="95"/>
      <c r="AHV70" s="95"/>
      <c r="AHW70" s="95"/>
      <c r="AHX70" s="95"/>
      <c r="AHY70" s="95"/>
      <c r="AHZ70" s="95"/>
      <c r="AIA70" s="95"/>
      <c r="AIB70" s="95"/>
      <c r="AIC70" s="95"/>
      <c r="AID70" s="95"/>
      <c r="AIE70" s="95"/>
      <c r="AIF70" s="95"/>
      <c r="AIG70" s="95"/>
      <c r="AIH70" s="95"/>
      <c r="AII70" s="95"/>
      <c r="AIJ70" s="95"/>
      <c r="AIK70" s="95"/>
      <c r="AIL70" s="95"/>
      <c r="AIM70" s="95"/>
      <c r="AIN70" s="95"/>
      <c r="AIO70" s="95"/>
      <c r="AIP70" s="95"/>
      <c r="AIQ70" s="95"/>
      <c r="AIR70" s="95"/>
      <c r="AIS70" s="95"/>
      <c r="AIT70" s="95"/>
      <c r="AIU70" s="95"/>
      <c r="AIV70" s="95"/>
      <c r="AIW70" s="95"/>
      <c r="AIX70" s="95"/>
      <c r="AIY70" s="95"/>
      <c r="AIZ70" s="95"/>
      <c r="AJA70" s="95"/>
      <c r="AJB70" s="95"/>
      <c r="AJC70" s="95"/>
      <c r="AJD70" s="95"/>
      <c r="AJE70" s="95"/>
      <c r="AJF70" s="95"/>
      <c r="AJG70" s="95"/>
      <c r="AJH70" s="95"/>
      <c r="AJI70" s="95"/>
      <c r="AJJ70" s="95"/>
      <c r="AJK70" s="95"/>
      <c r="AJL70" s="95"/>
      <c r="AJM70" s="95"/>
      <c r="AJN70" s="95"/>
      <c r="AJO70" s="95"/>
      <c r="AJP70" s="95"/>
      <c r="AJQ70" s="95"/>
      <c r="AJR70" s="95"/>
      <c r="AJS70" s="95"/>
      <c r="AJT70" s="95"/>
      <c r="AJU70" s="95"/>
      <c r="AJV70" s="95"/>
      <c r="AJW70" s="95"/>
      <c r="AJX70" s="95"/>
      <c r="AJY70" s="95"/>
      <c r="AJZ70" s="95"/>
      <c r="AKA70" s="95"/>
      <c r="AKB70" s="95"/>
      <c r="AKC70" s="95"/>
      <c r="AKD70" s="95"/>
      <c r="AKE70" s="95"/>
      <c r="AKF70" s="95"/>
      <c r="AKG70" s="95"/>
      <c r="AKH70" s="95"/>
      <c r="AKI70" s="95"/>
      <c r="AKJ70" s="95"/>
      <c r="AKK70" s="95"/>
      <c r="AKL70" s="95"/>
      <c r="AKM70" s="95"/>
      <c r="AKN70" s="95"/>
      <c r="AKO70" s="95"/>
      <c r="AKP70" s="95"/>
      <c r="AKQ70" s="95"/>
      <c r="AKR70" s="95"/>
      <c r="AKS70" s="95"/>
      <c r="AKT70" s="95"/>
      <c r="AKU70" s="95"/>
      <c r="AKV70" s="95"/>
      <c r="AKW70" s="95"/>
      <c r="AKX70" s="95"/>
      <c r="AKY70" s="95"/>
      <c r="AKZ70" s="95"/>
      <c r="ALA70" s="95"/>
      <c r="ALB70" s="95"/>
      <c r="ALC70" s="95"/>
      <c r="ALD70" s="95"/>
      <c r="ALE70" s="95"/>
      <c r="ALF70" s="95"/>
      <c r="ALG70" s="95"/>
      <c r="ALH70" s="95"/>
      <c r="ALI70" s="95"/>
      <c r="ALJ70" s="95"/>
      <c r="ALK70" s="95"/>
      <c r="ALL70" s="95"/>
      <c r="ALM70" s="95"/>
      <c r="ALN70" s="95"/>
      <c r="ALO70" s="95"/>
      <c r="ALP70" s="95"/>
      <c r="ALQ70" s="95"/>
      <c r="ALR70" s="95"/>
      <c r="ALS70" s="95"/>
      <c r="ALT70" s="95"/>
      <c r="ALU70" s="95"/>
      <c r="ALV70" s="95"/>
      <c r="ALW70" s="95"/>
      <c r="ALX70" s="95"/>
      <c r="ALY70" s="95"/>
      <c r="ALZ70" s="95"/>
      <c r="AMA70" s="95"/>
      <c r="AMB70" s="95"/>
      <c r="AMC70" s="95"/>
      <c r="AMD70" s="95"/>
      <c r="AME70" s="95"/>
      <c r="AMF70" s="95"/>
      <c r="AMG70" s="95"/>
      <c r="AMH70" s="95"/>
      <c r="AMI70" s="95"/>
      <c r="AMJ70" s="95"/>
      <c r="AMK70" s="95"/>
      <c r="AML70" s="95"/>
      <c r="AMM70" s="95"/>
      <c r="AMN70" s="95"/>
      <c r="AMO70" s="95"/>
      <c r="AMP70" s="95"/>
      <c r="AMQ70" s="95"/>
      <c r="AMR70" s="95"/>
      <c r="AMS70" s="95"/>
      <c r="AMT70" s="95"/>
      <c r="AMU70" s="95"/>
      <c r="AMV70" s="95"/>
      <c r="AMW70" s="95"/>
      <c r="AMX70" s="95"/>
      <c r="AMY70" s="95"/>
      <c r="AMZ70" s="95"/>
      <c r="ANA70" s="95"/>
      <c r="ANB70" s="95"/>
      <c r="ANC70" s="95"/>
      <c r="AND70" s="95"/>
      <c r="ANE70" s="95"/>
      <c r="ANF70" s="95"/>
      <c r="ANG70" s="95"/>
      <c r="ANH70" s="95"/>
      <c r="ANI70" s="95"/>
      <c r="ANJ70" s="95"/>
      <c r="ANK70" s="95"/>
      <c r="ANL70" s="95"/>
      <c r="ANM70" s="95"/>
      <c r="ANN70" s="95"/>
      <c r="ANO70" s="95"/>
      <c r="ANP70" s="95"/>
      <c r="ANQ70" s="95"/>
      <c r="ANR70" s="95"/>
      <c r="ANS70" s="95"/>
      <c r="ANT70" s="95"/>
      <c r="ANU70" s="95"/>
      <c r="ANV70" s="95"/>
      <c r="ANW70" s="95"/>
      <c r="ANX70" s="95"/>
      <c r="ANY70" s="95"/>
      <c r="ANZ70" s="95"/>
      <c r="AOA70" s="95"/>
      <c r="AOB70" s="95"/>
      <c r="AOC70" s="95"/>
      <c r="AOD70" s="95"/>
      <c r="AOE70" s="95"/>
      <c r="AOF70" s="95"/>
      <c r="AOG70" s="95"/>
      <c r="AOH70" s="95"/>
      <c r="AOI70" s="95"/>
      <c r="AOJ70" s="95"/>
      <c r="AOK70" s="95"/>
      <c r="AOL70" s="95"/>
      <c r="AOM70" s="95"/>
      <c r="AON70" s="95"/>
      <c r="AOO70" s="95"/>
      <c r="AOP70" s="95"/>
      <c r="AOQ70" s="95"/>
      <c r="AOR70" s="95"/>
      <c r="AOS70" s="95"/>
      <c r="AOT70" s="95"/>
      <c r="AOU70" s="95"/>
      <c r="AOV70" s="95"/>
      <c r="AOW70" s="95"/>
      <c r="AOX70" s="95"/>
      <c r="AOY70" s="95"/>
      <c r="AOZ70" s="95"/>
      <c r="APA70" s="95"/>
      <c r="APB70" s="95"/>
      <c r="APC70" s="95"/>
      <c r="APD70" s="95"/>
      <c r="APE70" s="95"/>
      <c r="APF70" s="95"/>
      <c r="APG70" s="95"/>
      <c r="APH70" s="95"/>
      <c r="API70" s="95"/>
      <c r="APJ70" s="95"/>
      <c r="APK70" s="95"/>
      <c r="APL70" s="95"/>
      <c r="APM70" s="95"/>
      <c r="APN70" s="95"/>
      <c r="APO70" s="95"/>
      <c r="APP70" s="95"/>
      <c r="APQ70" s="95"/>
      <c r="APR70" s="95"/>
      <c r="APS70" s="95"/>
      <c r="APT70" s="95"/>
      <c r="APU70" s="95"/>
      <c r="APV70" s="95"/>
      <c r="APW70" s="95"/>
      <c r="APX70" s="95"/>
      <c r="APY70" s="95"/>
      <c r="APZ70" s="95"/>
      <c r="AQA70" s="95"/>
      <c r="AQB70" s="95"/>
      <c r="AQC70" s="95"/>
      <c r="AQD70" s="95"/>
      <c r="AQE70" s="95"/>
      <c r="AQF70" s="95"/>
      <c r="AQG70" s="95"/>
      <c r="AQH70" s="95"/>
      <c r="AQI70" s="95"/>
      <c r="AQJ70" s="95"/>
      <c r="AQK70" s="95"/>
      <c r="AQL70" s="95"/>
      <c r="AQM70" s="95"/>
      <c r="AQN70" s="95"/>
      <c r="AQO70" s="95"/>
      <c r="AQP70" s="95"/>
      <c r="AQQ70" s="95"/>
      <c r="AQR70" s="95"/>
      <c r="AQS70" s="95"/>
      <c r="AQT70" s="95"/>
      <c r="AQU70" s="95"/>
      <c r="AQV70" s="95"/>
      <c r="AQW70" s="95"/>
      <c r="AQX70" s="95"/>
      <c r="AQY70" s="95"/>
      <c r="AQZ70" s="95"/>
      <c r="ARA70" s="95"/>
      <c r="ARB70" s="95"/>
      <c r="ARC70" s="95"/>
      <c r="ARD70" s="95"/>
      <c r="ARE70" s="95"/>
      <c r="ARF70" s="95"/>
      <c r="ARG70" s="95"/>
      <c r="ARH70" s="95"/>
      <c r="ARI70" s="95"/>
      <c r="ARJ70" s="95"/>
      <c r="ARK70" s="95"/>
      <c r="ARL70" s="95"/>
      <c r="ARM70" s="95"/>
      <c r="ARN70" s="95"/>
      <c r="ARO70" s="95"/>
      <c r="ARP70" s="95"/>
      <c r="ARQ70" s="95"/>
      <c r="ARR70" s="95"/>
      <c r="ARS70" s="95"/>
      <c r="ART70" s="95"/>
      <c r="ARU70" s="95"/>
      <c r="ARV70" s="95"/>
      <c r="ARW70" s="95"/>
      <c r="ARX70" s="95"/>
      <c r="ARY70" s="95"/>
      <c r="ARZ70" s="95"/>
      <c r="ASA70" s="95"/>
      <c r="ASB70" s="95"/>
      <c r="ASC70" s="95"/>
      <c r="ASD70" s="95"/>
      <c r="ASE70" s="95"/>
      <c r="ASF70" s="95"/>
      <c r="ASG70" s="95"/>
      <c r="ASH70" s="95"/>
      <c r="ASI70" s="95"/>
      <c r="ASJ70" s="95"/>
      <c r="ASK70" s="95"/>
      <c r="ASL70" s="95"/>
      <c r="ASM70" s="95"/>
      <c r="ASN70" s="95"/>
      <c r="ASO70" s="95"/>
      <c r="ASP70" s="95"/>
      <c r="ASQ70" s="95"/>
      <c r="ASR70" s="95"/>
      <c r="ASS70" s="95"/>
      <c r="AST70" s="95"/>
      <c r="ASU70" s="95"/>
      <c r="ASV70" s="95"/>
      <c r="ASW70" s="95"/>
      <c r="ASX70" s="95"/>
      <c r="ASY70" s="95"/>
      <c r="ASZ70" s="95"/>
      <c r="ATA70" s="95"/>
      <c r="ATB70" s="95"/>
      <c r="ATC70" s="95"/>
      <c r="ATD70" s="95"/>
      <c r="ATE70" s="95"/>
      <c r="ATF70" s="95"/>
      <c r="ATG70" s="95"/>
      <c r="ATH70" s="95"/>
      <c r="ATI70" s="95"/>
      <c r="ATJ70" s="95"/>
      <c r="ATK70" s="95"/>
      <c r="ATL70" s="95"/>
      <c r="ATM70" s="95"/>
      <c r="ATN70" s="95"/>
      <c r="ATO70" s="95"/>
      <c r="ATP70" s="95"/>
      <c r="ATQ70" s="95"/>
      <c r="ATR70" s="95"/>
      <c r="ATS70" s="95"/>
      <c r="ATT70" s="95"/>
      <c r="ATU70" s="95"/>
      <c r="ATV70" s="95"/>
      <c r="ATW70" s="95"/>
      <c r="ATX70" s="95"/>
      <c r="ATY70" s="95"/>
      <c r="ATZ70" s="95"/>
      <c r="AUA70" s="95"/>
      <c r="AUB70" s="95"/>
      <c r="AUC70" s="95"/>
      <c r="AUD70" s="95"/>
      <c r="AUE70" s="95"/>
      <c r="AUF70" s="95"/>
      <c r="AUG70" s="95"/>
      <c r="AUH70" s="95"/>
      <c r="AUI70" s="95"/>
      <c r="AUJ70" s="95"/>
      <c r="AUK70" s="95"/>
      <c r="AUL70" s="95"/>
      <c r="AUM70" s="95"/>
      <c r="AUN70" s="95"/>
      <c r="AUO70" s="95"/>
      <c r="AUP70" s="95"/>
      <c r="AUQ70" s="95"/>
      <c r="AUR70" s="95"/>
      <c r="AUS70" s="95"/>
      <c r="AUT70" s="95"/>
      <c r="AUU70" s="95"/>
      <c r="AUV70" s="95"/>
      <c r="AUW70" s="95"/>
      <c r="AUX70" s="95"/>
      <c r="AUY70" s="95"/>
      <c r="AUZ70" s="95"/>
      <c r="AVA70" s="95"/>
      <c r="AVB70" s="95"/>
      <c r="AVC70" s="95"/>
      <c r="AVD70" s="95"/>
      <c r="AVE70" s="95"/>
      <c r="AVF70" s="95"/>
      <c r="AVG70" s="95"/>
      <c r="AVH70" s="95"/>
      <c r="AVI70" s="95"/>
      <c r="AVJ70" s="95"/>
      <c r="AVK70" s="95"/>
      <c r="AVL70" s="95"/>
      <c r="AVM70" s="95"/>
      <c r="AVN70" s="95"/>
      <c r="AVO70" s="95"/>
      <c r="AVP70" s="95"/>
      <c r="AVQ70" s="95"/>
      <c r="AVR70" s="95"/>
      <c r="AVS70" s="95"/>
      <c r="AVT70" s="95"/>
      <c r="AVU70" s="95"/>
      <c r="AVV70" s="95"/>
      <c r="AVW70" s="95"/>
      <c r="AVX70" s="95"/>
      <c r="AVY70" s="95"/>
      <c r="AVZ70" s="95"/>
      <c r="AWA70" s="95"/>
      <c r="AWB70" s="95"/>
      <c r="AWC70" s="95"/>
      <c r="AWD70" s="95"/>
      <c r="AWE70" s="95"/>
      <c r="AWF70" s="95"/>
      <c r="AWG70" s="95"/>
      <c r="AWH70" s="95"/>
      <c r="AWI70" s="95"/>
      <c r="AWJ70" s="95"/>
      <c r="AWK70" s="95"/>
      <c r="AWL70" s="95"/>
      <c r="AWM70" s="95"/>
      <c r="AWN70" s="95"/>
      <c r="AWO70" s="95"/>
      <c r="AWP70" s="95"/>
      <c r="AWQ70" s="95"/>
      <c r="AWR70" s="95"/>
      <c r="AWS70" s="95"/>
      <c r="AWT70" s="95"/>
      <c r="AWU70" s="95"/>
      <c r="AWV70" s="95"/>
      <c r="AWW70" s="95"/>
      <c r="AWX70" s="95"/>
      <c r="AWY70" s="95"/>
      <c r="AWZ70" s="95"/>
      <c r="AXA70" s="95"/>
      <c r="AXB70" s="95"/>
      <c r="AXC70" s="95"/>
      <c r="AXD70" s="95"/>
      <c r="AXE70" s="95"/>
      <c r="AXF70" s="95"/>
      <c r="AXG70" s="95"/>
      <c r="AXH70" s="95"/>
      <c r="AXI70" s="95"/>
      <c r="AXJ70" s="95"/>
      <c r="AXK70" s="95"/>
      <c r="AXL70" s="95"/>
      <c r="AXM70" s="95"/>
      <c r="AXN70" s="95"/>
      <c r="AXO70" s="95"/>
      <c r="AXP70" s="95"/>
      <c r="AXQ70" s="95"/>
      <c r="AXR70" s="95"/>
      <c r="AXS70" s="95"/>
      <c r="AXT70" s="95"/>
      <c r="AXU70" s="95"/>
      <c r="AXV70" s="95"/>
      <c r="AXW70" s="95"/>
      <c r="AXX70" s="95"/>
      <c r="AXY70" s="95"/>
      <c r="AXZ70" s="95"/>
      <c r="AYA70" s="95"/>
      <c r="AYB70" s="95"/>
      <c r="AYC70" s="95"/>
      <c r="AYD70" s="95"/>
      <c r="AYE70" s="95"/>
      <c r="AYF70" s="95"/>
      <c r="AYG70" s="95"/>
      <c r="AYH70" s="95"/>
      <c r="AYI70" s="95"/>
      <c r="AYJ70" s="95"/>
      <c r="AYK70" s="95"/>
      <c r="AYL70" s="95"/>
      <c r="AYM70" s="95"/>
      <c r="AYN70" s="95"/>
      <c r="AYO70" s="95"/>
      <c r="AYP70" s="95"/>
      <c r="AYQ70" s="95"/>
      <c r="AYR70" s="95"/>
      <c r="AYS70" s="95"/>
      <c r="AYT70" s="95"/>
      <c r="AYU70" s="95"/>
      <c r="AYV70" s="95"/>
      <c r="AYW70" s="95"/>
      <c r="AYX70" s="95"/>
      <c r="AYY70" s="95"/>
      <c r="AYZ70" s="95"/>
      <c r="AZA70" s="95"/>
      <c r="AZB70" s="95"/>
      <c r="AZC70" s="95"/>
      <c r="AZD70" s="95"/>
      <c r="AZE70" s="95"/>
      <c r="AZF70" s="95"/>
      <c r="AZG70" s="95"/>
      <c r="AZH70" s="95"/>
      <c r="AZI70" s="95"/>
      <c r="AZJ70" s="95"/>
      <c r="AZK70" s="95"/>
      <c r="AZL70" s="95"/>
      <c r="AZM70" s="95"/>
      <c r="AZN70" s="95"/>
      <c r="AZO70" s="95"/>
      <c r="AZP70" s="95"/>
      <c r="AZQ70" s="95"/>
      <c r="AZR70" s="95"/>
      <c r="AZS70" s="95"/>
      <c r="AZT70" s="95"/>
      <c r="AZU70" s="95"/>
      <c r="AZV70" s="95"/>
      <c r="AZW70" s="95"/>
      <c r="AZX70" s="95"/>
      <c r="AZY70" s="95"/>
      <c r="AZZ70" s="95"/>
      <c r="BAA70" s="95"/>
      <c r="BAB70" s="95"/>
      <c r="BAC70" s="95"/>
      <c r="BAD70" s="95"/>
      <c r="BAE70" s="95"/>
      <c r="BAF70" s="95"/>
      <c r="BAG70" s="95"/>
      <c r="BAH70" s="95"/>
      <c r="BAI70" s="95"/>
      <c r="BAJ70" s="95"/>
      <c r="BAK70" s="95"/>
      <c r="BAL70" s="95"/>
      <c r="BAM70" s="95"/>
      <c r="BAN70" s="95"/>
      <c r="BAO70" s="95"/>
      <c r="BAP70" s="95"/>
      <c r="BAQ70" s="95"/>
      <c r="BAR70" s="95"/>
      <c r="BAS70" s="95"/>
      <c r="BAT70" s="95"/>
      <c r="BAU70" s="95"/>
      <c r="BAV70" s="95"/>
      <c r="BAW70" s="95"/>
      <c r="BAX70" s="95"/>
      <c r="BAY70" s="95"/>
      <c r="BAZ70" s="95"/>
      <c r="BBA70" s="95"/>
      <c r="BBB70" s="95"/>
      <c r="BBC70" s="95"/>
      <c r="BBD70" s="95"/>
      <c r="BBE70" s="95"/>
      <c r="BBF70" s="95"/>
      <c r="BBG70" s="95"/>
      <c r="BBH70" s="95"/>
      <c r="BBI70" s="95"/>
      <c r="BBJ70" s="95"/>
      <c r="BBK70" s="95"/>
      <c r="BBL70" s="95"/>
      <c r="BBM70" s="95"/>
      <c r="BBN70" s="95"/>
      <c r="BBO70" s="95"/>
      <c r="BBP70" s="95"/>
      <c r="BBQ70" s="95"/>
      <c r="BBR70" s="95"/>
      <c r="BBS70" s="95"/>
      <c r="BBT70" s="95"/>
      <c r="BBU70" s="95"/>
      <c r="BBV70" s="95"/>
      <c r="BBW70" s="95"/>
      <c r="BBX70" s="95"/>
      <c r="BBY70" s="95"/>
      <c r="BBZ70" s="95"/>
      <c r="BCA70" s="95"/>
      <c r="BCB70" s="95"/>
      <c r="BCC70" s="95"/>
      <c r="BCD70" s="95"/>
      <c r="BCE70" s="95"/>
      <c r="BCF70" s="95"/>
      <c r="BCG70" s="95"/>
      <c r="BCH70" s="95"/>
      <c r="BCI70" s="95"/>
      <c r="BCJ70" s="95"/>
      <c r="BCK70" s="95"/>
      <c r="BCL70" s="95"/>
      <c r="BCM70" s="95"/>
      <c r="BCN70" s="95"/>
      <c r="BCO70" s="95"/>
      <c r="BCP70" s="95"/>
      <c r="BCQ70" s="95"/>
      <c r="BCR70" s="95"/>
      <c r="BCS70" s="95"/>
      <c r="BCT70" s="95"/>
      <c r="BCU70" s="95"/>
      <c r="BCV70" s="95"/>
      <c r="BCW70" s="95"/>
      <c r="BCX70" s="95"/>
      <c r="BCY70" s="95"/>
      <c r="BCZ70" s="95"/>
      <c r="BDA70" s="95"/>
      <c r="BDB70" s="95"/>
      <c r="BDC70" s="95"/>
      <c r="BDD70" s="95"/>
      <c r="BDE70" s="95"/>
      <c r="BDF70" s="95"/>
      <c r="BDG70" s="95"/>
      <c r="BDH70" s="95"/>
      <c r="BDI70" s="95"/>
      <c r="BDJ70" s="95"/>
      <c r="BDK70" s="95"/>
      <c r="BDL70" s="95"/>
      <c r="BDM70" s="95"/>
      <c r="BDN70" s="95"/>
      <c r="BDO70" s="95"/>
      <c r="BDP70" s="95"/>
      <c r="BDQ70" s="95"/>
      <c r="BDR70" s="95"/>
      <c r="BDS70" s="95"/>
      <c r="BDT70" s="95"/>
      <c r="BDU70" s="95"/>
      <c r="BDV70" s="95"/>
      <c r="BDW70" s="95"/>
      <c r="BDX70" s="95"/>
      <c r="BDY70" s="95"/>
      <c r="BDZ70" s="95"/>
      <c r="BEA70" s="95"/>
      <c r="BEB70" s="95"/>
      <c r="BEC70" s="95"/>
      <c r="BED70" s="95"/>
      <c r="BEE70" s="95"/>
      <c r="BEF70" s="95"/>
      <c r="BEG70" s="95"/>
      <c r="BEH70" s="95"/>
      <c r="BEI70" s="95"/>
      <c r="BEJ70" s="95"/>
      <c r="BEK70" s="95"/>
      <c r="BEL70" s="95"/>
      <c r="BEM70" s="95"/>
      <c r="BEN70" s="95"/>
      <c r="BEO70" s="95"/>
      <c r="BEP70" s="95"/>
      <c r="BEQ70" s="95"/>
      <c r="BER70" s="95"/>
      <c r="BES70" s="95"/>
      <c r="BET70" s="95"/>
      <c r="BEU70" s="95"/>
      <c r="BEV70" s="95"/>
      <c r="BEW70" s="95"/>
      <c r="BEX70" s="95"/>
      <c r="BEY70" s="95"/>
      <c r="BEZ70" s="95"/>
      <c r="BFA70" s="95"/>
      <c r="BFB70" s="95"/>
      <c r="BFC70" s="95"/>
      <c r="BFD70" s="95"/>
      <c r="BFE70" s="95"/>
      <c r="BFF70" s="95"/>
      <c r="BFG70" s="95"/>
      <c r="BFH70" s="95"/>
      <c r="BFI70" s="95"/>
      <c r="BFJ70" s="95"/>
      <c r="BFK70" s="95"/>
      <c r="BFL70" s="95"/>
      <c r="BFM70" s="95"/>
      <c r="BFN70" s="95"/>
      <c r="BFO70" s="95"/>
      <c r="BFP70" s="95"/>
      <c r="BFQ70" s="95"/>
      <c r="BFR70" s="95"/>
      <c r="BFS70" s="95"/>
      <c r="BFT70" s="95"/>
      <c r="BFU70" s="95"/>
      <c r="BFV70" s="95"/>
      <c r="BFW70" s="95"/>
      <c r="BFX70" s="95"/>
      <c r="BFY70" s="95"/>
      <c r="BFZ70" s="95"/>
      <c r="BGA70" s="95"/>
      <c r="BGB70" s="95"/>
      <c r="BGC70" s="95"/>
      <c r="BGD70" s="95"/>
      <c r="BGE70" s="95"/>
      <c r="BGF70" s="95"/>
      <c r="BGG70" s="95"/>
      <c r="BGH70" s="95"/>
      <c r="BGI70" s="95"/>
      <c r="BGJ70" s="95"/>
      <c r="BGK70" s="95"/>
      <c r="BGL70" s="95"/>
      <c r="BGM70" s="95"/>
      <c r="BGN70" s="95"/>
      <c r="BGO70" s="95"/>
      <c r="BGP70" s="95"/>
      <c r="BGQ70" s="95"/>
      <c r="BGR70" s="95"/>
      <c r="BGS70" s="95"/>
      <c r="BGT70" s="95"/>
      <c r="BGU70" s="95"/>
      <c r="BGV70" s="95"/>
      <c r="BGW70" s="95"/>
      <c r="BGX70" s="95"/>
      <c r="BGY70" s="95"/>
      <c r="BGZ70" s="95"/>
      <c r="BHA70" s="95"/>
      <c r="BHB70" s="95"/>
      <c r="BHC70" s="95"/>
      <c r="BHD70" s="95"/>
      <c r="BHE70" s="95"/>
      <c r="BHF70" s="95"/>
      <c r="BHG70" s="95"/>
      <c r="BHH70" s="95"/>
      <c r="BHI70" s="95"/>
      <c r="BHJ70" s="95"/>
      <c r="BHK70" s="95"/>
      <c r="BHL70" s="95"/>
      <c r="BHM70" s="95"/>
      <c r="BHN70" s="95"/>
      <c r="BHO70" s="95"/>
      <c r="BHP70" s="95"/>
      <c r="BHQ70" s="95"/>
      <c r="BHR70" s="95"/>
      <c r="BHS70" s="95"/>
      <c r="BHT70" s="95"/>
      <c r="BHU70" s="95"/>
      <c r="BHV70" s="95"/>
      <c r="BHW70" s="95"/>
      <c r="BHX70" s="95"/>
      <c r="BHY70" s="95"/>
      <c r="BHZ70" s="95"/>
      <c r="BIA70" s="95"/>
      <c r="BIB70" s="95"/>
      <c r="BIC70" s="95"/>
      <c r="BID70" s="95"/>
      <c r="BIE70" s="95"/>
      <c r="BIF70" s="95"/>
      <c r="BIG70" s="95"/>
      <c r="BIH70" s="95"/>
      <c r="BII70" s="95"/>
      <c r="BIJ70" s="95"/>
      <c r="BIK70" s="95"/>
      <c r="BIL70" s="95"/>
      <c r="BIM70" s="95"/>
      <c r="BIN70" s="95"/>
      <c r="BIO70" s="95"/>
      <c r="BIP70" s="95"/>
      <c r="BIQ70" s="95"/>
      <c r="BIR70" s="95"/>
      <c r="BIS70" s="95"/>
      <c r="BIT70" s="95"/>
      <c r="BIU70" s="95"/>
      <c r="BIV70" s="95"/>
      <c r="BIW70" s="95"/>
      <c r="BIX70" s="95"/>
      <c r="BIY70" s="95"/>
      <c r="BIZ70" s="95"/>
      <c r="BJA70" s="95"/>
      <c r="BJB70" s="95"/>
      <c r="BJC70" s="95"/>
      <c r="BJD70" s="95"/>
      <c r="BJE70" s="95"/>
      <c r="BJF70" s="95"/>
      <c r="BJG70" s="95"/>
      <c r="BJH70" s="95"/>
      <c r="BJI70" s="95"/>
      <c r="BJJ70" s="95"/>
      <c r="BJK70" s="95"/>
      <c r="BJL70" s="95"/>
      <c r="BJM70" s="95"/>
      <c r="BJN70" s="95"/>
      <c r="BJO70" s="95"/>
      <c r="BJP70" s="95"/>
      <c r="BJQ70" s="95"/>
      <c r="BJR70" s="95"/>
      <c r="BJS70" s="95"/>
      <c r="BJT70" s="95"/>
      <c r="BJU70" s="95"/>
      <c r="BJV70" s="95"/>
      <c r="BJW70" s="95"/>
      <c r="BJX70" s="95"/>
      <c r="BJY70" s="95"/>
      <c r="BJZ70" s="95"/>
      <c r="BKA70" s="95"/>
      <c r="BKB70" s="95"/>
      <c r="BKC70" s="95"/>
      <c r="BKD70" s="95"/>
      <c r="BKE70" s="95"/>
      <c r="BKF70" s="95"/>
      <c r="BKG70" s="95"/>
      <c r="BKH70" s="95"/>
      <c r="BKI70" s="95"/>
      <c r="BKJ70" s="95"/>
      <c r="BKK70" s="95"/>
      <c r="BKL70" s="95"/>
      <c r="BKM70" s="95"/>
      <c r="BKN70" s="95"/>
      <c r="BKO70" s="95"/>
      <c r="BKP70" s="95"/>
      <c r="BKQ70" s="95"/>
      <c r="BKR70" s="95"/>
      <c r="BKS70" s="95"/>
      <c r="BKT70" s="95"/>
      <c r="BKU70" s="95"/>
      <c r="BKV70" s="95"/>
      <c r="BKW70" s="95"/>
      <c r="BKX70" s="95"/>
      <c r="BKY70" s="95"/>
      <c r="BKZ70" s="95"/>
      <c r="BLA70" s="95"/>
      <c r="BLB70" s="95"/>
      <c r="BLC70" s="95"/>
      <c r="BLD70" s="95"/>
      <c r="BLE70" s="95"/>
      <c r="BLF70" s="95"/>
      <c r="BLG70" s="95"/>
      <c r="BLH70" s="95"/>
      <c r="BLI70" s="95"/>
      <c r="BLJ70" s="95"/>
      <c r="BLK70" s="95"/>
      <c r="BLL70" s="95"/>
      <c r="BLM70" s="95"/>
      <c r="BLN70" s="95"/>
      <c r="BLO70" s="95"/>
      <c r="BLP70" s="95"/>
      <c r="BLQ70" s="95"/>
      <c r="BLR70" s="95"/>
      <c r="BLS70" s="95"/>
      <c r="BLT70" s="95"/>
      <c r="BLU70" s="95"/>
      <c r="BLV70" s="95"/>
      <c r="BLW70" s="95"/>
      <c r="BLX70" s="95"/>
      <c r="BLY70" s="95"/>
      <c r="BLZ70" s="95"/>
      <c r="BMA70" s="95"/>
      <c r="BMB70" s="95"/>
      <c r="BMC70" s="95"/>
      <c r="BMD70" s="95"/>
      <c r="BME70" s="95"/>
      <c r="BMF70" s="95"/>
      <c r="BMG70" s="95"/>
      <c r="BMH70" s="95"/>
      <c r="BMI70" s="95"/>
      <c r="BMJ70" s="95"/>
      <c r="BMK70" s="95"/>
      <c r="BML70" s="95"/>
      <c r="BMM70" s="95"/>
      <c r="BMN70" s="95"/>
      <c r="BMO70" s="95"/>
      <c r="BMP70" s="95"/>
      <c r="BMQ70" s="95"/>
      <c r="BMR70" s="95"/>
      <c r="BMS70" s="95"/>
      <c r="BMT70" s="95"/>
      <c r="BMU70" s="95"/>
      <c r="BMV70" s="95"/>
      <c r="BMW70" s="95"/>
      <c r="BMX70" s="95"/>
      <c r="BMY70" s="95"/>
      <c r="BMZ70" s="95"/>
      <c r="BNA70" s="95"/>
      <c r="BNB70" s="95"/>
      <c r="BNC70" s="95"/>
      <c r="BND70" s="95"/>
      <c r="BNE70" s="95"/>
      <c r="BNF70" s="95"/>
      <c r="BNG70" s="95"/>
      <c r="BNH70" s="95"/>
      <c r="BNI70" s="95"/>
      <c r="BNJ70" s="95"/>
      <c r="BNK70" s="95"/>
      <c r="BNL70" s="95"/>
      <c r="BNM70" s="95"/>
      <c r="BNN70" s="95"/>
      <c r="BNO70" s="95"/>
      <c r="BNP70" s="95"/>
      <c r="BNQ70" s="95"/>
      <c r="BNR70" s="95"/>
      <c r="BNS70" s="95"/>
      <c r="BNT70" s="95"/>
      <c r="BNU70" s="95"/>
      <c r="BNV70" s="95"/>
      <c r="BNW70" s="95"/>
      <c r="BNX70" s="95"/>
      <c r="BNY70" s="95"/>
      <c r="BNZ70" s="95"/>
      <c r="BOA70" s="95"/>
      <c r="BOB70" s="95"/>
      <c r="BOC70" s="95"/>
      <c r="BOD70" s="95"/>
      <c r="BOE70" s="95"/>
      <c r="BOF70" s="95"/>
      <c r="BOG70" s="95"/>
      <c r="BOH70" s="95"/>
      <c r="BOI70" s="95"/>
      <c r="BOJ70" s="95"/>
      <c r="BOK70" s="95"/>
      <c r="BOL70" s="95"/>
      <c r="BOM70" s="95"/>
      <c r="BON70" s="95"/>
      <c r="BOO70" s="95"/>
      <c r="BOP70" s="95"/>
      <c r="BOQ70" s="95"/>
      <c r="BOR70" s="95"/>
      <c r="BOS70" s="95"/>
      <c r="BOT70" s="95"/>
      <c r="BOU70" s="95"/>
      <c r="BOV70" s="95"/>
      <c r="BOW70" s="95"/>
      <c r="BOX70" s="95"/>
      <c r="BOY70" s="95"/>
      <c r="BOZ70" s="95"/>
      <c r="BPA70" s="95"/>
      <c r="BPB70" s="95"/>
      <c r="BPC70" s="95"/>
      <c r="BPD70" s="95"/>
      <c r="BPE70" s="95"/>
      <c r="BPF70" s="95"/>
      <c r="BPG70" s="95"/>
      <c r="BPH70" s="95"/>
      <c r="BPI70" s="95"/>
      <c r="BPJ70" s="95"/>
      <c r="BPK70" s="95"/>
      <c r="BPL70" s="95"/>
      <c r="BPM70" s="95"/>
      <c r="BPN70" s="95"/>
      <c r="BPO70" s="95"/>
      <c r="BPP70" s="95"/>
      <c r="BPQ70" s="95"/>
      <c r="BPR70" s="95"/>
      <c r="BPS70" s="95"/>
      <c r="BPT70" s="95"/>
      <c r="BPU70" s="95"/>
      <c r="BPV70" s="95"/>
      <c r="BPW70" s="95"/>
      <c r="BPX70" s="95"/>
      <c r="BPY70" s="95"/>
      <c r="BPZ70" s="95"/>
      <c r="BQA70" s="95"/>
      <c r="BQB70" s="95"/>
      <c r="BQC70" s="95"/>
      <c r="BQD70" s="95"/>
      <c r="BQE70" s="95"/>
      <c r="BQF70" s="95"/>
      <c r="BQG70" s="95"/>
      <c r="BQH70" s="95"/>
      <c r="BQI70" s="95"/>
      <c r="BQJ70" s="95"/>
      <c r="BQK70" s="95"/>
      <c r="BQL70" s="95"/>
      <c r="BQM70" s="95"/>
      <c r="BQN70" s="95"/>
      <c r="BQO70" s="95"/>
      <c r="BQP70" s="95"/>
      <c r="BQQ70" s="95"/>
      <c r="BQR70" s="95"/>
      <c r="BQS70" s="95"/>
      <c r="BQT70" s="95"/>
      <c r="BQU70" s="95"/>
      <c r="BQV70" s="95"/>
      <c r="BQW70" s="95"/>
      <c r="BQX70" s="95"/>
      <c r="BQY70" s="95"/>
      <c r="BQZ70" s="95"/>
      <c r="BRA70" s="95"/>
      <c r="BRB70" s="95"/>
      <c r="BRC70" s="95"/>
      <c r="BRD70" s="95"/>
      <c r="BRE70" s="95"/>
      <c r="BRF70" s="95"/>
      <c r="BRG70" s="95"/>
      <c r="BRH70" s="95"/>
      <c r="BRI70" s="95"/>
      <c r="BRJ70" s="95"/>
      <c r="BRK70" s="95"/>
      <c r="BRL70" s="95"/>
      <c r="BRM70" s="95"/>
      <c r="BRN70" s="95"/>
      <c r="BRO70" s="95"/>
      <c r="BRP70" s="95"/>
      <c r="BRQ70" s="95"/>
      <c r="BRR70" s="95"/>
      <c r="BRS70" s="95"/>
      <c r="BRT70" s="95"/>
      <c r="BRU70" s="95"/>
      <c r="BRV70" s="95"/>
      <c r="BRW70" s="95"/>
      <c r="BRX70" s="95"/>
      <c r="BRY70" s="95"/>
      <c r="BRZ70" s="95"/>
      <c r="BSA70" s="95"/>
      <c r="BSB70" s="95"/>
      <c r="BSC70" s="95"/>
      <c r="BSD70" s="95"/>
      <c r="BSE70" s="95"/>
      <c r="BSF70" s="95"/>
      <c r="BSG70" s="95"/>
      <c r="BSH70" s="95"/>
      <c r="BSI70" s="95"/>
      <c r="BSJ70" s="95"/>
      <c r="BSK70" s="95"/>
      <c r="BSL70" s="95"/>
      <c r="BSM70" s="95"/>
      <c r="BSN70" s="95"/>
      <c r="BSO70" s="95"/>
      <c r="BSP70" s="95"/>
      <c r="BSQ70" s="95"/>
      <c r="BSR70" s="95"/>
      <c r="BSS70" s="95"/>
      <c r="BST70" s="95"/>
      <c r="BSU70" s="95"/>
      <c r="BSV70" s="95"/>
      <c r="BSW70" s="95"/>
      <c r="BSX70" s="95"/>
      <c r="BSY70" s="95"/>
      <c r="BSZ70" s="95"/>
      <c r="BTA70" s="95"/>
      <c r="BTB70" s="95"/>
      <c r="BTC70" s="95"/>
      <c r="BTD70" s="95"/>
      <c r="BTE70" s="95"/>
      <c r="BTF70" s="95"/>
      <c r="BTG70" s="95"/>
      <c r="BTH70" s="95"/>
      <c r="BTI70" s="95"/>
      <c r="BTJ70" s="95"/>
      <c r="BTK70" s="95"/>
      <c r="BTL70" s="95"/>
      <c r="BTM70" s="95"/>
      <c r="BTN70" s="95"/>
      <c r="BTO70" s="95"/>
      <c r="BTP70" s="95"/>
      <c r="BTQ70" s="95"/>
      <c r="BTR70" s="95"/>
      <c r="BTS70" s="95"/>
      <c r="BTT70" s="95"/>
      <c r="BTU70" s="95"/>
      <c r="BTV70" s="95"/>
      <c r="BTW70" s="95"/>
      <c r="BTX70" s="95"/>
      <c r="BTY70" s="95"/>
      <c r="BTZ70" s="95"/>
      <c r="BUA70" s="95"/>
      <c r="BUB70" s="95"/>
      <c r="BUC70" s="95"/>
      <c r="BUD70" s="95"/>
      <c r="BUE70" s="95"/>
      <c r="BUF70" s="95"/>
      <c r="BUG70" s="95"/>
      <c r="BUH70" s="95"/>
      <c r="BUI70" s="95"/>
      <c r="BUJ70" s="95"/>
      <c r="BUK70" s="95"/>
      <c r="BUL70" s="95"/>
      <c r="BUM70" s="95"/>
      <c r="BUN70" s="95"/>
      <c r="BUO70" s="95"/>
      <c r="BUP70" s="95"/>
      <c r="BUQ70" s="95"/>
      <c r="BUR70" s="95"/>
      <c r="BUS70" s="95"/>
      <c r="BUT70" s="95"/>
      <c r="BUU70" s="95"/>
      <c r="BUV70" s="95"/>
      <c r="BUW70" s="95"/>
      <c r="BUX70" s="95"/>
      <c r="BUY70" s="95"/>
      <c r="BUZ70" s="95"/>
      <c r="BVA70" s="95"/>
      <c r="BVB70" s="95"/>
      <c r="BVC70" s="95"/>
      <c r="BVD70" s="95"/>
      <c r="BVE70" s="95"/>
      <c r="BVF70" s="95"/>
      <c r="BVG70" s="95"/>
      <c r="BVH70" s="95"/>
      <c r="BVI70" s="95"/>
      <c r="BVJ70" s="95"/>
      <c r="BVK70" s="95"/>
      <c r="BVL70" s="95"/>
      <c r="BVM70" s="95"/>
      <c r="BVN70" s="95"/>
      <c r="BVO70" s="95"/>
      <c r="BVP70" s="95"/>
      <c r="BVQ70" s="95"/>
      <c r="BVR70" s="95"/>
      <c r="BVS70" s="95"/>
      <c r="BVT70" s="95"/>
      <c r="BVU70" s="95"/>
      <c r="BVV70" s="95"/>
      <c r="BVW70" s="95"/>
      <c r="BVX70" s="95"/>
      <c r="BVY70" s="95"/>
      <c r="BVZ70" s="95"/>
      <c r="BWA70" s="95"/>
      <c r="BWB70" s="95"/>
      <c r="BWC70" s="95"/>
      <c r="BWD70" s="95"/>
      <c r="BWE70" s="95"/>
      <c r="BWF70" s="95"/>
      <c r="BWG70" s="95"/>
      <c r="BWH70" s="95"/>
      <c r="BWI70" s="95"/>
      <c r="BWJ70" s="95"/>
      <c r="BWK70" s="95"/>
      <c r="BWL70" s="95"/>
      <c r="BWM70" s="95"/>
      <c r="BWN70" s="95"/>
      <c r="BWO70" s="95"/>
      <c r="BWP70" s="95"/>
      <c r="BWQ70" s="95"/>
      <c r="BWR70" s="95"/>
      <c r="BWS70" s="95"/>
      <c r="BWT70" s="95"/>
      <c r="BWU70" s="95"/>
      <c r="BWV70" s="95"/>
      <c r="BWW70" s="95"/>
      <c r="BWX70" s="95"/>
      <c r="BWY70" s="95"/>
      <c r="BWZ70" s="95"/>
      <c r="BXA70" s="95"/>
      <c r="BXB70" s="95"/>
      <c r="BXC70" s="95"/>
      <c r="BXD70" s="95"/>
      <c r="BXE70" s="95"/>
      <c r="BXF70" s="95"/>
      <c r="BXG70" s="95"/>
      <c r="BXH70" s="95"/>
      <c r="BXI70" s="95"/>
      <c r="BXJ70" s="95"/>
      <c r="BXK70" s="95"/>
      <c r="BXL70" s="95"/>
      <c r="BXM70" s="95"/>
      <c r="BXN70" s="95"/>
      <c r="BXO70" s="95"/>
      <c r="BXP70" s="95"/>
      <c r="BXQ70" s="95"/>
      <c r="BXR70" s="95"/>
      <c r="BXS70" s="95"/>
      <c r="BXT70" s="95"/>
      <c r="BXU70" s="95"/>
      <c r="BXV70" s="95"/>
      <c r="BXW70" s="95"/>
      <c r="BXX70" s="95"/>
      <c r="BXY70" s="95"/>
      <c r="BXZ70" s="95"/>
      <c r="BYA70" s="95"/>
      <c r="BYB70" s="95"/>
      <c r="BYC70" s="95"/>
      <c r="BYD70" s="95"/>
      <c r="BYE70" s="95"/>
      <c r="BYF70" s="95"/>
      <c r="BYG70" s="95"/>
    </row>
    <row r="71" spans="1:2009" s="96" customFormat="1" ht="10.5" customHeight="1" x14ac:dyDescent="0.25">
      <c r="A71" s="122"/>
      <c r="B71" s="122"/>
      <c r="C71" s="191"/>
      <c r="D71" s="191"/>
      <c r="E71" s="191"/>
      <c r="F71" s="191"/>
      <c r="G71" s="703"/>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95"/>
      <c r="JN71" s="95"/>
      <c r="JO71" s="95"/>
      <c r="JP71" s="95"/>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95"/>
      <c r="KO71" s="95"/>
      <c r="KP71" s="95"/>
      <c r="KQ71" s="95"/>
      <c r="KR71" s="95"/>
      <c r="KS71" s="95"/>
      <c r="KT71" s="95"/>
      <c r="KU71" s="95"/>
      <c r="KV71" s="95"/>
      <c r="KW71" s="95"/>
      <c r="KX71" s="95"/>
      <c r="KY71" s="95"/>
      <c r="KZ71" s="95"/>
      <c r="LA71" s="95"/>
      <c r="LB71" s="95"/>
      <c r="LC71" s="95"/>
      <c r="LD71" s="95"/>
      <c r="LE71" s="95"/>
      <c r="LF71" s="95"/>
      <c r="LG71" s="95"/>
      <c r="LH71" s="95"/>
      <c r="LI71" s="95"/>
      <c r="LJ71" s="95"/>
      <c r="LK71" s="95"/>
      <c r="LL71" s="95"/>
      <c r="LM71" s="95"/>
      <c r="LN71" s="95"/>
      <c r="LO71" s="95"/>
      <c r="LP71" s="95"/>
      <c r="LQ71" s="95"/>
      <c r="LR71" s="95"/>
      <c r="LS71" s="95"/>
      <c r="LT71" s="95"/>
      <c r="LU71" s="95"/>
      <c r="LV71" s="95"/>
      <c r="LW71" s="95"/>
      <c r="LX71" s="95"/>
      <c r="LY71" s="95"/>
      <c r="LZ71" s="95"/>
      <c r="MA71" s="95"/>
      <c r="MB71" s="95"/>
      <c r="MC71" s="95"/>
      <c r="MD71" s="95"/>
      <c r="ME71" s="95"/>
      <c r="MF71" s="95"/>
      <c r="MG71" s="95"/>
      <c r="MH71" s="95"/>
      <c r="MI71" s="95"/>
      <c r="MJ71" s="95"/>
      <c r="MK71" s="95"/>
      <c r="ML71" s="95"/>
      <c r="MM71" s="95"/>
      <c r="MN71" s="95"/>
      <c r="MO71" s="95"/>
      <c r="MP71" s="95"/>
      <c r="MQ71" s="95"/>
      <c r="MR71" s="95"/>
      <c r="MS71" s="95"/>
      <c r="MT71" s="95"/>
      <c r="MU71" s="95"/>
      <c r="MV71" s="95"/>
      <c r="MW71" s="95"/>
      <c r="MX71" s="95"/>
      <c r="MY71" s="95"/>
      <c r="MZ71" s="95"/>
      <c r="NA71" s="95"/>
      <c r="NB71" s="95"/>
      <c r="NC71" s="95"/>
      <c r="ND71" s="95"/>
      <c r="NE71" s="95"/>
      <c r="NF71" s="95"/>
      <c r="NG71" s="95"/>
      <c r="NH71" s="95"/>
      <c r="NI71" s="95"/>
      <c r="NJ71" s="95"/>
      <c r="NK71" s="95"/>
      <c r="NL71" s="95"/>
      <c r="NM71" s="95"/>
      <c r="NN71" s="95"/>
      <c r="NO71" s="95"/>
      <c r="NP71" s="95"/>
      <c r="NQ71" s="95"/>
      <c r="NR71" s="95"/>
      <c r="NS71" s="95"/>
      <c r="NT71" s="95"/>
      <c r="NU71" s="95"/>
      <c r="NV71" s="95"/>
      <c r="NW71" s="95"/>
      <c r="NX71" s="95"/>
      <c r="NY71" s="95"/>
      <c r="NZ71" s="95"/>
      <c r="OA71" s="95"/>
      <c r="OB71" s="95"/>
      <c r="OC71" s="95"/>
      <c r="OD71" s="95"/>
      <c r="OE71" s="95"/>
      <c r="OF71" s="95"/>
      <c r="OG71" s="95"/>
      <c r="OH71" s="95"/>
      <c r="OI71" s="95"/>
      <c r="OJ71" s="95"/>
      <c r="OK71" s="95"/>
      <c r="OL71" s="95"/>
      <c r="OM71" s="95"/>
      <c r="ON71" s="95"/>
      <c r="OO71" s="95"/>
      <c r="OP71" s="95"/>
      <c r="OQ71" s="95"/>
      <c r="OR71" s="95"/>
      <c r="OS71" s="95"/>
      <c r="OT71" s="95"/>
      <c r="OU71" s="95"/>
      <c r="OV71" s="95"/>
      <c r="OW71" s="95"/>
      <c r="OX71" s="95"/>
      <c r="OY71" s="95"/>
      <c r="OZ71" s="95"/>
      <c r="PA71" s="95"/>
      <c r="PB71" s="95"/>
      <c r="PC71" s="95"/>
      <c r="PD71" s="95"/>
      <c r="PE71" s="95"/>
      <c r="PF71" s="95"/>
      <c r="PG71" s="95"/>
      <c r="PH71" s="95"/>
      <c r="PI71" s="95"/>
      <c r="PJ71" s="95"/>
      <c r="PK71" s="95"/>
      <c r="PL71" s="95"/>
      <c r="PM71" s="95"/>
      <c r="PN71" s="95"/>
      <c r="PO71" s="95"/>
      <c r="PP71" s="95"/>
      <c r="PQ71" s="95"/>
      <c r="PR71" s="95"/>
      <c r="PS71" s="95"/>
      <c r="PT71" s="95"/>
      <c r="PU71" s="95"/>
      <c r="PV71" s="95"/>
      <c r="PW71" s="95"/>
      <c r="PX71" s="95"/>
      <c r="PY71" s="95"/>
      <c r="PZ71" s="95"/>
      <c r="QA71" s="95"/>
      <c r="QB71" s="95"/>
      <c r="QC71" s="95"/>
      <c r="QD71" s="95"/>
      <c r="QE71" s="95"/>
      <c r="QF71" s="95"/>
      <c r="QG71" s="95"/>
      <c r="QH71" s="95"/>
      <c r="QI71" s="95"/>
      <c r="QJ71" s="95"/>
      <c r="QK71" s="95"/>
      <c r="QL71" s="95"/>
      <c r="QM71" s="95"/>
      <c r="QN71" s="95"/>
      <c r="QO71" s="95"/>
      <c r="QP71" s="95"/>
      <c r="QQ71" s="95"/>
      <c r="QR71" s="95"/>
      <c r="QS71" s="95"/>
      <c r="QT71" s="95"/>
      <c r="QU71" s="95"/>
      <c r="QV71" s="95"/>
      <c r="QW71" s="95"/>
      <c r="QX71" s="95"/>
      <c r="QY71" s="95"/>
      <c r="QZ71" s="95"/>
      <c r="RA71" s="95"/>
      <c r="RB71" s="95"/>
      <c r="RC71" s="95"/>
      <c r="RD71" s="95"/>
      <c r="RE71" s="95"/>
      <c r="RF71" s="95"/>
      <c r="RG71" s="95"/>
      <c r="RH71" s="95"/>
      <c r="RI71" s="95"/>
      <c r="RJ71" s="95"/>
      <c r="RK71" s="95"/>
      <c r="RL71" s="95"/>
      <c r="RM71" s="95"/>
      <c r="RN71" s="95"/>
      <c r="RO71" s="95"/>
      <c r="RP71" s="95"/>
      <c r="RQ71" s="95"/>
      <c r="RR71" s="95"/>
      <c r="RS71" s="95"/>
      <c r="RT71" s="95"/>
      <c r="RU71" s="95"/>
      <c r="RV71" s="95"/>
      <c r="RW71" s="95"/>
      <c r="RX71" s="95"/>
      <c r="RY71" s="95"/>
      <c r="RZ71" s="95"/>
      <c r="SA71" s="95"/>
      <c r="SB71" s="95"/>
      <c r="SC71" s="95"/>
      <c r="SD71" s="95"/>
      <c r="SE71" s="95"/>
      <c r="SF71" s="95"/>
      <c r="SG71" s="95"/>
      <c r="SH71" s="95"/>
      <c r="SI71" s="95"/>
      <c r="SJ71" s="95"/>
      <c r="SK71" s="95"/>
      <c r="SL71" s="95"/>
      <c r="SM71" s="95"/>
      <c r="SN71" s="95"/>
      <c r="SO71" s="95"/>
      <c r="SP71" s="95"/>
      <c r="SQ71" s="95"/>
      <c r="SR71" s="95"/>
      <c r="SS71" s="95"/>
      <c r="ST71" s="95"/>
      <c r="SU71" s="95"/>
      <c r="SV71" s="95"/>
      <c r="SW71" s="95"/>
      <c r="SX71" s="95"/>
      <c r="SY71" s="95"/>
      <c r="SZ71" s="95"/>
      <c r="TA71" s="95"/>
      <c r="TB71" s="95"/>
      <c r="TC71" s="95"/>
      <c r="TD71" s="95"/>
      <c r="TE71" s="95"/>
      <c r="TF71" s="95"/>
      <c r="TG71" s="95"/>
      <c r="TH71" s="95"/>
      <c r="TI71" s="95"/>
      <c r="TJ71" s="95"/>
      <c r="TK71" s="95"/>
      <c r="TL71" s="95"/>
      <c r="TM71" s="95"/>
      <c r="TN71" s="95"/>
      <c r="TO71" s="95"/>
      <c r="TP71" s="95"/>
      <c r="TQ71" s="95"/>
      <c r="TR71" s="95"/>
      <c r="TS71" s="95"/>
      <c r="TT71" s="95"/>
      <c r="TU71" s="95"/>
      <c r="TV71" s="95"/>
      <c r="TW71" s="95"/>
      <c r="TX71" s="95"/>
      <c r="TY71" s="95"/>
      <c r="TZ71" s="95"/>
      <c r="UA71" s="95"/>
      <c r="UB71" s="95"/>
      <c r="UC71" s="95"/>
      <c r="UD71" s="95"/>
      <c r="UE71" s="95"/>
      <c r="UF71" s="95"/>
      <c r="UG71" s="95"/>
      <c r="UH71" s="95"/>
      <c r="UI71" s="95"/>
      <c r="UJ71" s="95"/>
      <c r="UK71" s="95"/>
      <c r="UL71" s="95"/>
      <c r="UM71" s="95"/>
      <c r="UN71" s="95"/>
      <c r="UO71" s="95"/>
      <c r="UP71" s="95"/>
      <c r="UQ71" s="95"/>
      <c r="UR71" s="95"/>
      <c r="US71" s="95"/>
      <c r="UT71" s="95"/>
      <c r="UU71" s="95"/>
      <c r="UV71" s="95"/>
      <c r="UW71" s="95"/>
      <c r="UX71" s="95"/>
      <c r="UY71" s="95"/>
      <c r="UZ71" s="95"/>
      <c r="VA71" s="95"/>
      <c r="VB71" s="95"/>
      <c r="VC71" s="95"/>
      <c r="VD71" s="95"/>
      <c r="VE71" s="95"/>
      <c r="VF71" s="95"/>
      <c r="VG71" s="95"/>
      <c r="VH71" s="95"/>
      <c r="VI71" s="95"/>
      <c r="VJ71" s="95"/>
      <c r="VK71" s="95"/>
      <c r="VL71" s="95"/>
      <c r="VM71" s="95"/>
      <c r="VN71" s="95"/>
      <c r="VO71" s="95"/>
      <c r="VP71" s="95"/>
      <c r="VQ71" s="95"/>
      <c r="VR71" s="95"/>
      <c r="VS71" s="95"/>
      <c r="VT71" s="95"/>
      <c r="VU71" s="95"/>
      <c r="VV71" s="95"/>
      <c r="VW71" s="95"/>
      <c r="VX71" s="95"/>
      <c r="VY71" s="95"/>
      <c r="VZ71" s="95"/>
      <c r="WA71" s="95"/>
      <c r="WB71" s="95"/>
      <c r="WC71" s="95"/>
      <c r="WD71" s="95"/>
      <c r="WE71" s="95"/>
      <c r="WF71" s="95"/>
      <c r="WG71" s="95"/>
      <c r="WH71" s="95"/>
      <c r="WI71" s="95"/>
      <c r="WJ71" s="95"/>
      <c r="WK71" s="95"/>
      <c r="WL71" s="95"/>
      <c r="WM71" s="95"/>
      <c r="WN71" s="95"/>
      <c r="WO71" s="95"/>
      <c r="WP71" s="95"/>
      <c r="WQ71" s="95"/>
      <c r="WR71" s="95"/>
      <c r="WS71" s="95"/>
      <c r="WT71" s="95"/>
      <c r="WU71" s="95"/>
      <c r="WV71" s="95"/>
      <c r="WW71" s="95"/>
      <c r="WX71" s="95"/>
      <c r="WY71" s="95"/>
      <c r="WZ71" s="95"/>
      <c r="XA71" s="95"/>
      <c r="XB71" s="95"/>
      <c r="XC71" s="95"/>
      <c r="XD71" s="95"/>
      <c r="XE71" s="95"/>
      <c r="XF71" s="95"/>
      <c r="XG71" s="95"/>
      <c r="XH71" s="95"/>
      <c r="XI71" s="95"/>
      <c r="XJ71" s="95"/>
      <c r="XK71" s="95"/>
      <c r="XL71" s="95"/>
      <c r="XM71" s="95"/>
      <c r="XN71" s="95"/>
      <c r="XO71" s="95"/>
      <c r="XP71" s="95"/>
      <c r="XQ71" s="95"/>
      <c r="XR71" s="95"/>
      <c r="XS71" s="95"/>
      <c r="XT71" s="95"/>
      <c r="XU71" s="95"/>
      <c r="XV71" s="95"/>
      <c r="XW71" s="95"/>
      <c r="XX71" s="95"/>
      <c r="XY71" s="95"/>
      <c r="XZ71" s="95"/>
      <c r="YA71" s="95"/>
      <c r="YB71" s="95"/>
      <c r="YC71" s="95"/>
      <c r="YD71" s="95"/>
      <c r="YE71" s="95"/>
      <c r="YF71" s="95"/>
      <c r="YG71" s="95"/>
      <c r="YH71" s="95"/>
      <c r="YI71" s="95"/>
      <c r="YJ71" s="95"/>
      <c r="YK71" s="95"/>
      <c r="YL71" s="95"/>
      <c r="YM71" s="95"/>
      <c r="YN71" s="95"/>
      <c r="YO71" s="95"/>
      <c r="YP71" s="95"/>
      <c r="YQ71" s="95"/>
      <c r="YR71" s="95"/>
      <c r="YS71" s="95"/>
      <c r="YT71" s="95"/>
      <c r="YU71" s="95"/>
      <c r="YV71" s="95"/>
      <c r="YW71" s="95"/>
      <c r="YX71" s="95"/>
      <c r="YY71" s="95"/>
      <c r="YZ71" s="95"/>
      <c r="ZA71" s="95"/>
      <c r="ZB71" s="95"/>
      <c r="ZC71" s="95"/>
      <c r="ZD71" s="95"/>
      <c r="ZE71" s="95"/>
      <c r="ZF71" s="95"/>
      <c r="ZG71" s="95"/>
      <c r="ZH71" s="95"/>
      <c r="ZI71" s="95"/>
      <c r="ZJ71" s="95"/>
      <c r="ZK71" s="95"/>
      <c r="ZL71" s="95"/>
      <c r="ZM71" s="95"/>
      <c r="ZN71" s="95"/>
      <c r="ZO71" s="95"/>
      <c r="ZP71" s="95"/>
      <c r="ZQ71" s="95"/>
      <c r="ZR71" s="95"/>
      <c r="ZS71" s="95"/>
      <c r="ZT71" s="95"/>
      <c r="ZU71" s="95"/>
      <c r="ZV71" s="95"/>
      <c r="ZW71" s="95"/>
      <c r="ZX71" s="95"/>
      <c r="ZY71" s="95"/>
      <c r="ZZ71" s="95"/>
      <c r="AAA71" s="95"/>
      <c r="AAB71" s="95"/>
      <c r="AAC71" s="95"/>
      <c r="AAD71" s="95"/>
      <c r="AAE71" s="95"/>
      <c r="AAF71" s="95"/>
      <c r="AAG71" s="95"/>
      <c r="AAH71" s="95"/>
      <c r="AAI71" s="95"/>
      <c r="AAJ71" s="95"/>
      <c r="AAK71" s="95"/>
      <c r="AAL71" s="95"/>
      <c r="AAM71" s="95"/>
      <c r="AAN71" s="95"/>
      <c r="AAO71" s="95"/>
      <c r="AAP71" s="95"/>
      <c r="AAQ71" s="95"/>
      <c r="AAR71" s="95"/>
      <c r="AAS71" s="95"/>
      <c r="AAT71" s="95"/>
      <c r="AAU71" s="95"/>
      <c r="AAV71" s="95"/>
      <c r="AAW71" s="95"/>
      <c r="AAX71" s="95"/>
      <c r="AAY71" s="95"/>
      <c r="AAZ71" s="95"/>
      <c r="ABA71" s="95"/>
      <c r="ABB71" s="95"/>
      <c r="ABC71" s="95"/>
      <c r="ABD71" s="95"/>
      <c r="ABE71" s="95"/>
      <c r="ABF71" s="95"/>
      <c r="ABG71" s="95"/>
      <c r="ABH71" s="95"/>
      <c r="ABI71" s="95"/>
      <c r="ABJ71" s="95"/>
      <c r="ABK71" s="95"/>
      <c r="ABL71" s="95"/>
      <c r="ABM71" s="95"/>
      <c r="ABN71" s="95"/>
      <c r="ABO71" s="95"/>
      <c r="ABP71" s="95"/>
      <c r="ABQ71" s="95"/>
      <c r="ABR71" s="95"/>
      <c r="ABS71" s="95"/>
      <c r="ABT71" s="95"/>
      <c r="ABU71" s="95"/>
      <c r="ABV71" s="95"/>
      <c r="ABW71" s="95"/>
      <c r="ABX71" s="95"/>
      <c r="ABY71" s="95"/>
      <c r="ABZ71" s="95"/>
      <c r="ACA71" s="95"/>
      <c r="ACB71" s="95"/>
      <c r="ACC71" s="95"/>
      <c r="ACD71" s="95"/>
      <c r="ACE71" s="95"/>
      <c r="ACF71" s="95"/>
      <c r="ACG71" s="95"/>
      <c r="ACH71" s="95"/>
      <c r="ACI71" s="95"/>
      <c r="ACJ71" s="95"/>
      <c r="ACK71" s="95"/>
      <c r="ACL71" s="95"/>
      <c r="ACM71" s="95"/>
      <c r="ACN71" s="95"/>
      <c r="ACO71" s="95"/>
      <c r="ACP71" s="95"/>
      <c r="ACQ71" s="95"/>
      <c r="ACR71" s="95"/>
      <c r="ACS71" s="95"/>
      <c r="ACT71" s="95"/>
      <c r="ACU71" s="95"/>
      <c r="ACV71" s="95"/>
      <c r="ACW71" s="95"/>
      <c r="ACX71" s="95"/>
      <c r="ACY71" s="95"/>
      <c r="ACZ71" s="95"/>
      <c r="ADA71" s="95"/>
      <c r="ADB71" s="95"/>
      <c r="ADC71" s="95"/>
      <c r="ADD71" s="95"/>
      <c r="ADE71" s="95"/>
      <c r="ADF71" s="95"/>
      <c r="ADG71" s="95"/>
      <c r="ADH71" s="95"/>
      <c r="ADI71" s="95"/>
      <c r="ADJ71" s="95"/>
      <c r="ADK71" s="95"/>
      <c r="ADL71" s="95"/>
      <c r="ADM71" s="95"/>
      <c r="ADN71" s="95"/>
      <c r="ADO71" s="95"/>
      <c r="ADP71" s="95"/>
      <c r="ADQ71" s="95"/>
      <c r="ADR71" s="95"/>
      <c r="ADS71" s="95"/>
      <c r="ADT71" s="95"/>
      <c r="ADU71" s="95"/>
      <c r="ADV71" s="95"/>
      <c r="ADW71" s="95"/>
      <c r="ADX71" s="95"/>
      <c r="ADY71" s="95"/>
      <c r="ADZ71" s="95"/>
      <c r="AEA71" s="95"/>
      <c r="AEB71" s="95"/>
      <c r="AEC71" s="95"/>
      <c r="AED71" s="95"/>
      <c r="AEE71" s="95"/>
      <c r="AEF71" s="95"/>
      <c r="AEG71" s="95"/>
      <c r="AEH71" s="95"/>
      <c r="AEI71" s="95"/>
      <c r="AEJ71" s="95"/>
      <c r="AEK71" s="95"/>
      <c r="AEL71" s="95"/>
      <c r="AEM71" s="95"/>
      <c r="AEN71" s="95"/>
      <c r="AEO71" s="95"/>
      <c r="AEP71" s="95"/>
      <c r="AEQ71" s="95"/>
      <c r="AER71" s="95"/>
      <c r="AES71" s="95"/>
      <c r="AET71" s="95"/>
      <c r="AEU71" s="95"/>
      <c r="AEV71" s="95"/>
      <c r="AEW71" s="95"/>
      <c r="AEX71" s="95"/>
      <c r="AEY71" s="95"/>
      <c r="AEZ71" s="95"/>
      <c r="AFA71" s="95"/>
      <c r="AFB71" s="95"/>
      <c r="AFC71" s="95"/>
      <c r="AFD71" s="95"/>
      <c r="AFE71" s="95"/>
      <c r="AFF71" s="95"/>
      <c r="AFG71" s="95"/>
      <c r="AFH71" s="95"/>
      <c r="AFI71" s="95"/>
      <c r="AFJ71" s="95"/>
      <c r="AFK71" s="95"/>
      <c r="AFL71" s="95"/>
      <c r="AFM71" s="95"/>
      <c r="AFN71" s="95"/>
      <c r="AFO71" s="95"/>
      <c r="AFP71" s="95"/>
      <c r="AFQ71" s="95"/>
      <c r="AFR71" s="95"/>
      <c r="AFS71" s="95"/>
      <c r="AFT71" s="95"/>
      <c r="AFU71" s="95"/>
      <c r="AFV71" s="95"/>
      <c r="AFW71" s="95"/>
      <c r="AFX71" s="95"/>
      <c r="AFY71" s="95"/>
      <c r="AFZ71" s="95"/>
      <c r="AGA71" s="95"/>
      <c r="AGB71" s="95"/>
      <c r="AGC71" s="95"/>
      <c r="AGD71" s="95"/>
      <c r="AGE71" s="95"/>
      <c r="AGF71" s="95"/>
      <c r="AGG71" s="95"/>
      <c r="AGH71" s="95"/>
      <c r="AGI71" s="95"/>
      <c r="AGJ71" s="95"/>
      <c r="AGK71" s="95"/>
      <c r="AGL71" s="95"/>
      <c r="AGM71" s="95"/>
      <c r="AGN71" s="95"/>
      <c r="AGO71" s="95"/>
      <c r="AGP71" s="95"/>
      <c r="AGQ71" s="95"/>
      <c r="AGR71" s="95"/>
      <c r="AGS71" s="95"/>
      <c r="AGT71" s="95"/>
      <c r="AGU71" s="95"/>
      <c r="AGV71" s="95"/>
      <c r="AGW71" s="95"/>
      <c r="AGX71" s="95"/>
      <c r="AGY71" s="95"/>
      <c r="AGZ71" s="95"/>
      <c r="AHA71" s="95"/>
      <c r="AHB71" s="95"/>
      <c r="AHC71" s="95"/>
      <c r="AHD71" s="95"/>
      <c r="AHE71" s="95"/>
      <c r="AHF71" s="95"/>
      <c r="AHG71" s="95"/>
      <c r="AHH71" s="95"/>
      <c r="AHI71" s="95"/>
      <c r="AHJ71" s="95"/>
      <c r="AHK71" s="95"/>
      <c r="AHL71" s="95"/>
      <c r="AHM71" s="95"/>
      <c r="AHN71" s="95"/>
      <c r="AHO71" s="95"/>
      <c r="AHP71" s="95"/>
      <c r="AHQ71" s="95"/>
      <c r="AHR71" s="95"/>
      <c r="AHS71" s="95"/>
      <c r="AHT71" s="95"/>
      <c r="AHU71" s="95"/>
      <c r="AHV71" s="95"/>
      <c r="AHW71" s="95"/>
      <c r="AHX71" s="95"/>
      <c r="AHY71" s="95"/>
      <c r="AHZ71" s="95"/>
      <c r="AIA71" s="95"/>
      <c r="AIB71" s="95"/>
      <c r="AIC71" s="95"/>
      <c r="AID71" s="95"/>
      <c r="AIE71" s="95"/>
      <c r="AIF71" s="95"/>
      <c r="AIG71" s="95"/>
      <c r="AIH71" s="95"/>
      <c r="AII71" s="95"/>
      <c r="AIJ71" s="95"/>
      <c r="AIK71" s="95"/>
      <c r="AIL71" s="95"/>
      <c r="AIM71" s="95"/>
      <c r="AIN71" s="95"/>
      <c r="AIO71" s="95"/>
      <c r="AIP71" s="95"/>
      <c r="AIQ71" s="95"/>
      <c r="AIR71" s="95"/>
      <c r="AIS71" s="95"/>
      <c r="AIT71" s="95"/>
      <c r="AIU71" s="95"/>
      <c r="AIV71" s="95"/>
      <c r="AIW71" s="95"/>
      <c r="AIX71" s="95"/>
      <c r="AIY71" s="95"/>
      <c r="AIZ71" s="95"/>
      <c r="AJA71" s="95"/>
      <c r="AJB71" s="95"/>
      <c r="AJC71" s="95"/>
      <c r="AJD71" s="95"/>
      <c r="AJE71" s="95"/>
      <c r="AJF71" s="95"/>
      <c r="AJG71" s="95"/>
      <c r="AJH71" s="95"/>
      <c r="AJI71" s="95"/>
      <c r="AJJ71" s="95"/>
      <c r="AJK71" s="95"/>
      <c r="AJL71" s="95"/>
      <c r="AJM71" s="95"/>
      <c r="AJN71" s="95"/>
      <c r="AJO71" s="95"/>
      <c r="AJP71" s="95"/>
      <c r="AJQ71" s="95"/>
      <c r="AJR71" s="95"/>
      <c r="AJS71" s="95"/>
      <c r="AJT71" s="95"/>
      <c r="AJU71" s="95"/>
      <c r="AJV71" s="95"/>
      <c r="AJW71" s="95"/>
      <c r="AJX71" s="95"/>
      <c r="AJY71" s="95"/>
      <c r="AJZ71" s="95"/>
      <c r="AKA71" s="95"/>
      <c r="AKB71" s="95"/>
      <c r="AKC71" s="95"/>
      <c r="AKD71" s="95"/>
      <c r="AKE71" s="95"/>
      <c r="AKF71" s="95"/>
      <c r="AKG71" s="95"/>
      <c r="AKH71" s="95"/>
      <c r="AKI71" s="95"/>
      <c r="AKJ71" s="95"/>
      <c r="AKK71" s="95"/>
      <c r="AKL71" s="95"/>
      <c r="AKM71" s="95"/>
      <c r="AKN71" s="95"/>
      <c r="AKO71" s="95"/>
      <c r="AKP71" s="95"/>
      <c r="AKQ71" s="95"/>
      <c r="AKR71" s="95"/>
      <c r="AKS71" s="95"/>
      <c r="AKT71" s="95"/>
      <c r="AKU71" s="95"/>
      <c r="AKV71" s="95"/>
      <c r="AKW71" s="95"/>
      <c r="AKX71" s="95"/>
      <c r="AKY71" s="95"/>
      <c r="AKZ71" s="95"/>
      <c r="ALA71" s="95"/>
      <c r="ALB71" s="95"/>
      <c r="ALC71" s="95"/>
      <c r="ALD71" s="95"/>
      <c r="ALE71" s="95"/>
      <c r="ALF71" s="95"/>
      <c r="ALG71" s="95"/>
      <c r="ALH71" s="95"/>
      <c r="ALI71" s="95"/>
      <c r="ALJ71" s="95"/>
      <c r="ALK71" s="95"/>
      <c r="ALL71" s="95"/>
      <c r="ALM71" s="95"/>
      <c r="ALN71" s="95"/>
      <c r="ALO71" s="95"/>
      <c r="ALP71" s="95"/>
      <c r="ALQ71" s="95"/>
      <c r="ALR71" s="95"/>
      <c r="ALS71" s="95"/>
      <c r="ALT71" s="95"/>
      <c r="ALU71" s="95"/>
      <c r="ALV71" s="95"/>
      <c r="ALW71" s="95"/>
      <c r="ALX71" s="95"/>
      <c r="ALY71" s="95"/>
      <c r="ALZ71" s="95"/>
      <c r="AMA71" s="95"/>
      <c r="AMB71" s="95"/>
      <c r="AMC71" s="95"/>
      <c r="AMD71" s="95"/>
      <c r="AME71" s="95"/>
      <c r="AMF71" s="95"/>
      <c r="AMG71" s="95"/>
      <c r="AMH71" s="95"/>
      <c r="AMI71" s="95"/>
      <c r="AMJ71" s="95"/>
      <c r="AMK71" s="95"/>
      <c r="AML71" s="95"/>
      <c r="AMM71" s="95"/>
      <c r="AMN71" s="95"/>
      <c r="AMO71" s="95"/>
      <c r="AMP71" s="95"/>
      <c r="AMQ71" s="95"/>
      <c r="AMR71" s="95"/>
      <c r="AMS71" s="95"/>
      <c r="AMT71" s="95"/>
      <c r="AMU71" s="95"/>
      <c r="AMV71" s="95"/>
      <c r="AMW71" s="95"/>
      <c r="AMX71" s="95"/>
      <c r="AMY71" s="95"/>
      <c r="AMZ71" s="95"/>
      <c r="ANA71" s="95"/>
      <c r="ANB71" s="95"/>
      <c r="ANC71" s="95"/>
      <c r="AND71" s="95"/>
      <c r="ANE71" s="95"/>
      <c r="ANF71" s="95"/>
      <c r="ANG71" s="95"/>
      <c r="ANH71" s="95"/>
      <c r="ANI71" s="95"/>
      <c r="ANJ71" s="95"/>
      <c r="ANK71" s="95"/>
      <c r="ANL71" s="95"/>
      <c r="ANM71" s="95"/>
      <c r="ANN71" s="95"/>
      <c r="ANO71" s="95"/>
      <c r="ANP71" s="95"/>
      <c r="ANQ71" s="95"/>
      <c r="ANR71" s="95"/>
      <c r="ANS71" s="95"/>
      <c r="ANT71" s="95"/>
      <c r="ANU71" s="95"/>
      <c r="ANV71" s="95"/>
      <c r="ANW71" s="95"/>
      <c r="ANX71" s="95"/>
      <c r="ANY71" s="95"/>
      <c r="ANZ71" s="95"/>
      <c r="AOA71" s="95"/>
      <c r="AOB71" s="95"/>
      <c r="AOC71" s="95"/>
      <c r="AOD71" s="95"/>
      <c r="AOE71" s="95"/>
      <c r="AOF71" s="95"/>
      <c r="AOG71" s="95"/>
      <c r="AOH71" s="95"/>
      <c r="AOI71" s="95"/>
      <c r="AOJ71" s="95"/>
      <c r="AOK71" s="95"/>
      <c r="AOL71" s="95"/>
      <c r="AOM71" s="95"/>
      <c r="AON71" s="95"/>
      <c r="AOO71" s="95"/>
      <c r="AOP71" s="95"/>
      <c r="AOQ71" s="95"/>
      <c r="AOR71" s="95"/>
      <c r="AOS71" s="95"/>
      <c r="AOT71" s="95"/>
      <c r="AOU71" s="95"/>
      <c r="AOV71" s="95"/>
      <c r="AOW71" s="95"/>
      <c r="AOX71" s="95"/>
      <c r="AOY71" s="95"/>
      <c r="AOZ71" s="95"/>
      <c r="APA71" s="95"/>
      <c r="APB71" s="95"/>
      <c r="APC71" s="95"/>
      <c r="APD71" s="95"/>
      <c r="APE71" s="95"/>
      <c r="APF71" s="95"/>
      <c r="APG71" s="95"/>
      <c r="APH71" s="95"/>
      <c r="API71" s="95"/>
      <c r="APJ71" s="95"/>
      <c r="APK71" s="95"/>
      <c r="APL71" s="95"/>
      <c r="APM71" s="95"/>
      <c r="APN71" s="95"/>
      <c r="APO71" s="95"/>
      <c r="APP71" s="95"/>
      <c r="APQ71" s="95"/>
      <c r="APR71" s="95"/>
      <c r="APS71" s="95"/>
      <c r="APT71" s="95"/>
      <c r="APU71" s="95"/>
      <c r="APV71" s="95"/>
      <c r="APW71" s="95"/>
      <c r="APX71" s="95"/>
      <c r="APY71" s="95"/>
      <c r="APZ71" s="95"/>
      <c r="AQA71" s="95"/>
      <c r="AQB71" s="95"/>
      <c r="AQC71" s="95"/>
      <c r="AQD71" s="95"/>
      <c r="AQE71" s="95"/>
      <c r="AQF71" s="95"/>
      <c r="AQG71" s="95"/>
      <c r="AQH71" s="95"/>
      <c r="AQI71" s="95"/>
      <c r="AQJ71" s="95"/>
      <c r="AQK71" s="95"/>
      <c r="AQL71" s="95"/>
      <c r="AQM71" s="95"/>
      <c r="AQN71" s="95"/>
      <c r="AQO71" s="95"/>
      <c r="AQP71" s="95"/>
      <c r="AQQ71" s="95"/>
      <c r="AQR71" s="95"/>
      <c r="AQS71" s="95"/>
      <c r="AQT71" s="95"/>
      <c r="AQU71" s="95"/>
      <c r="AQV71" s="95"/>
      <c r="AQW71" s="95"/>
      <c r="AQX71" s="95"/>
      <c r="AQY71" s="95"/>
      <c r="AQZ71" s="95"/>
      <c r="ARA71" s="95"/>
      <c r="ARB71" s="95"/>
      <c r="ARC71" s="95"/>
      <c r="ARD71" s="95"/>
      <c r="ARE71" s="95"/>
      <c r="ARF71" s="95"/>
      <c r="ARG71" s="95"/>
      <c r="ARH71" s="95"/>
      <c r="ARI71" s="95"/>
      <c r="ARJ71" s="95"/>
      <c r="ARK71" s="95"/>
      <c r="ARL71" s="95"/>
      <c r="ARM71" s="95"/>
      <c r="ARN71" s="95"/>
      <c r="ARO71" s="95"/>
      <c r="ARP71" s="95"/>
      <c r="ARQ71" s="95"/>
      <c r="ARR71" s="95"/>
      <c r="ARS71" s="95"/>
      <c r="ART71" s="95"/>
      <c r="ARU71" s="95"/>
      <c r="ARV71" s="95"/>
      <c r="ARW71" s="95"/>
      <c r="ARX71" s="95"/>
      <c r="ARY71" s="95"/>
      <c r="ARZ71" s="95"/>
      <c r="ASA71" s="95"/>
      <c r="ASB71" s="95"/>
      <c r="ASC71" s="95"/>
      <c r="ASD71" s="95"/>
      <c r="ASE71" s="95"/>
      <c r="ASF71" s="95"/>
      <c r="ASG71" s="95"/>
      <c r="ASH71" s="95"/>
      <c r="ASI71" s="95"/>
      <c r="ASJ71" s="95"/>
      <c r="ASK71" s="95"/>
      <c r="ASL71" s="95"/>
      <c r="ASM71" s="95"/>
      <c r="ASN71" s="95"/>
      <c r="ASO71" s="95"/>
      <c r="ASP71" s="95"/>
      <c r="ASQ71" s="95"/>
      <c r="ASR71" s="95"/>
      <c r="ASS71" s="95"/>
      <c r="AST71" s="95"/>
      <c r="ASU71" s="95"/>
      <c r="ASV71" s="95"/>
      <c r="ASW71" s="95"/>
      <c r="ASX71" s="95"/>
      <c r="ASY71" s="95"/>
      <c r="ASZ71" s="95"/>
      <c r="ATA71" s="95"/>
      <c r="ATB71" s="95"/>
      <c r="ATC71" s="95"/>
      <c r="ATD71" s="95"/>
      <c r="ATE71" s="95"/>
      <c r="ATF71" s="95"/>
      <c r="ATG71" s="95"/>
      <c r="ATH71" s="95"/>
      <c r="ATI71" s="95"/>
      <c r="ATJ71" s="95"/>
      <c r="ATK71" s="95"/>
      <c r="ATL71" s="95"/>
      <c r="ATM71" s="95"/>
      <c r="ATN71" s="95"/>
      <c r="ATO71" s="95"/>
      <c r="ATP71" s="95"/>
      <c r="ATQ71" s="95"/>
      <c r="ATR71" s="95"/>
      <c r="ATS71" s="95"/>
      <c r="ATT71" s="95"/>
      <c r="ATU71" s="95"/>
      <c r="ATV71" s="95"/>
      <c r="ATW71" s="95"/>
      <c r="ATX71" s="95"/>
      <c r="ATY71" s="95"/>
      <c r="ATZ71" s="95"/>
      <c r="AUA71" s="95"/>
      <c r="AUB71" s="95"/>
      <c r="AUC71" s="95"/>
      <c r="AUD71" s="95"/>
      <c r="AUE71" s="95"/>
      <c r="AUF71" s="95"/>
      <c r="AUG71" s="95"/>
      <c r="AUH71" s="95"/>
      <c r="AUI71" s="95"/>
      <c r="AUJ71" s="95"/>
      <c r="AUK71" s="95"/>
      <c r="AUL71" s="95"/>
      <c r="AUM71" s="95"/>
      <c r="AUN71" s="95"/>
      <c r="AUO71" s="95"/>
      <c r="AUP71" s="95"/>
      <c r="AUQ71" s="95"/>
      <c r="AUR71" s="95"/>
      <c r="AUS71" s="95"/>
      <c r="AUT71" s="95"/>
      <c r="AUU71" s="95"/>
      <c r="AUV71" s="95"/>
      <c r="AUW71" s="95"/>
      <c r="AUX71" s="95"/>
      <c r="AUY71" s="95"/>
      <c r="AUZ71" s="95"/>
      <c r="AVA71" s="95"/>
      <c r="AVB71" s="95"/>
      <c r="AVC71" s="95"/>
      <c r="AVD71" s="95"/>
      <c r="AVE71" s="95"/>
      <c r="AVF71" s="95"/>
      <c r="AVG71" s="95"/>
      <c r="AVH71" s="95"/>
      <c r="AVI71" s="95"/>
      <c r="AVJ71" s="95"/>
      <c r="AVK71" s="95"/>
      <c r="AVL71" s="95"/>
      <c r="AVM71" s="95"/>
      <c r="AVN71" s="95"/>
      <c r="AVO71" s="95"/>
      <c r="AVP71" s="95"/>
      <c r="AVQ71" s="95"/>
      <c r="AVR71" s="95"/>
      <c r="AVS71" s="95"/>
      <c r="AVT71" s="95"/>
      <c r="AVU71" s="95"/>
      <c r="AVV71" s="95"/>
      <c r="AVW71" s="95"/>
      <c r="AVX71" s="95"/>
      <c r="AVY71" s="95"/>
      <c r="AVZ71" s="95"/>
      <c r="AWA71" s="95"/>
      <c r="AWB71" s="95"/>
      <c r="AWC71" s="95"/>
      <c r="AWD71" s="95"/>
      <c r="AWE71" s="95"/>
      <c r="AWF71" s="95"/>
      <c r="AWG71" s="95"/>
      <c r="AWH71" s="95"/>
      <c r="AWI71" s="95"/>
      <c r="AWJ71" s="95"/>
      <c r="AWK71" s="95"/>
      <c r="AWL71" s="95"/>
      <c r="AWM71" s="95"/>
      <c r="AWN71" s="95"/>
      <c r="AWO71" s="95"/>
      <c r="AWP71" s="95"/>
      <c r="AWQ71" s="95"/>
      <c r="AWR71" s="95"/>
      <c r="AWS71" s="95"/>
      <c r="AWT71" s="95"/>
      <c r="AWU71" s="95"/>
      <c r="AWV71" s="95"/>
      <c r="AWW71" s="95"/>
      <c r="AWX71" s="95"/>
      <c r="AWY71" s="95"/>
      <c r="AWZ71" s="95"/>
      <c r="AXA71" s="95"/>
      <c r="AXB71" s="95"/>
      <c r="AXC71" s="95"/>
      <c r="AXD71" s="95"/>
      <c r="AXE71" s="95"/>
      <c r="AXF71" s="95"/>
      <c r="AXG71" s="95"/>
      <c r="AXH71" s="95"/>
      <c r="AXI71" s="95"/>
      <c r="AXJ71" s="95"/>
      <c r="AXK71" s="95"/>
      <c r="AXL71" s="95"/>
      <c r="AXM71" s="95"/>
      <c r="AXN71" s="95"/>
      <c r="AXO71" s="95"/>
      <c r="AXP71" s="95"/>
      <c r="AXQ71" s="95"/>
      <c r="AXR71" s="95"/>
      <c r="AXS71" s="95"/>
      <c r="AXT71" s="95"/>
      <c r="AXU71" s="95"/>
      <c r="AXV71" s="95"/>
      <c r="AXW71" s="95"/>
      <c r="AXX71" s="95"/>
      <c r="AXY71" s="95"/>
      <c r="AXZ71" s="95"/>
      <c r="AYA71" s="95"/>
      <c r="AYB71" s="95"/>
      <c r="AYC71" s="95"/>
      <c r="AYD71" s="95"/>
      <c r="AYE71" s="95"/>
      <c r="AYF71" s="95"/>
      <c r="AYG71" s="95"/>
      <c r="AYH71" s="95"/>
      <c r="AYI71" s="95"/>
      <c r="AYJ71" s="95"/>
      <c r="AYK71" s="95"/>
      <c r="AYL71" s="95"/>
      <c r="AYM71" s="95"/>
      <c r="AYN71" s="95"/>
      <c r="AYO71" s="95"/>
      <c r="AYP71" s="95"/>
      <c r="AYQ71" s="95"/>
      <c r="AYR71" s="95"/>
      <c r="AYS71" s="95"/>
      <c r="AYT71" s="95"/>
      <c r="AYU71" s="95"/>
      <c r="AYV71" s="95"/>
      <c r="AYW71" s="95"/>
      <c r="AYX71" s="95"/>
      <c r="AYY71" s="95"/>
      <c r="AYZ71" s="95"/>
      <c r="AZA71" s="95"/>
      <c r="AZB71" s="95"/>
      <c r="AZC71" s="95"/>
      <c r="AZD71" s="95"/>
      <c r="AZE71" s="95"/>
      <c r="AZF71" s="95"/>
      <c r="AZG71" s="95"/>
      <c r="AZH71" s="95"/>
      <c r="AZI71" s="95"/>
      <c r="AZJ71" s="95"/>
      <c r="AZK71" s="95"/>
      <c r="AZL71" s="95"/>
      <c r="AZM71" s="95"/>
      <c r="AZN71" s="95"/>
      <c r="AZO71" s="95"/>
      <c r="AZP71" s="95"/>
      <c r="AZQ71" s="95"/>
      <c r="AZR71" s="95"/>
      <c r="AZS71" s="95"/>
      <c r="AZT71" s="95"/>
      <c r="AZU71" s="95"/>
      <c r="AZV71" s="95"/>
      <c r="AZW71" s="95"/>
      <c r="AZX71" s="95"/>
      <c r="AZY71" s="95"/>
      <c r="AZZ71" s="95"/>
      <c r="BAA71" s="95"/>
      <c r="BAB71" s="95"/>
      <c r="BAC71" s="95"/>
      <c r="BAD71" s="95"/>
      <c r="BAE71" s="95"/>
      <c r="BAF71" s="95"/>
      <c r="BAG71" s="95"/>
      <c r="BAH71" s="95"/>
      <c r="BAI71" s="95"/>
      <c r="BAJ71" s="95"/>
      <c r="BAK71" s="95"/>
      <c r="BAL71" s="95"/>
      <c r="BAM71" s="95"/>
      <c r="BAN71" s="95"/>
      <c r="BAO71" s="95"/>
      <c r="BAP71" s="95"/>
      <c r="BAQ71" s="95"/>
      <c r="BAR71" s="95"/>
      <c r="BAS71" s="95"/>
      <c r="BAT71" s="95"/>
      <c r="BAU71" s="95"/>
      <c r="BAV71" s="95"/>
      <c r="BAW71" s="95"/>
      <c r="BAX71" s="95"/>
      <c r="BAY71" s="95"/>
      <c r="BAZ71" s="95"/>
      <c r="BBA71" s="95"/>
      <c r="BBB71" s="95"/>
      <c r="BBC71" s="95"/>
      <c r="BBD71" s="95"/>
      <c r="BBE71" s="95"/>
      <c r="BBF71" s="95"/>
      <c r="BBG71" s="95"/>
      <c r="BBH71" s="95"/>
      <c r="BBI71" s="95"/>
      <c r="BBJ71" s="95"/>
      <c r="BBK71" s="95"/>
      <c r="BBL71" s="95"/>
      <c r="BBM71" s="95"/>
      <c r="BBN71" s="95"/>
      <c r="BBO71" s="95"/>
      <c r="BBP71" s="95"/>
      <c r="BBQ71" s="95"/>
      <c r="BBR71" s="95"/>
      <c r="BBS71" s="95"/>
      <c r="BBT71" s="95"/>
      <c r="BBU71" s="95"/>
      <c r="BBV71" s="95"/>
      <c r="BBW71" s="95"/>
      <c r="BBX71" s="95"/>
      <c r="BBY71" s="95"/>
      <c r="BBZ71" s="95"/>
      <c r="BCA71" s="95"/>
      <c r="BCB71" s="95"/>
      <c r="BCC71" s="95"/>
      <c r="BCD71" s="95"/>
      <c r="BCE71" s="95"/>
      <c r="BCF71" s="95"/>
      <c r="BCG71" s="95"/>
      <c r="BCH71" s="95"/>
      <c r="BCI71" s="95"/>
      <c r="BCJ71" s="95"/>
      <c r="BCK71" s="95"/>
      <c r="BCL71" s="95"/>
      <c r="BCM71" s="95"/>
      <c r="BCN71" s="95"/>
      <c r="BCO71" s="95"/>
      <c r="BCP71" s="95"/>
      <c r="BCQ71" s="95"/>
      <c r="BCR71" s="95"/>
      <c r="BCS71" s="95"/>
      <c r="BCT71" s="95"/>
      <c r="BCU71" s="95"/>
      <c r="BCV71" s="95"/>
      <c r="BCW71" s="95"/>
      <c r="BCX71" s="95"/>
      <c r="BCY71" s="95"/>
      <c r="BCZ71" s="95"/>
      <c r="BDA71" s="95"/>
      <c r="BDB71" s="95"/>
      <c r="BDC71" s="95"/>
      <c r="BDD71" s="95"/>
      <c r="BDE71" s="95"/>
      <c r="BDF71" s="95"/>
      <c r="BDG71" s="95"/>
      <c r="BDH71" s="95"/>
      <c r="BDI71" s="95"/>
      <c r="BDJ71" s="95"/>
      <c r="BDK71" s="95"/>
      <c r="BDL71" s="95"/>
      <c r="BDM71" s="95"/>
      <c r="BDN71" s="95"/>
      <c r="BDO71" s="95"/>
      <c r="BDP71" s="95"/>
      <c r="BDQ71" s="95"/>
      <c r="BDR71" s="95"/>
      <c r="BDS71" s="95"/>
      <c r="BDT71" s="95"/>
      <c r="BDU71" s="95"/>
      <c r="BDV71" s="95"/>
      <c r="BDW71" s="95"/>
      <c r="BDX71" s="95"/>
      <c r="BDY71" s="95"/>
      <c r="BDZ71" s="95"/>
      <c r="BEA71" s="95"/>
      <c r="BEB71" s="95"/>
      <c r="BEC71" s="95"/>
      <c r="BED71" s="95"/>
      <c r="BEE71" s="95"/>
      <c r="BEF71" s="95"/>
      <c r="BEG71" s="95"/>
      <c r="BEH71" s="95"/>
      <c r="BEI71" s="95"/>
      <c r="BEJ71" s="95"/>
      <c r="BEK71" s="95"/>
      <c r="BEL71" s="95"/>
      <c r="BEM71" s="95"/>
      <c r="BEN71" s="95"/>
      <c r="BEO71" s="95"/>
      <c r="BEP71" s="95"/>
      <c r="BEQ71" s="95"/>
      <c r="BER71" s="95"/>
      <c r="BES71" s="95"/>
      <c r="BET71" s="95"/>
      <c r="BEU71" s="95"/>
      <c r="BEV71" s="95"/>
      <c r="BEW71" s="95"/>
      <c r="BEX71" s="95"/>
      <c r="BEY71" s="95"/>
      <c r="BEZ71" s="95"/>
      <c r="BFA71" s="95"/>
      <c r="BFB71" s="95"/>
      <c r="BFC71" s="95"/>
      <c r="BFD71" s="95"/>
      <c r="BFE71" s="95"/>
      <c r="BFF71" s="95"/>
      <c r="BFG71" s="95"/>
      <c r="BFH71" s="95"/>
      <c r="BFI71" s="95"/>
      <c r="BFJ71" s="95"/>
      <c r="BFK71" s="95"/>
      <c r="BFL71" s="95"/>
      <c r="BFM71" s="95"/>
      <c r="BFN71" s="95"/>
      <c r="BFO71" s="95"/>
      <c r="BFP71" s="95"/>
      <c r="BFQ71" s="95"/>
      <c r="BFR71" s="95"/>
      <c r="BFS71" s="95"/>
      <c r="BFT71" s="95"/>
      <c r="BFU71" s="95"/>
      <c r="BFV71" s="95"/>
      <c r="BFW71" s="95"/>
      <c r="BFX71" s="95"/>
      <c r="BFY71" s="95"/>
      <c r="BFZ71" s="95"/>
      <c r="BGA71" s="95"/>
      <c r="BGB71" s="95"/>
      <c r="BGC71" s="95"/>
      <c r="BGD71" s="95"/>
      <c r="BGE71" s="95"/>
      <c r="BGF71" s="95"/>
      <c r="BGG71" s="95"/>
      <c r="BGH71" s="95"/>
      <c r="BGI71" s="95"/>
      <c r="BGJ71" s="95"/>
      <c r="BGK71" s="95"/>
      <c r="BGL71" s="95"/>
      <c r="BGM71" s="95"/>
      <c r="BGN71" s="95"/>
      <c r="BGO71" s="95"/>
      <c r="BGP71" s="95"/>
      <c r="BGQ71" s="95"/>
      <c r="BGR71" s="95"/>
      <c r="BGS71" s="95"/>
      <c r="BGT71" s="95"/>
      <c r="BGU71" s="95"/>
      <c r="BGV71" s="95"/>
      <c r="BGW71" s="95"/>
      <c r="BGX71" s="95"/>
      <c r="BGY71" s="95"/>
      <c r="BGZ71" s="95"/>
      <c r="BHA71" s="95"/>
      <c r="BHB71" s="95"/>
      <c r="BHC71" s="95"/>
      <c r="BHD71" s="95"/>
      <c r="BHE71" s="95"/>
      <c r="BHF71" s="95"/>
      <c r="BHG71" s="95"/>
      <c r="BHH71" s="95"/>
      <c r="BHI71" s="95"/>
      <c r="BHJ71" s="95"/>
      <c r="BHK71" s="95"/>
      <c r="BHL71" s="95"/>
      <c r="BHM71" s="95"/>
      <c r="BHN71" s="95"/>
      <c r="BHO71" s="95"/>
      <c r="BHP71" s="95"/>
      <c r="BHQ71" s="95"/>
      <c r="BHR71" s="95"/>
      <c r="BHS71" s="95"/>
      <c r="BHT71" s="95"/>
      <c r="BHU71" s="95"/>
      <c r="BHV71" s="95"/>
      <c r="BHW71" s="95"/>
      <c r="BHX71" s="95"/>
      <c r="BHY71" s="95"/>
      <c r="BHZ71" s="95"/>
      <c r="BIA71" s="95"/>
      <c r="BIB71" s="95"/>
      <c r="BIC71" s="95"/>
      <c r="BID71" s="95"/>
      <c r="BIE71" s="95"/>
      <c r="BIF71" s="95"/>
      <c r="BIG71" s="95"/>
      <c r="BIH71" s="95"/>
      <c r="BII71" s="95"/>
      <c r="BIJ71" s="95"/>
      <c r="BIK71" s="95"/>
      <c r="BIL71" s="95"/>
      <c r="BIM71" s="95"/>
      <c r="BIN71" s="95"/>
      <c r="BIO71" s="95"/>
      <c r="BIP71" s="95"/>
      <c r="BIQ71" s="95"/>
      <c r="BIR71" s="95"/>
      <c r="BIS71" s="95"/>
      <c r="BIT71" s="95"/>
      <c r="BIU71" s="95"/>
      <c r="BIV71" s="95"/>
      <c r="BIW71" s="95"/>
      <c r="BIX71" s="95"/>
      <c r="BIY71" s="95"/>
      <c r="BIZ71" s="95"/>
      <c r="BJA71" s="95"/>
      <c r="BJB71" s="95"/>
      <c r="BJC71" s="95"/>
      <c r="BJD71" s="95"/>
      <c r="BJE71" s="95"/>
      <c r="BJF71" s="95"/>
      <c r="BJG71" s="95"/>
      <c r="BJH71" s="95"/>
      <c r="BJI71" s="95"/>
      <c r="BJJ71" s="95"/>
      <c r="BJK71" s="95"/>
      <c r="BJL71" s="95"/>
      <c r="BJM71" s="95"/>
      <c r="BJN71" s="95"/>
      <c r="BJO71" s="95"/>
      <c r="BJP71" s="95"/>
      <c r="BJQ71" s="95"/>
      <c r="BJR71" s="95"/>
      <c r="BJS71" s="95"/>
      <c r="BJT71" s="95"/>
      <c r="BJU71" s="95"/>
      <c r="BJV71" s="95"/>
      <c r="BJW71" s="95"/>
      <c r="BJX71" s="95"/>
      <c r="BJY71" s="95"/>
      <c r="BJZ71" s="95"/>
      <c r="BKA71" s="95"/>
      <c r="BKB71" s="95"/>
      <c r="BKC71" s="95"/>
      <c r="BKD71" s="95"/>
      <c r="BKE71" s="95"/>
      <c r="BKF71" s="95"/>
      <c r="BKG71" s="95"/>
      <c r="BKH71" s="95"/>
      <c r="BKI71" s="95"/>
      <c r="BKJ71" s="95"/>
      <c r="BKK71" s="95"/>
      <c r="BKL71" s="95"/>
      <c r="BKM71" s="95"/>
      <c r="BKN71" s="95"/>
      <c r="BKO71" s="95"/>
      <c r="BKP71" s="95"/>
      <c r="BKQ71" s="95"/>
      <c r="BKR71" s="95"/>
      <c r="BKS71" s="95"/>
      <c r="BKT71" s="95"/>
      <c r="BKU71" s="95"/>
      <c r="BKV71" s="95"/>
      <c r="BKW71" s="95"/>
      <c r="BKX71" s="95"/>
      <c r="BKY71" s="95"/>
      <c r="BKZ71" s="95"/>
      <c r="BLA71" s="95"/>
      <c r="BLB71" s="95"/>
      <c r="BLC71" s="95"/>
      <c r="BLD71" s="95"/>
      <c r="BLE71" s="95"/>
      <c r="BLF71" s="95"/>
      <c r="BLG71" s="95"/>
      <c r="BLH71" s="95"/>
      <c r="BLI71" s="95"/>
      <c r="BLJ71" s="95"/>
      <c r="BLK71" s="95"/>
      <c r="BLL71" s="95"/>
      <c r="BLM71" s="95"/>
      <c r="BLN71" s="95"/>
      <c r="BLO71" s="95"/>
      <c r="BLP71" s="95"/>
      <c r="BLQ71" s="95"/>
      <c r="BLR71" s="95"/>
      <c r="BLS71" s="95"/>
      <c r="BLT71" s="95"/>
      <c r="BLU71" s="95"/>
      <c r="BLV71" s="95"/>
      <c r="BLW71" s="95"/>
      <c r="BLX71" s="95"/>
      <c r="BLY71" s="95"/>
      <c r="BLZ71" s="95"/>
      <c r="BMA71" s="95"/>
      <c r="BMB71" s="95"/>
      <c r="BMC71" s="95"/>
      <c r="BMD71" s="95"/>
      <c r="BME71" s="95"/>
      <c r="BMF71" s="95"/>
      <c r="BMG71" s="95"/>
      <c r="BMH71" s="95"/>
      <c r="BMI71" s="95"/>
      <c r="BMJ71" s="95"/>
      <c r="BMK71" s="95"/>
      <c r="BML71" s="95"/>
      <c r="BMM71" s="95"/>
      <c r="BMN71" s="95"/>
      <c r="BMO71" s="95"/>
      <c r="BMP71" s="95"/>
      <c r="BMQ71" s="95"/>
      <c r="BMR71" s="95"/>
      <c r="BMS71" s="95"/>
      <c r="BMT71" s="95"/>
      <c r="BMU71" s="95"/>
      <c r="BMV71" s="95"/>
      <c r="BMW71" s="95"/>
      <c r="BMX71" s="95"/>
      <c r="BMY71" s="95"/>
      <c r="BMZ71" s="95"/>
      <c r="BNA71" s="95"/>
      <c r="BNB71" s="95"/>
      <c r="BNC71" s="95"/>
      <c r="BND71" s="95"/>
      <c r="BNE71" s="95"/>
      <c r="BNF71" s="95"/>
      <c r="BNG71" s="95"/>
      <c r="BNH71" s="95"/>
      <c r="BNI71" s="95"/>
      <c r="BNJ71" s="95"/>
      <c r="BNK71" s="95"/>
      <c r="BNL71" s="95"/>
      <c r="BNM71" s="95"/>
      <c r="BNN71" s="95"/>
      <c r="BNO71" s="95"/>
      <c r="BNP71" s="95"/>
      <c r="BNQ71" s="95"/>
      <c r="BNR71" s="95"/>
      <c r="BNS71" s="95"/>
      <c r="BNT71" s="95"/>
      <c r="BNU71" s="95"/>
      <c r="BNV71" s="95"/>
      <c r="BNW71" s="95"/>
      <c r="BNX71" s="95"/>
      <c r="BNY71" s="95"/>
      <c r="BNZ71" s="95"/>
      <c r="BOA71" s="95"/>
      <c r="BOB71" s="95"/>
      <c r="BOC71" s="95"/>
      <c r="BOD71" s="95"/>
      <c r="BOE71" s="95"/>
      <c r="BOF71" s="95"/>
      <c r="BOG71" s="95"/>
      <c r="BOH71" s="95"/>
      <c r="BOI71" s="95"/>
      <c r="BOJ71" s="95"/>
      <c r="BOK71" s="95"/>
      <c r="BOL71" s="95"/>
      <c r="BOM71" s="95"/>
      <c r="BON71" s="95"/>
      <c r="BOO71" s="95"/>
      <c r="BOP71" s="95"/>
      <c r="BOQ71" s="95"/>
      <c r="BOR71" s="95"/>
      <c r="BOS71" s="95"/>
      <c r="BOT71" s="95"/>
      <c r="BOU71" s="95"/>
      <c r="BOV71" s="95"/>
      <c r="BOW71" s="95"/>
      <c r="BOX71" s="95"/>
      <c r="BOY71" s="95"/>
      <c r="BOZ71" s="95"/>
      <c r="BPA71" s="95"/>
      <c r="BPB71" s="95"/>
      <c r="BPC71" s="95"/>
      <c r="BPD71" s="95"/>
      <c r="BPE71" s="95"/>
      <c r="BPF71" s="95"/>
      <c r="BPG71" s="95"/>
      <c r="BPH71" s="95"/>
      <c r="BPI71" s="95"/>
      <c r="BPJ71" s="95"/>
      <c r="BPK71" s="95"/>
      <c r="BPL71" s="95"/>
      <c r="BPM71" s="95"/>
      <c r="BPN71" s="95"/>
      <c r="BPO71" s="95"/>
      <c r="BPP71" s="95"/>
      <c r="BPQ71" s="95"/>
      <c r="BPR71" s="95"/>
      <c r="BPS71" s="95"/>
      <c r="BPT71" s="95"/>
      <c r="BPU71" s="95"/>
      <c r="BPV71" s="95"/>
      <c r="BPW71" s="95"/>
      <c r="BPX71" s="95"/>
      <c r="BPY71" s="95"/>
      <c r="BPZ71" s="95"/>
      <c r="BQA71" s="95"/>
      <c r="BQB71" s="95"/>
      <c r="BQC71" s="95"/>
      <c r="BQD71" s="95"/>
      <c r="BQE71" s="95"/>
      <c r="BQF71" s="95"/>
      <c r="BQG71" s="95"/>
      <c r="BQH71" s="95"/>
      <c r="BQI71" s="95"/>
      <c r="BQJ71" s="95"/>
      <c r="BQK71" s="95"/>
      <c r="BQL71" s="95"/>
      <c r="BQM71" s="95"/>
      <c r="BQN71" s="95"/>
      <c r="BQO71" s="95"/>
      <c r="BQP71" s="95"/>
      <c r="BQQ71" s="95"/>
      <c r="BQR71" s="95"/>
      <c r="BQS71" s="95"/>
      <c r="BQT71" s="95"/>
      <c r="BQU71" s="95"/>
      <c r="BQV71" s="95"/>
      <c r="BQW71" s="95"/>
      <c r="BQX71" s="95"/>
      <c r="BQY71" s="95"/>
      <c r="BQZ71" s="95"/>
      <c r="BRA71" s="95"/>
      <c r="BRB71" s="95"/>
      <c r="BRC71" s="95"/>
      <c r="BRD71" s="95"/>
      <c r="BRE71" s="95"/>
      <c r="BRF71" s="95"/>
      <c r="BRG71" s="95"/>
      <c r="BRH71" s="95"/>
      <c r="BRI71" s="95"/>
      <c r="BRJ71" s="95"/>
      <c r="BRK71" s="95"/>
      <c r="BRL71" s="95"/>
      <c r="BRM71" s="95"/>
      <c r="BRN71" s="95"/>
      <c r="BRO71" s="95"/>
      <c r="BRP71" s="95"/>
      <c r="BRQ71" s="95"/>
      <c r="BRR71" s="95"/>
      <c r="BRS71" s="95"/>
      <c r="BRT71" s="95"/>
      <c r="BRU71" s="95"/>
      <c r="BRV71" s="95"/>
      <c r="BRW71" s="95"/>
      <c r="BRX71" s="95"/>
      <c r="BRY71" s="95"/>
      <c r="BRZ71" s="95"/>
      <c r="BSA71" s="95"/>
      <c r="BSB71" s="95"/>
      <c r="BSC71" s="95"/>
      <c r="BSD71" s="95"/>
      <c r="BSE71" s="95"/>
      <c r="BSF71" s="95"/>
      <c r="BSG71" s="95"/>
      <c r="BSH71" s="95"/>
      <c r="BSI71" s="95"/>
      <c r="BSJ71" s="95"/>
      <c r="BSK71" s="95"/>
      <c r="BSL71" s="95"/>
      <c r="BSM71" s="95"/>
      <c r="BSN71" s="95"/>
      <c r="BSO71" s="95"/>
      <c r="BSP71" s="95"/>
      <c r="BSQ71" s="95"/>
      <c r="BSR71" s="95"/>
      <c r="BSS71" s="95"/>
      <c r="BST71" s="95"/>
      <c r="BSU71" s="95"/>
      <c r="BSV71" s="95"/>
      <c r="BSW71" s="95"/>
      <c r="BSX71" s="95"/>
      <c r="BSY71" s="95"/>
      <c r="BSZ71" s="95"/>
      <c r="BTA71" s="95"/>
      <c r="BTB71" s="95"/>
      <c r="BTC71" s="95"/>
      <c r="BTD71" s="95"/>
      <c r="BTE71" s="95"/>
      <c r="BTF71" s="95"/>
      <c r="BTG71" s="95"/>
      <c r="BTH71" s="95"/>
      <c r="BTI71" s="95"/>
      <c r="BTJ71" s="95"/>
      <c r="BTK71" s="95"/>
      <c r="BTL71" s="95"/>
      <c r="BTM71" s="95"/>
      <c r="BTN71" s="95"/>
      <c r="BTO71" s="95"/>
      <c r="BTP71" s="95"/>
      <c r="BTQ71" s="95"/>
      <c r="BTR71" s="95"/>
      <c r="BTS71" s="95"/>
      <c r="BTT71" s="95"/>
      <c r="BTU71" s="95"/>
      <c r="BTV71" s="95"/>
      <c r="BTW71" s="95"/>
      <c r="BTX71" s="95"/>
      <c r="BTY71" s="95"/>
      <c r="BTZ71" s="95"/>
      <c r="BUA71" s="95"/>
      <c r="BUB71" s="95"/>
      <c r="BUC71" s="95"/>
      <c r="BUD71" s="95"/>
      <c r="BUE71" s="95"/>
      <c r="BUF71" s="95"/>
      <c r="BUG71" s="95"/>
      <c r="BUH71" s="95"/>
      <c r="BUI71" s="95"/>
      <c r="BUJ71" s="95"/>
      <c r="BUK71" s="95"/>
      <c r="BUL71" s="95"/>
      <c r="BUM71" s="95"/>
      <c r="BUN71" s="95"/>
      <c r="BUO71" s="95"/>
      <c r="BUP71" s="95"/>
      <c r="BUQ71" s="95"/>
      <c r="BUR71" s="95"/>
      <c r="BUS71" s="95"/>
      <c r="BUT71" s="95"/>
      <c r="BUU71" s="95"/>
      <c r="BUV71" s="95"/>
      <c r="BUW71" s="95"/>
      <c r="BUX71" s="95"/>
      <c r="BUY71" s="95"/>
      <c r="BUZ71" s="95"/>
      <c r="BVA71" s="95"/>
      <c r="BVB71" s="95"/>
      <c r="BVC71" s="95"/>
      <c r="BVD71" s="95"/>
      <c r="BVE71" s="95"/>
      <c r="BVF71" s="95"/>
      <c r="BVG71" s="95"/>
      <c r="BVH71" s="95"/>
      <c r="BVI71" s="95"/>
      <c r="BVJ71" s="95"/>
      <c r="BVK71" s="95"/>
      <c r="BVL71" s="95"/>
      <c r="BVM71" s="95"/>
      <c r="BVN71" s="95"/>
      <c r="BVO71" s="95"/>
      <c r="BVP71" s="95"/>
      <c r="BVQ71" s="95"/>
      <c r="BVR71" s="95"/>
      <c r="BVS71" s="95"/>
      <c r="BVT71" s="95"/>
      <c r="BVU71" s="95"/>
      <c r="BVV71" s="95"/>
      <c r="BVW71" s="95"/>
      <c r="BVX71" s="95"/>
      <c r="BVY71" s="95"/>
      <c r="BVZ71" s="95"/>
      <c r="BWA71" s="95"/>
      <c r="BWB71" s="95"/>
      <c r="BWC71" s="95"/>
      <c r="BWD71" s="95"/>
      <c r="BWE71" s="95"/>
      <c r="BWF71" s="95"/>
      <c r="BWG71" s="95"/>
      <c r="BWH71" s="95"/>
      <c r="BWI71" s="95"/>
      <c r="BWJ71" s="95"/>
      <c r="BWK71" s="95"/>
      <c r="BWL71" s="95"/>
      <c r="BWM71" s="95"/>
      <c r="BWN71" s="95"/>
      <c r="BWO71" s="95"/>
      <c r="BWP71" s="95"/>
      <c r="BWQ71" s="95"/>
      <c r="BWR71" s="95"/>
      <c r="BWS71" s="95"/>
      <c r="BWT71" s="95"/>
      <c r="BWU71" s="95"/>
      <c r="BWV71" s="95"/>
      <c r="BWW71" s="95"/>
      <c r="BWX71" s="95"/>
      <c r="BWY71" s="95"/>
      <c r="BWZ71" s="95"/>
      <c r="BXA71" s="95"/>
      <c r="BXB71" s="95"/>
      <c r="BXC71" s="95"/>
      <c r="BXD71" s="95"/>
      <c r="BXE71" s="95"/>
      <c r="BXF71" s="95"/>
      <c r="BXG71" s="95"/>
      <c r="BXH71" s="95"/>
      <c r="BXI71" s="95"/>
      <c r="BXJ71" s="95"/>
      <c r="BXK71" s="95"/>
      <c r="BXL71" s="95"/>
      <c r="BXM71" s="95"/>
      <c r="BXN71" s="95"/>
      <c r="BXO71" s="95"/>
      <c r="BXP71" s="95"/>
      <c r="BXQ71" s="95"/>
      <c r="BXR71" s="95"/>
      <c r="BXS71" s="95"/>
      <c r="BXT71" s="95"/>
      <c r="BXU71" s="95"/>
      <c r="BXV71" s="95"/>
      <c r="BXW71" s="95"/>
      <c r="BXX71" s="95"/>
      <c r="BXY71" s="95"/>
      <c r="BXZ71" s="95"/>
      <c r="BYA71" s="95"/>
      <c r="BYB71" s="95"/>
      <c r="BYC71" s="95"/>
      <c r="BYD71" s="95"/>
      <c r="BYE71" s="95"/>
      <c r="BYF71" s="95"/>
      <c r="BYG71" s="95"/>
    </row>
    <row r="72" spans="1:2009" ht="15" customHeight="1" x14ac:dyDescent="0.25">
      <c r="A72" s="123"/>
      <c r="B72" s="321" t="s">
        <v>460</v>
      </c>
      <c r="C72" s="192"/>
      <c r="D72" s="192"/>
      <c r="E72" s="192"/>
      <c r="F72" s="192"/>
      <c r="G72" s="704"/>
    </row>
    <row r="73" spans="1:2009" ht="8.25" customHeight="1" x14ac:dyDescent="0.25">
      <c r="A73" s="123"/>
      <c r="B73" s="161"/>
      <c r="C73" s="633"/>
      <c r="D73" s="192"/>
      <c r="E73" s="192"/>
      <c r="F73" s="192"/>
      <c r="G73" s="704"/>
    </row>
    <row r="74" spans="1:2009" ht="14.25" customHeight="1" x14ac:dyDescent="0.25">
      <c r="A74" s="123"/>
      <c r="B74" s="571" t="s">
        <v>49</v>
      </c>
      <c r="C74" s="623">
        <v>18152.810000000001</v>
      </c>
      <c r="D74" s="633"/>
      <c r="E74" s="192"/>
      <c r="F74" s="192"/>
      <c r="G74" s="704"/>
    </row>
    <row r="75" spans="1:2009" ht="14.25" customHeight="1" x14ac:dyDescent="0.25">
      <c r="A75" s="123"/>
      <c r="B75" s="571" t="s">
        <v>480</v>
      </c>
      <c r="C75" s="193">
        <v>24927.61</v>
      </c>
      <c r="D75" s="633"/>
      <c r="E75" s="192"/>
      <c r="F75" s="192"/>
      <c r="G75" s="704"/>
    </row>
    <row r="76" spans="1:2009" ht="14.25" hidden="1" customHeight="1" x14ac:dyDescent="0.25">
      <c r="A76" s="123"/>
      <c r="B76" s="571"/>
      <c r="C76" s="623"/>
      <c r="D76" s="633"/>
      <c r="E76" s="192"/>
      <c r="F76" s="192"/>
      <c r="G76" s="704"/>
    </row>
    <row r="77" spans="1:2009" ht="14.25" customHeight="1" x14ac:dyDescent="0.25">
      <c r="A77" s="123"/>
      <c r="B77" s="571" t="s">
        <v>466</v>
      </c>
      <c r="C77" s="623">
        <v>10739.96</v>
      </c>
      <c r="D77" s="633"/>
      <c r="E77" s="192"/>
      <c r="F77" s="192"/>
      <c r="G77" s="704"/>
    </row>
    <row r="78" spans="1:2009" ht="14.25" customHeight="1" x14ac:dyDescent="0.25">
      <c r="A78" s="123"/>
      <c r="B78" s="571" t="s">
        <v>463</v>
      </c>
      <c r="C78" s="623">
        <v>8995.89</v>
      </c>
      <c r="D78" s="633"/>
      <c r="E78" s="192"/>
      <c r="F78" s="192"/>
      <c r="G78" s="704"/>
    </row>
    <row r="79" spans="1:2009" ht="14.25" customHeight="1" x14ac:dyDescent="0.25">
      <c r="A79" s="123"/>
      <c r="B79" s="571" t="s">
        <v>473</v>
      </c>
      <c r="C79" s="623">
        <v>3708.33</v>
      </c>
      <c r="D79" s="633"/>
      <c r="E79" s="192"/>
      <c r="F79" s="192"/>
      <c r="G79" s="704"/>
    </row>
    <row r="80" spans="1:2009" ht="14.25" customHeight="1" x14ac:dyDescent="0.25">
      <c r="A80" s="123"/>
      <c r="B80" s="571" t="s">
        <v>474</v>
      </c>
      <c r="C80" s="623">
        <v>3708.33</v>
      </c>
      <c r="D80" s="633"/>
      <c r="E80" s="192"/>
      <c r="F80" s="192"/>
      <c r="G80" s="704"/>
    </row>
    <row r="81" spans="1:7" ht="14.25" customHeight="1" x14ac:dyDescent="0.25">
      <c r="A81" s="123"/>
      <c r="B81" s="571" t="s">
        <v>475</v>
      </c>
      <c r="C81" s="623">
        <v>3708.37</v>
      </c>
      <c r="D81" s="633"/>
      <c r="E81" s="192"/>
      <c r="F81" s="192"/>
      <c r="G81" s="704"/>
    </row>
    <row r="82" spans="1:7" ht="14.25" hidden="1" customHeight="1" x14ac:dyDescent="0.25">
      <c r="A82" s="123"/>
      <c r="B82" s="571"/>
      <c r="C82" s="623"/>
      <c r="D82" s="633"/>
      <c r="E82" s="192"/>
      <c r="F82" s="192"/>
      <c r="G82" s="704"/>
    </row>
    <row r="83" spans="1:7" ht="14.25" customHeight="1" x14ac:dyDescent="0.25">
      <c r="A83" s="123"/>
      <c r="B83" s="571" t="s">
        <v>431</v>
      </c>
      <c r="C83" s="623">
        <v>4063.07</v>
      </c>
      <c r="D83" s="633"/>
      <c r="E83" s="192"/>
      <c r="F83" s="192"/>
      <c r="G83" s="704"/>
    </row>
    <row r="84" spans="1:7" ht="14.25" hidden="1" customHeight="1" x14ac:dyDescent="0.25">
      <c r="A84" s="123"/>
      <c r="B84" s="571"/>
      <c r="C84" s="623"/>
      <c r="D84" s="633"/>
      <c r="E84" s="192"/>
      <c r="F84" s="192"/>
      <c r="G84" s="704"/>
    </row>
    <row r="85" spans="1:7" ht="14.25" customHeight="1" x14ac:dyDescent="0.25">
      <c r="A85" s="123"/>
      <c r="B85" s="571" t="s">
        <v>477</v>
      </c>
      <c r="C85" s="623">
        <f>E62</f>
        <v>2176.8200000000002</v>
      </c>
      <c r="D85" s="633"/>
      <c r="E85" s="192"/>
      <c r="F85" s="192"/>
      <c r="G85" s="704"/>
    </row>
    <row r="86" spans="1:7" ht="14.25" customHeight="1" x14ac:dyDescent="0.25">
      <c r="A86" s="123"/>
      <c r="B86" s="571" t="s">
        <v>479</v>
      </c>
      <c r="C86" s="623">
        <f>D62</f>
        <v>2040.64</v>
      </c>
      <c r="D86" s="633"/>
      <c r="E86" s="192"/>
      <c r="F86" s="192"/>
      <c r="G86" s="704"/>
    </row>
    <row r="87" spans="1:7" ht="14.25" customHeight="1" x14ac:dyDescent="0.25">
      <c r="A87" s="123"/>
      <c r="B87" s="571" t="s">
        <v>478</v>
      </c>
      <c r="C87" s="623">
        <f>C62</f>
        <v>2490.498</v>
      </c>
      <c r="D87" s="633"/>
      <c r="E87" s="192"/>
      <c r="F87" s="192"/>
      <c r="G87" s="704"/>
    </row>
    <row r="88" spans="1:7" ht="14.25" customHeight="1" x14ac:dyDescent="0.25">
      <c r="A88" s="123"/>
      <c r="B88" s="571" t="s">
        <v>476</v>
      </c>
      <c r="C88" s="623">
        <v>1250</v>
      </c>
      <c r="D88" s="192"/>
      <c r="E88" s="192"/>
      <c r="F88" s="192"/>
      <c r="G88" s="704"/>
    </row>
    <row r="89" spans="1:7" ht="14.25" customHeight="1" x14ac:dyDescent="0.25">
      <c r="A89" s="123"/>
      <c r="B89" s="571" t="s">
        <v>472</v>
      </c>
      <c r="C89" s="623">
        <v>3250</v>
      </c>
      <c r="D89" s="192"/>
      <c r="E89" s="192"/>
      <c r="F89" s="192"/>
      <c r="G89" s="704"/>
    </row>
    <row r="90" spans="1:7" ht="14.25" customHeight="1" x14ac:dyDescent="0.25">
      <c r="A90" s="123"/>
      <c r="B90" s="571" t="s">
        <v>471</v>
      </c>
      <c r="C90" s="623">
        <v>350</v>
      </c>
      <c r="D90" s="192"/>
      <c r="E90" s="192"/>
      <c r="F90" s="192"/>
      <c r="G90" s="704"/>
    </row>
    <row r="91" spans="1:7" ht="15" x14ac:dyDescent="0.25">
      <c r="A91" s="411"/>
      <c r="B91" s="162" t="s">
        <v>461</v>
      </c>
      <c r="C91" s="364">
        <f>SUM(C73:C90)</f>
        <v>89562.328000000009</v>
      </c>
      <c r="D91" s="193"/>
      <c r="E91" s="193"/>
      <c r="F91" s="193"/>
    </row>
    <row r="92" spans="1:7" ht="5.25" customHeight="1" x14ac:dyDescent="0.2">
      <c r="C92" s="193"/>
      <c r="D92" s="193"/>
      <c r="E92" s="193"/>
      <c r="F92" s="193"/>
    </row>
    <row r="93" spans="1:7" ht="15.75" thickBot="1" x14ac:dyDescent="0.3">
      <c r="B93" s="162" t="s">
        <v>468</v>
      </c>
      <c r="C93" s="397">
        <f>G68-C91</f>
        <v>209318.93000000002</v>
      </c>
      <c r="D93" s="193"/>
      <c r="E93" s="193"/>
      <c r="F93" s="193"/>
    </row>
    <row r="94" spans="1:7" ht="12" customHeight="1" thickTop="1" x14ac:dyDescent="0.2">
      <c r="C94" s="193"/>
      <c r="D94" s="193"/>
      <c r="E94" s="193"/>
      <c r="F94" s="193"/>
    </row>
    <row r="95" spans="1:7" ht="15.75" x14ac:dyDescent="0.25">
      <c r="B95" s="321" t="s">
        <v>182</v>
      </c>
      <c r="C95" s="193"/>
      <c r="D95" s="193"/>
      <c r="E95" s="193"/>
      <c r="F95" s="193"/>
    </row>
    <row r="96" spans="1:7" ht="16.5" hidden="1" customHeight="1" x14ac:dyDescent="0.2">
      <c r="B96" s="572"/>
      <c r="C96" s="573"/>
      <c r="D96" s="193"/>
      <c r="E96" s="193"/>
      <c r="F96" s="193"/>
    </row>
    <row r="97" spans="2:6" ht="16.5" hidden="1" customHeight="1" x14ac:dyDescent="0.2">
      <c r="B97" s="572"/>
      <c r="C97" s="573"/>
      <c r="D97" s="193"/>
      <c r="E97" s="193"/>
      <c r="F97" s="193"/>
    </row>
    <row r="98" spans="2:6" ht="16.5" hidden="1" customHeight="1" x14ac:dyDescent="0.2">
      <c r="B98" s="572"/>
      <c r="C98" s="573"/>
      <c r="D98" s="193"/>
      <c r="E98" s="193"/>
      <c r="F98" s="193"/>
    </row>
    <row r="99" spans="2:6" ht="16.5" hidden="1" customHeight="1" x14ac:dyDescent="0.2">
      <c r="B99" s="572"/>
      <c r="C99" s="573"/>
      <c r="D99" s="193"/>
      <c r="E99" s="193"/>
      <c r="F99" s="193"/>
    </row>
    <row r="100" spans="2:6" ht="15" hidden="1" x14ac:dyDescent="0.2">
      <c r="B100" s="545"/>
      <c r="C100" s="193"/>
      <c r="D100" s="193"/>
      <c r="E100" s="193"/>
      <c r="F100" s="193"/>
    </row>
    <row r="101" spans="2:6" hidden="1" x14ac:dyDescent="0.2">
      <c r="B101" s="441"/>
      <c r="C101" s="193"/>
      <c r="D101" s="193"/>
      <c r="E101" s="193"/>
      <c r="F101" s="193"/>
    </row>
    <row r="102" spans="2:6" hidden="1" x14ac:dyDescent="0.2">
      <c r="B102" s="441"/>
      <c r="C102" s="193"/>
      <c r="D102" s="193"/>
      <c r="E102" s="193"/>
      <c r="F102" s="193"/>
    </row>
    <row r="103" spans="2:6" hidden="1" x14ac:dyDescent="0.2">
      <c r="B103" s="441"/>
      <c r="C103" s="193"/>
      <c r="D103" s="193"/>
      <c r="E103" s="193"/>
      <c r="F103" s="193"/>
    </row>
    <row r="104" spans="2:6" hidden="1" x14ac:dyDescent="0.2">
      <c r="B104" s="441"/>
      <c r="C104" s="193"/>
      <c r="D104" s="193"/>
      <c r="E104" s="193"/>
      <c r="F104" s="193"/>
    </row>
    <row r="105" spans="2:6" hidden="1" x14ac:dyDescent="0.2">
      <c r="B105" s="441"/>
      <c r="C105" s="193"/>
      <c r="D105" s="193"/>
      <c r="E105" s="193"/>
      <c r="F105" s="193"/>
    </row>
    <row r="106" spans="2:6" hidden="1" x14ac:dyDescent="0.2">
      <c r="B106" s="441"/>
      <c r="C106" s="369"/>
      <c r="D106" s="193"/>
      <c r="E106" s="193"/>
      <c r="F106" s="193"/>
    </row>
    <row r="107" spans="2:6" x14ac:dyDescent="0.2">
      <c r="B107" s="441" t="s">
        <v>481</v>
      </c>
      <c r="C107" s="369">
        <v>5500</v>
      </c>
      <c r="D107" s="193"/>
      <c r="E107" s="193"/>
      <c r="F107" s="193"/>
    </row>
    <row r="108" spans="2:6" hidden="1" x14ac:dyDescent="0.2">
      <c r="B108" s="441"/>
      <c r="C108" s="369"/>
      <c r="D108" s="193"/>
      <c r="E108" s="193"/>
      <c r="F108" s="193"/>
    </row>
    <row r="109" spans="2:6" x14ac:dyDescent="0.2">
      <c r="B109" s="441"/>
      <c r="C109" s="369"/>
      <c r="D109" s="193"/>
      <c r="E109" s="193"/>
      <c r="F109" s="193"/>
    </row>
    <row r="110" spans="2:6" hidden="1" x14ac:dyDescent="0.2">
      <c r="B110" s="441"/>
      <c r="C110" s="369"/>
      <c r="D110" s="193"/>
      <c r="E110" s="193"/>
      <c r="F110" s="193"/>
    </row>
    <row r="111" spans="2:6" hidden="1" x14ac:dyDescent="0.2">
      <c r="B111" s="441"/>
      <c r="C111" s="369"/>
      <c r="D111" s="193"/>
      <c r="E111" s="193"/>
      <c r="F111" s="193"/>
    </row>
    <row r="112" spans="2:6" hidden="1" x14ac:dyDescent="0.2">
      <c r="B112" s="441"/>
      <c r="C112" s="369"/>
      <c r="D112" s="193"/>
      <c r="E112" s="193"/>
      <c r="F112" s="193"/>
    </row>
    <row r="113" spans="2:6" hidden="1" x14ac:dyDescent="0.2">
      <c r="B113" s="441"/>
      <c r="C113" s="369"/>
      <c r="D113" s="193"/>
      <c r="E113" s="193"/>
      <c r="F113" s="193"/>
    </row>
    <row r="114" spans="2:6" ht="16.5" customHeight="1" x14ac:dyDescent="0.25">
      <c r="B114" s="451" t="s">
        <v>294</v>
      </c>
      <c r="C114" s="369"/>
      <c r="D114" s="193"/>
      <c r="E114" s="193"/>
      <c r="F114" s="193"/>
    </row>
    <row r="115" spans="2:6" ht="16.5" hidden="1" customHeight="1" x14ac:dyDescent="0.25">
      <c r="B115" s="571"/>
      <c r="C115" s="573"/>
      <c r="D115" s="193"/>
      <c r="E115" s="193"/>
      <c r="F115" s="193"/>
    </row>
    <row r="116" spans="2:6" ht="16.5" customHeight="1" x14ac:dyDescent="0.25">
      <c r="B116" s="571" t="s">
        <v>464</v>
      </c>
      <c r="C116" s="573">
        <f>D31</f>
        <v>23464.11</v>
      </c>
      <c r="D116" s="193"/>
      <c r="E116" s="193"/>
      <c r="F116" s="193"/>
    </row>
    <row r="117" spans="2:6" ht="18.75" customHeight="1" x14ac:dyDescent="0.25">
      <c r="B117" s="571" t="s">
        <v>465</v>
      </c>
      <c r="C117" s="193">
        <f>D13</f>
        <v>11832.89</v>
      </c>
      <c r="D117" s="193"/>
      <c r="E117" s="193"/>
      <c r="F117" s="193"/>
    </row>
    <row r="118" spans="2:6" ht="17.25" customHeight="1" thickBot="1" x14ac:dyDescent="0.25">
      <c r="C118" s="650">
        <f>SUM(C115:C117)</f>
        <v>35297</v>
      </c>
      <c r="D118" s="193"/>
      <c r="E118" s="193"/>
      <c r="F118" s="193"/>
    </row>
    <row r="119" spans="2:6" ht="12" customHeight="1" thickTop="1" x14ac:dyDescent="0.2">
      <c r="C119" s="193"/>
      <c r="D119" s="193"/>
      <c r="E119" s="193"/>
      <c r="F119" s="193"/>
    </row>
    <row r="120" spans="2:6" ht="12" customHeight="1" x14ac:dyDescent="0.2">
      <c r="C120" s="193"/>
      <c r="D120" s="193"/>
      <c r="E120" s="193"/>
      <c r="F120" s="193"/>
    </row>
    <row r="121" spans="2:6" ht="12" customHeight="1" x14ac:dyDescent="0.2">
      <c r="C121" s="193"/>
      <c r="D121" s="193"/>
      <c r="E121" s="193"/>
      <c r="F121" s="193"/>
    </row>
    <row r="122" spans="2:6" ht="12" customHeight="1" x14ac:dyDescent="0.2">
      <c r="C122" s="193"/>
      <c r="D122" s="193"/>
      <c r="E122" s="193"/>
      <c r="F122" s="193"/>
    </row>
    <row r="123" spans="2:6" ht="12" customHeight="1" x14ac:dyDescent="0.2">
      <c r="C123" s="193"/>
      <c r="D123" s="193"/>
      <c r="E123" s="193"/>
      <c r="F123" s="193"/>
    </row>
    <row r="124" spans="2:6" ht="12" customHeight="1" x14ac:dyDescent="0.2">
      <c r="C124" s="193"/>
      <c r="D124" s="193"/>
      <c r="E124" s="193"/>
      <c r="F124" s="193"/>
    </row>
    <row r="125" spans="2:6" ht="12" customHeight="1" x14ac:dyDescent="0.2">
      <c r="C125" s="193"/>
      <c r="D125" s="193"/>
      <c r="E125" s="193"/>
      <c r="F125" s="193"/>
    </row>
    <row r="126" spans="2:6" ht="12" customHeight="1" x14ac:dyDescent="0.2">
      <c r="C126" s="193"/>
      <c r="D126" s="193"/>
      <c r="E126" s="193"/>
      <c r="F126" s="193"/>
    </row>
    <row r="127" spans="2:6" ht="12" customHeight="1" x14ac:dyDescent="0.2">
      <c r="C127" s="193"/>
      <c r="D127" s="193"/>
      <c r="E127" s="193"/>
      <c r="F127" s="193"/>
    </row>
    <row r="128" spans="2:6" ht="12" customHeight="1" x14ac:dyDescent="0.2">
      <c r="C128" s="193"/>
      <c r="D128" s="193"/>
      <c r="E128" s="193"/>
      <c r="F128" s="193"/>
    </row>
    <row r="129" spans="3:6" ht="12" customHeight="1" x14ac:dyDescent="0.2">
      <c r="C129" s="193"/>
      <c r="D129" s="193"/>
      <c r="E129" s="193"/>
      <c r="F129" s="193"/>
    </row>
    <row r="130" spans="3:6" ht="12" customHeight="1" x14ac:dyDescent="0.2">
      <c r="C130" s="193"/>
      <c r="D130" s="193"/>
      <c r="E130" s="193"/>
      <c r="F130" s="193"/>
    </row>
    <row r="131" spans="3:6" ht="12" customHeight="1" x14ac:dyDescent="0.2">
      <c r="C131" s="193"/>
      <c r="D131" s="193"/>
      <c r="E131" s="193"/>
      <c r="F131" s="193"/>
    </row>
    <row r="132" spans="3:6" ht="12" customHeight="1" x14ac:dyDescent="0.2">
      <c r="C132" s="193"/>
      <c r="D132" s="193"/>
      <c r="E132" s="193"/>
      <c r="F132" s="193"/>
    </row>
    <row r="133" spans="3:6" ht="12" customHeight="1" x14ac:dyDescent="0.2">
      <c r="C133" s="193"/>
      <c r="D133" s="193"/>
      <c r="E133" s="193"/>
      <c r="F133" s="193"/>
    </row>
    <row r="134" spans="3:6" ht="12" customHeight="1" x14ac:dyDescent="0.2">
      <c r="C134" s="193"/>
      <c r="D134" s="193"/>
      <c r="E134" s="193"/>
      <c r="F134" s="193"/>
    </row>
    <row r="135" spans="3:6" ht="12" customHeight="1" x14ac:dyDescent="0.2">
      <c r="C135" s="193"/>
      <c r="D135" s="193"/>
      <c r="E135" s="193"/>
      <c r="F135" s="193"/>
    </row>
    <row r="136" spans="3:6" ht="12" customHeight="1" x14ac:dyDescent="0.2">
      <c r="C136" s="193"/>
      <c r="D136" s="193"/>
      <c r="E136" s="193"/>
      <c r="F136" s="193"/>
    </row>
    <row r="137" spans="3:6" ht="12" customHeight="1" x14ac:dyDescent="0.2">
      <c r="C137" s="193"/>
      <c r="D137" s="193"/>
      <c r="E137" s="193"/>
      <c r="F137" s="193"/>
    </row>
    <row r="138" spans="3:6" ht="12" customHeight="1" x14ac:dyDescent="0.2">
      <c r="C138" s="193"/>
      <c r="D138" s="193"/>
      <c r="E138" s="193"/>
      <c r="F138" s="193"/>
    </row>
    <row r="139" spans="3:6" ht="12" customHeight="1" x14ac:dyDescent="0.2">
      <c r="C139" s="193"/>
      <c r="D139" s="193"/>
      <c r="E139" s="193"/>
      <c r="F139" s="193"/>
    </row>
    <row r="140" spans="3:6" ht="12" customHeight="1" x14ac:dyDescent="0.2">
      <c r="C140" s="193"/>
      <c r="D140" s="193"/>
      <c r="E140" s="193"/>
      <c r="F140" s="193"/>
    </row>
    <row r="141" spans="3:6" ht="12" customHeight="1" x14ac:dyDescent="0.2">
      <c r="C141" s="193"/>
      <c r="D141" s="193"/>
      <c r="E141" s="193"/>
      <c r="F141" s="193"/>
    </row>
    <row r="142" spans="3:6" ht="12" customHeight="1" x14ac:dyDescent="0.2">
      <c r="C142" s="193"/>
      <c r="D142" s="193"/>
      <c r="E142" s="193"/>
      <c r="F142" s="193"/>
    </row>
    <row r="143" spans="3:6" ht="12" customHeight="1" x14ac:dyDescent="0.2">
      <c r="C143" s="193"/>
      <c r="D143" s="193"/>
      <c r="E143" s="193"/>
      <c r="F143" s="193"/>
    </row>
    <row r="144" spans="3:6" ht="12" customHeight="1" x14ac:dyDescent="0.2">
      <c r="C144" s="193"/>
      <c r="D144" s="193"/>
      <c r="E144" s="193"/>
      <c r="F144" s="193"/>
    </row>
    <row r="145" spans="3:6" ht="12" customHeight="1" x14ac:dyDescent="0.2">
      <c r="C145" s="193"/>
      <c r="D145" s="193"/>
      <c r="E145" s="193"/>
      <c r="F145" s="193"/>
    </row>
    <row r="146" spans="3:6" ht="12" customHeight="1" x14ac:dyDescent="0.2">
      <c r="C146" s="193"/>
      <c r="D146" s="193"/>
      <c r="E146" s="193"/>
      <c r="F146" s="193"/>
    </row>
    <row r="147" spans="3:6" ht="12" customHeight="1" x14ac:dyDescent="0.2">
      <c r="C147" s="193"/>
      <c r="D147" s="193"/>
      <c r="E147" s="193"/>
      <c r="F147" s="193"/>
    </row>
    <row r="148" spans="3:6" ht="12" customHeight="1" x14ac:dyDescent="0.2">
      <c r="C148" s="193"/>
      <c r="D148" s="193"/>
      <c r="E148" s="193"/>
      <c r="F148" s="193"/>
    </row>
    <row r="149" spans="3:6" ht="12" customHeight="1" x14ac:dyDescent="0.2">
      <c r="C149" s="193"/>
      <c r="D149" s="193"/>
      <c r="E149" s="193"/>
      <c r="F149" s="193"/>
    </row>
    <row r="150" spans="3:6" ht="12" customHeight="1" x14ac:dyDescent="0.2">
      <c r="C150" s="193"/>
      <c r="D150" s="193"/>
      <c r="E150" s="193"/>
      <c r="F150" s="193"/>
    </row>
    <row r="151" spans="3:6" ht="12" customHeight="1" x14ac:dyDescent="0.2">
      <c r="C151" s="193"/>
      <c r="D151" s="193"/>
      <c r="E151" s="193"/>
      <c r="F151" s="193"/>
    </row>
    <row r="152" spans="3:6" ht="12" customHeight="1" x14ac:dyDescent="0.2">
      <c r="C152" s="193"/>
      <c r="D152" s="193"/>
      <c r="E152" s="193"/>
      <c r="F152" s="193"/>
    </row>
    <row r="153" spans="3:6" ht="12" customHeight="1" x14ac:dyDescent="0.2">
      <c r="C153" s="193"/>
      <c r="D153" s="193"/>
      <c r="E153" s="193"/>
      <c r="F153" s="193"/>
    </row>
    <row r="154" spans="3:6" ht="12" customHeight="1" x14ac:dyDescent="0.2">
      <c r="C154" s="193"/>
      <c r="D154" s="193"/>
      <c r="E154" s="193"/>
      <c r="F154" s="193"/>
    </row>
    <row r="155" spans="3:6" ht="12" customHeight="1" x14ac:dyDescent="0.2">
      <c r="C155" s="193"/>
      <c r="D155" s="193"/>
      <c r="E155" s="193"/>
      <c r="F155" s="193"/>
    </row>
    <row r="156" spans="3:6" ht="12" customHeight="1" x14ac:dyDescent="0.2">
      <c r="C156" s="193"/>
      <c r="D156" s="193"/>
      <c r="E156" s="193"/>
      <c r="F156" s="193"/>
    </row>
    <row r="157" spans="3:6" ht="12" customHeight="1" x14ac:dyDescent="0.2">
      <c r="C157" s="193"/>
      <c r="D157" s="193"/>
      <c r="E157" s="193"/>
      <c r="F157" s="193"/>
    </row>
    <row r="158" spans="3:6" ht="12" customHeight="1" x14ac:dyDescent="0.2">
      <c r="C158" s="193"/>
      <c r="D158" s="193"/>
      <c r="E158" s="193"/>
      <c r="F158" s="193"/>
    </row>
    <row r="159" spans="3:6" ht="12" customHeight="1" x14ac:dyDescent="0.2">
      <c r="C159" s="193"/>
      <c r="D159" s="193"/>
      <c r="E159" s="193"/>
      <c r="F159" s="193"/>
    </row>
    <row r="160" spans="3:6" ht="12" customHeight="1" x14ac:dyDescent="0.2">
      <c r="C160" s="193"/>
      <c r="D160" s="193"/>
      <c r="E160" s="193"/>
      <c r="F160" s="193"/>
    </row>
    <row r="161" spans="3:6" ht="12" customHeight="1" x14ac:dyDescent="0.2">
      <c r="C161" s="193"/>
      <c r="D161" s="193"/>
      <c r="E161" s="193"/>
      <c r="F161" s="193"/>
    </row>
    <row r="162" spans="3:6" ht="12" customHeight="1" x14ac:dyDescent="0.2">
      <c r="C162" s="193"/>
      <c r="D162" s="193"/>
      <c r="E162" s="193"/>
      <c r="F162" s="193"/>
    </row>
    <row r="163" spans="3:6" ht="12" customHeight="1" x14ac:dyDescent="0.2">
      <c r="C163" s="193"/>
      <c r="D163" s="193"/>
      <c r="E163" s="193"/>
      <c r="F163" s="193"/>
    </row>
    <row r="164" spans="3:6" ht="12" customHeight="1" x14ac:dyDescent="0.2">
      <c r="C164" s="193"/>
      <c r="D164" s="193"/>
      <c r="E164" s="193"/>
      <c r="F164" s="193"/>
    </row>
    <row r="165" spans="3:6" ht="12" customHeight="1" x14ac:dyDescent="0.2">
      <c r="C165" s="193"/>
      <c r="D165" s="193"/>
      <c r="E165" s="193"/>
      <c r="F165" s="193"/>
    </row>
    <row r="166" spans="3:6" ht="12" customHeight="1" x14ac:dyDescent="0.2">
      <c r="C166" s="193"/>
      <c r="D166" s="193"/>
      <c r="E166" s="193"/>
      <c r="F166" s="193"/>
    </row>
    <row r="167" spans="3:6" ht="12" customHeight="1" x14ac:dyDescent="0.2">
      <c r="C167" s="193"/>
      <c r="D167" s="193"/>
      <c r="E167" s="193"/>
      <c r="F167" s="193"/>
    </row>
    <row r="168" spans="3:6" ht="12" customHeight="1" x14ac:dyDescent="0.2">
      <c r="C168" s="193"/>
      <c r="D168" s="193"/>
      <c r="E168" s="193"/>
      <c r="F168" s="193"/>
    </row>
    <row r="169" spans="3:6" ht="12" customHeight="1" x14ac:dyDescent="0.2">
      <c r="C169" s="193"/>
      <c r="D169" s="193"/>
      <c r="E169" s="193"/>
      <c r="F169" s="193"/>
    </row>
    <row r="170" spans="3:6" ht="12" customHeight="1" x14ac:dyDescent="0.2">
      <c r="C170" s="193"/>
      <c r="D170" s="193"/>
      <c r="E170" s="193"/>
      <c r="F170" s="193"/>
    </row>
    <row r="171" spans="3:6" ht="12" customHeight="1" x14ac:dyDescent="0.2">
      <c r="C171" s="193"/>
      <c r="D171" s="193"/>
      <c r="E171" s="193"/>
      <c r="F171" s="193"/>
    </row>
    <row r="172" spans="3:6" ht="12" customHeight="1" x14ac:dyDescent="0.2">
      <c r="C172" s="193"/>
      <c r="D172" s="193"/>
      <c r="E172" s="193"/>
      <c r="F172" s="193"/>
    </row>
    <row r="173" spans="3:6" ht="12" customHeight="1" x14ac:dyDescent="0.2">
      <c r="C173" s="193"/>
      <c r="D173" s="193"/>
      <c r="E173" s="193"/>
      <c r="F173" s="193"/>
    </row>
    <row r="174" spans="3:6" ht="12" customHeight="1" x14ac:dyDescent="0.2">
      <c r="C174" s="193"/>
      <c r="D174" s="193"/>
      <c r="E174" s="193"/>
      <c r="F174" s="193"/>
    </row>
    <row r="175" spans="3:6" ht="12" customHeight="1" x14ac:dyDescent="0.2">
      <c r="C175" s="193"/>
      <c r="D175" s="193"/>
      <c r="E175" s="193"/>
      <c r="F175" s="193"/>
    </row>
    <row r="176" spans="3:6" ht="12" customHeight="1" x14ac:dyDescent="0.2">
      <c r="C176" s="193"/>
      <c r="D176" s="193"/>
      <c r="E176" s="193"/>
      <c r="F176" s="193"/>
    </row>
    <row r="177" spans="2:14" ht="12" customHeight="1" x14ac:dyDescent="0.2">
      <c r="C177" s="193"/>
      <c r="D177" s="193"/>
      <c r="E177" s="193"/>
      <c r="F177" s="193"/>
    </row>
    <row r="178" spans="2:14" ht="12" customHeight="1" x14ac:dyDescent="0.2">
      <c r="C178" s="193"/>
      <c r="D178" s="193"/>
      <c r="E178" s="193"/>
      <c r="F178" s="193"/>
    </row>
    <row r="179" spans="2:14" ht="12" customHeight="1" x14ac:dyDescent="0.2">
      <c r="C179" s="193"/>
      <c r="D179" s="193"/>
      <c r="E179" s="193"/>
      <c r="F179" s="193"/>
    </row>
    <row r="180" spans="2:14" ht="12" customHeight="1" x14ac:dyDescent="0.2">
      <c r="C180" s="193"/>
      <c r="D180" s="193"/>
      <c r="E180" s="193"/>
      <c r="F180" s="193"/>
    </row>
    <row r="181" spans="2:14" ht="14.25" customHeight="1" x14ac:dyDescent="0.2"/>
    <row r="182" spans="2:14" ht="15.75" hidden="1" x14ac:dyDescent="0.25">
      <c r="B182" s="363"/>
      <c r="C182" s="230"/>
    </row>
    <row r="183" spans="2:14" ht="15" hidden="1" x14ac:dyDescent="0.25">
      <c r="B183" s="322"/>
      <c r="C183" s="365"/>
    </row>
    <row r="184" spans="2:14" ht="15" hidden="1" x14ac:dyDescent="0.25">
      <c r="B184" s="322"/>
      <c r="C184" s="369"/>
    </row>
    <row r="185" spans="2:14" ht="15" hidden="1" x14ac:dyDescent="0.25">
      <c r="B185" s="322"/>
      <c r="C185" s="193"/>
    </row>
    <row r="186" spans="2:14" hidden="1" x14ac:dyDescent="0.2">
      <c r="B186" s="285"/>
    </row>
    <row r="187" spans="2:14" hidden="1" x14ac:dyDescent="0.2">
      <c r="B187" s="285"/>
    </row>
    <row r="188" spans="2:14" hidden="1" x14ac:dyDescent="0.2">
      <c r="B188" s="285"/>
    </row>
    <row r="189" spans="2:14" hidden="1" x14ac:dyDescent="0.2"/>
    <row r="190" spans="2:14" hidden="1" x14ac:dyDescent="0.2"/>
    <row r="191" spans="2:14" hidden="1" x14ac:dyDescent="0.2">
      <c r="C191" s="319">
        <v>41698</v>
      </c>
      <c r="D191" s="319">
        <v>41609</v>
      </c>
      <c r="E191" s="319">
        <v>41548</v>
      </c>
      <c r="F191" s="319">
        <v>41487</v>
      </c>
      <c r="G191" s="667">
        <v>41426</v>
      </c>
      <c r="H191" s="319">
        <v>41365</v>
      </c>
      <c r="I191" s="319">
        <v>41306</v>
      </c>
      <c r="J191" s="319">
        <v>41274</v>
      </c>
      <c r="K191" s="319">
        <v>41213</v>
      </c>
      <c r="L191" s="319">
        <v>41152</v>
      </c>
      <c r="M191" s="320">
        <v>41090</v>
      </c>
      <c r="N191" s="319">
        <v>41029</v>
      </c>
    </row>
    <row r="192" spans="2:14" hidden="1" x14ac:dyDescent="0.2">
      <c r="B192" s="58" t="s">
        <v>137</v>
      </c>
      <c r="C192" s="230">
        <f>C68</f>
        <v>172016.19799999997</v>
      </c>
      <c r="D192" s="230">
        <f>105452.64+311868.06-305987</f>
        <v>111333.70000000001</v>
      </c>
      <c r="E192" s="230">
        <v>85798.300000000017</v>
      </c>
      <c r="F192" s="193">
        <f>53253.08+18642.89</f>
        <v>71895.97</v>
      </c>
      <c r="G192" s="667">
        <v>126315</v>
      </c>
      <c r="H192" s="193">
        <v>69404</v>
      </c>
      <c r="I192" s="193">
        <v>75744</v>
      </c>
      <c r="J192" s="193">
        <v>119840.47</v>
      </c>
      <c r="K192" s="193">
        <v>120024</v>
      </c>
      <c r="L192" s="193">
        <v>109142</v>
      </c>
      <c r="M192" s="318">
        <v>142216.66</v>
      </c>
      <c r="N192" s="193">
        <v>104785.62</v>
      </c>
    </row>
    <row r="193" spans="2:14" hidden="1" x14ac:dyDescent="0.2">
      <c r="B193" s="58" t="s">
        <v>138</v>
      </c>
      <c r="C193" s="230">
        <f>D68</f>
        <v>61670.23</v>
      </c>
      <c r="D193" s="230">
        <f>74767.18-13600.56</f>
        <v>61166.619999999995</v>
      </c>
      <c r="E193" s="230">
        <v>86248.31</v>
      </c>
      <c r="F193" s="193">
        <v>43187.16</v>
      </c>
      <c r="G193" s="667">
        <v>60049</v>
      </c>
      <c r="H193" s="193">
        <v>101941</v>
      </c>
      <c r="I193" s="193">
        <v>43152</v>
      </c>
      <c r="J193" s="193">
        <v>58938.2</v>
      </c>
      <c r="K193" s="193">
        <v>85767</v>
      </c>
      <c r="L193" s="193">
        <v>119436</v>
      </c>
      <c r="M193" s="318">
        <v>73223.850000000006</v>
      </c>
      <c r="N193" s="193">
        <v>86907.23</v>
      </c>
    </row>
    <row r="194" spans="2:14" hidden="1" x14ac:dyDescent="0.2">
      <c r="B194" s="58" t="s">
        <v>139</v>
      </c>
      <c r="C194" s="230">
        <f>E68</f>
        <v>52467.61</v>
      </c>
      <c r="D194" s="230">
        <f>66720.93-13675.33</f>
        <v>53045.599999999991</v>
      </c>
      <c r="E194" s="230">
        <v>32950.589999999997</v>
      </c>
      <c r="F194" s="193">
        <v>65970.55</v>
      </c>
      <c r="G194" s="667">
        <v>18719</v>
      </c>
      <c r="H194" s="193">
        <v>3668</v>
      </c>
      <c r="I194" s="193">
        <v>50430</v>
      </c>
      <c r="J194" s="193">
        <v>88408.17</v>
      </c>
      <c r="K194" s="193">
        <v>26680</v>
      </c>
      <c r="L194" s="193">
        <v>51922</v>
      </c>
      <c r="M194" s="318">
        <v>77261.37</v>
      </c>
      <c r="N194" s="193">
        <v>11021.67</v>
      </c>
    </row>
    <row r="195" spans="2:14" hidden="1" x14ac:dyDescent="0.2">
      <c r="B195" s="58" t="s">
        <v>140</v>
      </c>
      <c r="C195" s="230">
        <f>F68</f>
        <v>10550.4</v>
      </c>
      <c r="D195" s="230">
        <v>86322.43</v>
      </c>
      <c r="E195" s="230">
        <v>66109.450000000012</v>
      </c>
      <c r="F195" s="193">
        <v>56011.13</v>
      </c>
      <c r="G195" s="667">
        <v>1250</v>
      </c>
      <c r="H195" s="193">
        <v>0</v>
      </c>
      <c r="I195" s="193">
        <v>9959</v>
      </c>
      <c r="J195" s="193">
        <v>18374.45</v>
      </c>
      <c r="K195" s="193">
        <v>22103</v>
      </c>
      <c r="L195" s="193">
        <v>71168</v>
      </c>
      <c r="M195" s="318">
        <v>55167.87</v>
      </c>
      <c r="N195" s="193"/>
    </row>
    <row r="196" spans="2:14" hidden="1" x14ac:dyDescent="0.2">
      <c r="C196" s="230">
        <f>SUM(C192:C195)</f>
        <v>296704.43800000002</v>
      </c>
      <c r="D196" s="230">
        <f>SUM(D192:D195)</f>
        <v>311868.34999999998</v>
      </c>
      <c r="E196" s="230">
        <v>271106.65000000002</v>
      </c>
      <c r="F196" s="193">
        <f>SUM(F192:F195)</f>
        <v>237064.81</v>
      </c>
      <c r="G196" s="667">
        <f t="shared" ref="G196:N196" si="5">SUM(G192:G195)</f>
        <v>206333</v>
      </c>
      <c r="H196" s="193">
        <f t="shared" si="5"/>
        <v>175013</v>
      </c>
      <c r="I196" s="193">
        <f t="shared" si="5"/>
        <v>179285</v>
      </c>
      <c r="J196" s="193">
        <f t="shared" si="5"/>
        <v>285561.28999999998</v>
      </c>
      <c r="K196" s="193">
        <f t="shared" si="5"/>
        <v>254574</v>
      </c>
      <c r="L196" s="193">
        <f t="shared" si="5"/>
        <v>351668</v>
      </c>
      <c r="M196" s="193">
        <f t="shared" si="5"/>
        <v>347869.75</v>
      </c>
      <c r="N196" s="193">
        <f t="shared" si="5"/>
        <v>202714.52</v>
      </c>
    </row>
    <row r="197" spans="2:14" hidden="1" x14ac:dyDescent="0.2">
      <c r="D197" s="193"/>
      <c r="E197" s="193"/>
      <c r="F197" s="193"/>
      <c r="H197" s="193"/>
      <c r="I197" s="193"/>
      <c r="J197" s="193"/>
      <c r="K197" s="193"/>
      <c r="L197" s="318"/>
    </row>
    <row r="198" spans="2:14" hidden="1" x14ac:dyDescent="0.2">
      <c r="C198" s="193"/>
      <c r="D198" s="193"/>
      <c r="E198" s="193"/>
      <c r="F198" s="193"/>
      <c r="H198" s="318"/>
      <c r="I198" s="318"/>
      <c r="J198" s="318"/>
      <c r="K198" s="318"/>
    </row>
    <row r="199" spans="2:14" hidden="1" x14ac:dyDescent="0.2">
      <c r="C199" s="193"/>
      <c r="D199" s="193"/>
      <c r="E199" s="193"/>
      <c r="F199" s="193"/>
      <c r="H199" s="318"/>
      <c r="I199" s="318"/>
      <c r="J199" s="318"/>
      <c r="K199" s="318"/>
    </row>
    <row r="200" spans="2:14" hidden="1" x14ac:dyDescent="0.2"/>
    <row r="201" spans="2:14" hidden="1" x14ac:dyDescent="0.2"/>
    <row r="202" spans="2:14" hidden="1" x14ac:dyDescent="0.2"/>
    <row r="203" spans="2:14" hidden="1" x14ac:dyDescent="0.2"/>
    <row r="204" spans="2:14" hidden="1" x14ac:dyDescent="0.2"/>
    <row r="205" spans="2:14" hidden="1" x14ac:dyDescent="0.2"/>
    <row r="206" spans="2:14" hidden="1" x14ac:dyDescent="0.2"/>
    <row r="207" spans="2:14" hidden="1" x14ac:dyDescent="0.2"/>
    <row r="208" spans="2:14"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zoomScale="75" zoomScaleNormal="75" workbookViewId="0"/>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5.25" style="18" customWidth="1"/>
    <col min="11" max="11" width="1.25" style="18" hidden="1" customWidth="1"/>
    <col min="12" max="12" width="24" style="18" hidden="1"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176</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52</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53</v>
      </c>
      <c r="B6" s="65"/>
      <c r="C6" s="65"/>
      <c r="D6" s="65"/>
      <c r="E6" s="65"/>
      <c r="F6" s="65"/>
      <c r="G6" s="244"/>
      <c r="H6" s="822" t="s">
        <v>54</v>
      </c>
      <c r="I6" s="822"/>
      <c r="J6" s="822"/>
      <c r="K6" s="244"/>
      <c r="L6" s="244"/>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4" t="s">
        <v>55</v>
      </c>
      <c r="C8" s="154"/>
      <c r="D8" s="154"/>
      <c r="E8" s="154"/>
      <c r="F8" s="154"/>
      <c r="G8" s="334"/>
      <c r="H8" s="287">
        <v>43830</v>
      </c>
      <c r="I8" s="287"/>
      <c r="J8" s="287">
        <v>43465</v>
      </c>
      <c r="K8" s="72"/>
      <c r="L8" s="287">
        <f>H8-365</f>
        <v>43465</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56</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82</v>
      </c>
      <c r="E11" s="76"/>
      <c r="F11" s="76"/>
      <c r="G11" s="266"/>
      <c r="H11" s="266" t="s">
        <v>105</v>
      </c>
      <c r="I11" s="266"/>
      <c r="J11" s="266" t="s">
        <v>105</v>
      </c>
      <c r="K11" s="77"/>
      <c r="L11" s="266" t="s">
        <v>105</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83</v>
      </c>
      <c r="E12" s="76"/>
      <c r="F12" s="76"/>
      <c r="G12" s="266"/>
      <c r="H12" s="266" t="s">
        <v>105</v>
      </c>
      <c r="I12" s="266"/>
      <c r="J12" s="266" t="s">
        <v>105</v>
      </c>
      <c r="K12" s="77"/>
      <c r="L12" s="266" t="s">
        <v>105</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185</v>
      </c>
      <c r="E13" s="76"/>
      <c r="F13" s="76"/>
      <c r="G13" s="248"/>
      <c r="H13" s="248">
        <v>189055.83</v>
      </c>
      <c r="I13" s="248"/>
      <c r="J13" s="248">
        <v>274101.40000000002</v>
      </c>
      <c r="K13" s="77"/>
      <c r="L13" s="248">
        <f>278028.58</f>
        <v>278028.58</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186</v>
      </c>
      <c r="E14" s="76"/>
      <c r="F14" s="76"/>
      <c r="G14" s="237"/>
      <c r="H14" s="237">
        <v>200</v>
      </c>
      <c r="I14" s="237"/>
      <c r="J14" s="237">
        <v>199.98</v>
      </c>
      <c r="K14" s="77"/>
      <c r="L14" s="237">
        <f>11337.88+23881.07</f>
        <v>35218.949999999997</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84</v>
      </c>
      <c r="E15" s="79"/>
      <c r="F15" s="79"/>
      <c r="G15" s="235"/>
      <c r="H15" s="238">
        <v>200</v>
      </c>
      <c r="I15" s="235"/>
      <c r="J15" s="238">
        <v>200</v>
      </c>
      <c r="K15" s="77"/>
      <c r="L15" s="238">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57</v>
      </c>
      <c r="D16" s="74"/>
      <c r="E16" s="74"/>
      <c r="F16" s="74"/>
      <c r="G16" s="239"/>
      <c r="H16" s="239">
        <f>ROUND(SUM(H10:H15),5)</f>
        <v>189455.83</v>
      </c>
      <c r="I16" s="239"/>
      <c r="J16" s="239">
        <f>ROUND(SUM(J10:J15),5)</f>
        <v>274501.38</v>
      </c>
      <c r="K16" s="69"/>
      <c r="L16" s="239">
        <f>ROUND(SUM(L10:L15),5)</f>
        <v>313447.53000000003</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37"/>
      <c r="H17" s="237"/>
      <c r="I17" s="237"/>
      <c r="J17" s="237"/>
      <c r="K17" s="69"/>
      <c r="L17" s="237"/>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59</v>
      </c>
      <c r="D18" s="74"/>
      <c r="E18" s="74"/>
      <c r="F18" s="74"/>
      <c r="G18" s="237"/>
      <c r="H18" s="237"/>
      <c r="I18" s="237"/>
      <c r="J18" s="237"/>
      <c r="K18" s="69"/>
      <c r="L18" s="237"/>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155</v>
      </c>
      <c r="E19" s="80"/>
      <c r="F19" s="80"/>
      <c r="G19" s="286"/>
      <c r="H19" s="286">
        <f>'December''19 AR Aging '!G68</f>
        <v>298881.25800000003</v>
      </c>
      <c r="I19" s="286"/>
      <c r="J19" s="286">
        <v>245292.72</v>
      </c>
      <c r="K19" s="251"/>
      <c r="L19" s="286">
        <v>233504.28</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403"/>
      <c r="B20" s="405"/>
      <c r="C20" s="80"/>
      <c r="D20" s="80" t="s">
        <v>168</v>
      </c>
      <c r="E20" s="80"/>
      <c r="F20" s="80"/>
      <c r="G20" s="286"/>
      <c r="H20" s="235">
        <v>2550</v>
      </c>
      <c r="I20" s="286"/>
      <c r="J20" s="286"/>
      <c r="K20" s="251"/>
      <c r="L20" s="286">
        <v>70.95</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05"/>
      <c r="C21" s="76"/>
      <c r="D21" s="76" t="s">
        <v>223</v>
      </c>
      <c r="E21" s="76"/>
      <c r="F21" s="76"/>
      <c r="G21" s="237"/>
      <c r="H21" s="237">
        <v>184417.26</v>
      </c>
      <c r="I21" s="237"/>
      <c r="J21" s="237">
        <v>159621.23000000001</v>
      </c>
      <c r="K21" s="251"/>
      <c r="L21" s="237">
        <v>164332.01</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05"/>
      <c r="C22" s="79"/>
      <c r="D22" s="79" t="s">
        <v>85</v>
      </c>
      <c r="E22" s="79"/>
      <c r="F22" s="79"/>
      <c r="G22" s="235"/>
      <c r="H22" s="238">
        <f>3897.37</f>
        <v>3897.37</v>
      </c>
      <c r="I22" s="235"/>
      <c r="J22" s="412">
        <f>3160.78+1098.06</f>
        <v>4258.84</v>
      </c>
      <c r="K22" s="251"/>
      <c r="L22" s="238">
        <f>5717.38+1136.06</f>
        <v>6853.4400000000005</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60</v>
      </c>
      <c r="D23" s="68"/>
      <c r="E23" s="68"/>
      <c r="F23" s="68"/>
      <c r="G23" s="240"/>
      <c r="H23" s="240">
        <f>SUM(H19:H22)</f>
        <v>489745.88800000004</v>
      </c>
      <c r="I23" s="240"/>
      <c r="J23" s="240">
        <f>SUM(J19:J22)</f>
        <v>409172.79000000004</v>
      </c>
      <c r="K23" s="267"/>
      <c r="L23" s="240">
        <f>SUM(L19:L22)</f>
        <v>404760.68</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35"/>
      <c r="H24" s="235"/>
      <c r="I24" s="235"/>
      <c r="J24" s="235"/>
      <c r="K24" s="69"/>
      <c r="L24" s="235"/>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81" t="s">
        <v>61</v>
      </c>
      <c r="C25" s="81"/>
      <c r="D25" s="81"/>
      <c r="E25" s="81"/>
      <c r="F25" s="81"/>
      <c r="G25" s="240"/>
      <c r="H25" s="241">
        <f>H16+H23</f>
        <v>679201.71799999999</v>
      </c>
      <c r="I25" s="240"/>
      <c r="J25" s="241">
        <f>J16+J23</f>
        <v>683674.17</v>
      </c>
      <c r="K25" s="69"/>
      <c r="L25" s="241">
        <f>L16+L23</f>
        <v>718208.21</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Top="1" x14ac:dyDescent="0.2">
      <c r="A26" s="74"/>
      <c r="B26" s="74"/>
      <c r="C26" s="74"/>
      <c r="D26" s="74"/>
      <c r="E26" s="74"/>
      <c r="F26" s="74"/>
      <c r="G26" s="240"/>
      <c r="H26" s="239"/>
      <c r="I26" s="240"/>
      <c r="J26" s="239"/>
      <c r="K26" s="69"/>
      <c r="L26" s="23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62</v>
      </c>
      <c r="C27" s="71"/>
      <c r="D27" s="71"/>
      <c r="E27" s="71"/>
      <c r="F27" s="71"/>
      <c r="G27" s="272"/>
      <c r="H27" s="242"/>
      <c r="I27" s="272"/>
      <c r="J27" s="242"/>
      <c r="K27" s="72"/>
      <c r="L27" s="24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405"/>
      <c r="C28" s="76"/>
      <c r="D28" s="76" t="s">
        <v>86</v>
      </c>
      <c r="E28" s="76"/>
      <c r="F28" s="76"/>
      <c r="G28" s="235"/>
      <c r="H28" s="237">
        <v>221731.4</v>
      </c>
      <c r="I28" s="235"/>
      <c r="J28" s="237">
        <v>192474.47</v>
      </c>
      <c r="K28" s="251"/>
      <c r="L28" s="237">
        <v>192474.47</v>
      </c>
      <c r="M28" s="77"/>
      <c r="N28" s="77"/>
      <c r="O28" s="77"/>
      <c r="P28" s="251"/>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405"/>
      <c r="C29" s="76"/>
      <c r="D29" s="76" t="s">
        <v>87</v>
      </c>
      <c r="E29" s="76"/>
      <c r="F29" s="76"/>
      <c r="G29" s="235"/>
      <c r="H29" s="237">
        <v>49562</v>
      </c>
      <c r="I29" s="235"/>
      <c r="J29" s="237">
        <v>49562</v>
      </c>
      <c r="K29" s="251"/>
      <c r="L29" s="237">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405"/>
      <c r="C30" s="76"/>
      <c r="D30" s="76" t="s">
        <v>88</v>
      </c>
      <c r="E30" s="76"/>
      <c r="F30" s="76"/>
      <c r="G30" s="235"/>
      <c r="H30" s="237">
        <v>207734.77</v>
      </c>
      <c r="I30" s="235"/>
      <c r="J30" s="237">
        <v>162848.99</v>
      </c>
      <c r="K30" s="251"/>
      <c r="L30" s="237">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89</v>
      </c>
      <c r="E31" s="80"/>
      <c r="F31" s="80"/>
      <c r="G31" s="235"/>
      <c r="H31" s="235">
        <v>-324036.03999999998</v>
      </c>
      <c r="I31" s="235"/>
      <c r="J31" s="235">
        <v>-285865.03999999998</v>
      </c>
      <c r="K31" s="251"/>
      <c r="L31" s="235">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356</v>
      </c>
      <c r="C32" s="81"/>
      <c r="D32" s="81"/>
      <c r="E32" s="81"/>
      <c r="F32" s="81"/>
      <c r="G32" s="240"/>
      <c r="H32" s="243">
        <v>199781.25</v>
      </c>
      <c r="I32" s="240"/>
      <c r="J32" s="243">
        <v>155171.13</v>
      </c>
      <c r="K32" s="69"/>
      <c r="L32" s="243">
        <v>113709.17</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40"/>
      <c r="H33" s="239"/>
      <c r="I33" s="240"/>
      <c r="J33" s="239"/>
      <c r="K33" s="69"/>
      <c r="L33" s="23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35"/>
      <c r="H34" s="235"/>
      <c r="I34" s="235"/>
      <c r="J34" s="235"/>
      <c r="K34" s="69"/>
      <c r="L34" s="235"/>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63</v>
      </c>
      <c r="B35" s="82"/>
      <c r="C35" s="82"/>
      <c r="D35" s="82"/>
      <c r="E35" s="82"/>
      <c r="F35" s="82"/>
      <c r="G35" s="274"/>
      <c r="H35" s="249">
        <f>H25+H32</f>
        <v>878982.96799999999</v>
      </c>
      <c r="I35" s="274"/>
      <c r="J35" s="249">
        <f>J25+J32</f>
        <v>838845.3</v>
      </c>
      <c r="K35" s="83"/>
      <c r="L35" s="249">
        <f>L25+L32</f>
        <v>831917.38</v>
      </c>
      <c r="M35" s="83"/>
      <c r="N35" s="83"/>
      <c r="O35" s="83"/>
      <c r="P35" s="661"/>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36"/>
      <c r="H36" s="240"/>
      <c r="I36" s="240"/>
      <c r="J36" s="240"/>
      <c r="K36" s="85"/>
      <c r="L36" s="240"/>
      <c r="M36" s="85"/>
      <c r="N36" s="85"/>
      <c r="O36" s="85"/>
      <c r="P36" s="416"/>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64</v>
      </c>
      <c r="B37" s="65"/>
      <c r="C37" s="65"/>
      <c r="D37" s="65"/>
      <c r="E37" s="65"/>
      <c r="F37" s="65"/>
      <c r="G37" s="335"/>
      <c r="H37" s="244"/>
      <c r="I37" s="244"/>
      <c r="J37" s="244"/>
      <c r="K37" s="66"/>
      <c r="L37" s="244"/>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37"/>
      <c r="H38" s="237"/>
      <c r="I38" s="235"/>
      <c r="J38" s="237"/>
      <c r="K38" s="69"/>
      <c r="L38" s="237"/>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65</v>
      </c>
      <c r="C39" s="88"/>
      <c r="D39" s="88"/>
      <c r="E39" s="88"/>
      <c r="F39" s="88"/>
      <c r="G39" s="245"/>
      <c r="H39" s="245"/>
      <c r="I39" s="245"/>
      <c r="J39" s="245"/>
      <c r="K39" s="69"/>
      <c r="L39" s="245"/>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35"/>
      <c r="H40" s="237"/>
      <c r="I40" s="235"/>
      <c r="J40" s="237"/>
      <c r="K40" s="69"/>
      <c r="L40" s="237"/>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4" t="s">
        <v>66</v>
      </c>
      <c r="C41" s="155"/>
      <c r="D41" s="154"/>
      <c r="E41" s="154"/>
      <c r="F41" s="154"/>
      <c r="G41" s="272"/>
      <c r="H41" s="236"/>
      <c r="I41" s="272"/>
      <c r="J41" s="236"/>
      <c r="K41" s="72"/>
      <c r="L41" s="236"/>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156</v>
      </c>
      <c r="F42" s="76"/>
      <c r="G42" s="250"/>
      <c r="H42" s="250">
        <f>26721.47</f>
        <v>26721.47</v>
      </c>
      <c r="I42" s="250"/>
      <c r="J42" s="250">
        <f>43238.03</f>
        <v>43238.03</v>
      </c>
      <c r="K42" s="393"/>
      <c r="L42" s="250">
        <f>11861.17</f>
        <v>11861.17</v>
      </c>
      <c r="M42" s="77"/>
      <c r="N42" s="393"/>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102</v>
      </c>
      <c r="F43" s="76"/>
      <c r="G43" s="235"/>
      <c r="H43" s="235">
        <v>1080.58</v>
      </c>
      <c r="I43" s="235"/>
      <c r="J43" s="235">
        <v>139.85</v>
      </c>
      <c r="K43" s="77"/>
      <c r="L43" s="235">
        <v>778.85</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90</v>
      </c>
      <c r="F44" s="76"/>
      <c r="G44" s="235"/>
      <c r="H44" s="237">
        <v>21664</v>
      </c>
      <c r="I44" s="237"/>
      <c r="J44" s="237">
        <v>21393</v>
      </c>
      <c r="K44" s="77"/>
      <c r="L44" s="237">
        <f>150</f>
        <v>150</v>
      </c>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163</v>
      </c>
      <c r="F45" s="76"/>
      <c r="G45" s="235"/>
      <c r="H45" s="237">
        <v>0</v>
      </c>
      <c r="I45" s="237"/>
      <c r="J45" s="237">
        <v>0</v>
      </c>
      <c r="K45" s="77"/>
      <c r="L45" s="237">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101</v>
      </c>
      <c r="E46" s="153"/>
      <c r="F46" s="79"/>
      <c r="G46" s="235"/>
      <c r="H46" s="237">
        <f>'December''19 Revenues &amp; Expenses'!L45</f>
        <v>35714.839999999997</v>
      </c>
      <c r="I46" s="333"/>
      <c r="J46" s="237">
        <v>45765.85</v>
      </c>
      <c r="K46" s="251"/>
      <c r="L46" s="237">
        <v>71749.66</v>
      </c>
      <c r="M46" s="77"/>
      <c r="N46" s="77"/>
      <c r="O46" s="77"/>
      <c r="P46" s="251"/>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77</v>
      </c>
      <c r="D47" s="76"/>
      <c r="F47" s="76"/>
      <c r="G47" s="235"/>
      <c r="H47" s="246">
        <f>SUM(H42:H46)</f>
        <v>85180.89</v>
      </c>
      <c r="I47" s="333"/>
      <c r="J47" s="246">
        <f>SUM(J42:J46)</f>
        <v>110536.73</v>
      </c>
      <c r="K47" s="77"/>
      <c r="L47" s="246">
        <f>SUM(L42:L46)</f>
        <v>84539.680000000008</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35"/>
      <c r="H48" s="237"/>
      <c r="I48" s="333"/>
      <c r="J48" s="237"/>
      <c r="K48" s="77"/>
      <c r="L48" s="23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79</v>
      </c>
      <c r="D49" s="89"/>
      <c r="E49" s="153"/>
      <c r="F49" s="153"/>
      <c r="G49" s="235"/>
      <c r="H49" s="238"/>
      <c r="I49" s="333"/>
      <c r="J49" s="238"/>
      <c r="K49" s="77"/>
      <c r="L49" s="238"/>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93</v>
      </c>
      <c r="E50" s="76"/>
      <c r="F50" s="76"/>
      <c r="G50" s="235"/>
      <c r="H50" s="235">
        <f>24084.13+1024.34-H52-H53</f>
        <v>24369.21</v>
      </c>
      <c r="I50" s="333"/>
      <c r="J50" s="235">
        <f>21018.38+1995.43-J52-J53</f>
        <v>21333.690000000002</v>
      </c>
      <c r="K50" s="77"/>
      <c r="L50" s="235">
        <f>48363.66+675.97-L52-L53</f>
        <v>47511.44000000001</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94</v>
      </c>
      <c r="E51" s="76"/>
      <c r="F51" s="76"/>
      <c r="G51" s="235"/>
      <c r="H51" s="235">
        <v>18883.43</v>
      </c>
      <c r="I51" s="333"/>
      <c r="J51" s="235">
        <v>19121.490000000002</v>
      </c>
      <c r="K51" s="77"/>
      <c r="L51" s="235">
        <v>27385.63</v>
      </c>
      <c r="M51" s="77"/>
      <c r="N51" s="77"/>
      <c r="O51" s="77"/>
      <c r="P51" s="77"/>
      <c r="Q51" s="251"/>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95</v>
      </c>
      <c r="E52" s="76"/>
      <c r="F52" s="76"/>
      <c r="G52" s="235"/>
      <c r="H52" s="237">
        <v>548.55999999999995</v>
      </c>
      <c r="I52" s="333"/>
      <c r="J52" s="237">
        <v>1527.8</v>
      </c>
      <c r="K52" s="77"/>
      <c r="L52" s="237">
        <v>1407.92</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96</v>
      </c>
      <c r="E53" s="76"/>
      <c r="F53" s="76"/>
      <c r="G53" s="235"/>
      <c r="H53" s="238">
        <v>190.7</v>
      </c>
      <c r="I53" s="333"/>
      <c r="J53" s="238">
        <v>152.32</v>
      </c>
      <c r="K53" s="77"/>
      <c r="L53" s="238">
        <v>120.27</v>
      </c>
      <c r="M53" s="77"/>
      <c r="N53" s="77"/>
      <c r="O53" s="77"/>
      <c r="P53" s="77"/>
      <c r="Q53" s="251"/>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78</v>
      </c>
      <c r="D54" s="76"/>
      <c r="F54" s="80"/>
      <c r="G54" s="235"/>
      <c r="H54" s="235">
        <f>ROUND(SUM(H49:H53),5)</f>
        <v>43991.9</v>
      </c>
      <c r="I54" s="333"/>
      <c r="J54" s="235">
        <f>ROUND(SUM(J49:J53),5)</f>
        <v>42135.3</v>
      </c>
      <c r="K54" s="77"/>
      <c r="L54" s="235">
        <f>ROUND(SUM(L49:L53),5)</f>
        <v>76425.259999999995</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35"/>
      <c r="H55" s="238"/>
      <c r="I55" s="333"/>
      <c r="J55" s="238"/>
      <c r="K55" s="77"/>
      <c r="L55" s="238"/>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80</v>
      </c>
      <c r="D56" s="74"/>
      <c r="E56" s="74"/>
      <c r="F56" s="74"/>
      <c r="G56" s="240"/>
      <c r="H56" s="239">
        <f>H47+H54</f>
        <v>129172.79000000001</v>
      </c>
      <c r="I56" s="398"/>
      <c r="J56" s="239">
        <f>J47+J54</f>
        <v>152672.03</v>
      </c>
      <c r="K56" s="267"/>
      <c r="L56" s="239">
        <f>L47+L54</f>
        <v>160964.94</v>
      </c>
      <c r="M56" s="69"/>
      <c r="N56" s="353"/>
      <c r="O56" s="69"/>
      <c r="P56" s="353"/>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40"/>
      <c r="H57" s="239"/>
      <c r="I57" s="398"/>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67</v>
      </c>
      <c r="C58" s="88"/>
      <c r="D58" s="88"/>
      <c r="E58" s="88"/>
      <c r="F58" s="88"/>
      <c r="G58" s="235"/>
      <c r="H58" s="245"/>
      <c r="I58" s="333"/>
      <c r="J58" s="245"/>
      <c r="K58" s="69"/>
      <c r="L58" s="245"/>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362</v>
      </c>
      <c r="E59" s="76"/>
      <c r="F59" s="76"/>
      <c r="G59" s="235"/>
      <c r="H59" s="237">
        <f>J59+J61</f>
        <v>654189.64</v>
      </c>
      <c r="I59" s="333"/>
      <c r="J59" s="237">
        <f>686173.27-J61-J60</f>
        <v>630809.30000000005</v>
      </c>
      <c r="K59" s="251"/>
      <c r="L59" s="237">
        <f>J59</f>
        <v>630809.30000000005</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363</v>
      </c>
      <c r="E60" s="76"/>
      <c r="F60" s="76"/>
      <c r="G60" s="235"/>
      <c r="H60" s="237">
        <f>'December''19 Revenues &amp; Expenses'!L67</f>
        <v>29306.7</v>
      </c>
      <c r="I60" s="333"/>
      <c r="J60" s="237">
        <v>31983.63</v>
      </c>
      <c r="K60" s="251"/>
      <c r="L60" s="237">
        <v>37565.61</v>
      </c>
      <c r="M60" s="77"/>
      <c r="N60" s="77"/>
      <c r="O60" s="251"/>
      <c r="P60" s="251"/>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135</v>
      </c>
      <c r="E61" s="74"/>
      <c r="F61" s="88"/>
      <c r="G61" s="333"/>
      <c r="H61" s="245">
        <f>'December''19 State of Activities'!G59</f>
        <v>66314.229999999749</v>
      </c>
      <c r="I61" s="333"/>
      <c r="J61" s="245">
        <v>23380.34</v>
      </c>
      <c r="K61" s="69"/>
      <c r="L61" s="245">
        <f>'December''19 State of Activities'!J59</f>
        <v>23380.339999999618</v>
      </c>
      <c r="M61" s="69"/>
      <c r="N61" s="69"/>
      <c r="O61" s="69"/>
      <c r="P61" s="402"/>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68</v>
      </c>
      <c r="C62" s="91"/>
      <c r="D62" s="91"/>
      <c r="E62" s="91"/>
      <c r="F62" s="68"/>
      <c r="G62" s="398"/>
      <c r="H62" s="240">
        <f>ROUND(SUM(H58:H61),5)</f>
        <v>749810.57</v>
      </c>
      <c r="I62" s="398"/>
      <c r="J62" s="240">
        <f>ROUND(SUM(J58:J61),5)</f>
        <v>686173.27</v>
      </c>
      <c r="K62" s="69"/>
      <c r="L62" s="240">
        <f>ROUND(SUM(L58:L61),5)</f>
        <v>691755.25</v>
      </c>
      <c r="M62" s="69"/>
      <c r="N62" s="69"/>
      <c r="O62" s="69"/>
      <c r="P62" s="402"/>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33"/>
      <c r="H63" s="238"/>
      <c r="I63" s="333"/>
      <c r="J63" s="238"/>
      <c r="K63" s="69"/>
      <c r="L63" s="238"/>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69</v>
      </c>
      <c r="B64" s="82"/>
      <c r="C64" s="82"/>
      <c r="D64" s="82"/>
      <c r="E64" s="82"/>
      <c r="F64" s="82"/>
      <c r="G64" s="399"/>
      <c r="H64" s="366">
        <f>SUM(H56+H62)</f>
        <v>878983.36</v>
      </c>
      <c r="I64" s="399"/>
      <c r="J64" s="366">
        <f>SUM(J56+J62)</f>
        <v>838845.3</v>
      </c>
      <c r="K64" s="83"/>
      <c r="L64" s="366">
        <f>SUM(L56+L62)</f>
        <v>852720.19</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54"/>
      <c r="G65" s="1"/>
      <c r="I65" s="1"/>
    </row>
    <row r="66" spans="3:12" hidden="1" x14ac:dyDescent="0.2">
      <c r="G66" s="400"/>
      <c r="H66" s="253"/>
      <c r="I66" s="253"/>
      <c r="J66" s="253"/>
      <c r="L66" s="253"/>
    </row>
    <row r="67" spans="3:12" ht="14.25" customHeight="1" x14ac:dyDescent="0.2">
      <c r="C67" s="820" t="s">
        <v>208</v>
      </c>
      <c r="D67" s="820"/>
      <c r="E67" s="820"/>
      <c r="F67" s="820"/>
      <c r="G67" s="1"/>
      <c r="H67" s="453">
        <f>(H19+H16)/H56</f>
        <v>3.7804950098236629</v>
      </c>
      <c r="J67" s="453">
        <f>(J19+J16)/J56</f>
        <v>3.4046452385548287</v>
      </c>
      <c r="K67" s="267"/>
      <c r="L67" s="453">
        <f>(L19+L16)/L56</f>
        <v>3.3979561636217182</v>
      </c>
    </row>
    <row r="70" spans="3:12" x14ac:dyDescent="0.2">
      <c r="G70" s="277"/>
      <c r="H70" s="253">
        <f>H64-H35</f>
        <v>0.39199999999254942</v>
      </c>
      <c r="I70" s="277"/>
      <c r="J70" s="253">
        <f>J64-J35</f>
        <v>0</v>
      </c>
      <c r="L70" s="253">
        <f>L64-L35</f>
        <v>20802.809999999939</v>
      </c>
    </row>
    <row r="71" spans="3:12" x14ac:dyDescent="0.2">
      <c r="L71" s="634"/>
    </row>
    <row r="75" spans="3:12" x14ac:dyDescent="0.2">
      <c r="H75" s="277"/>
    </row>
  </sheetData>
  <mergeCells count="2">
    <mergeCell ref="C67:F67"/>
    <mergeCell ref="H6:J6"/>
  </mergeCells>
  <pageMargins left="0.7" right="0.45" top="0.25" bottom="0" header="0.3" footer="0"/>
  <pageSetup scale="7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zoomScale="75" zoomScaleNormal="75" workbookViewId="0"/>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23.125" style="18" hidden="1" customWidth="1"/>
    <col min="9" max="9" width="1.625" style="18" customWidth="1"/>
    <col min="10" max="10" width="23" style="18" customWidth="1"/>
    <col min="11" max="11" width="1.875" style="379" customWidth="1"/>
    <col min="12" max="12" width="17.25" style="18" customWidth="1"/>
    <col min="13" max="13" width="10" style="18" customWidth="1"/>
    <col min="14" max="14" width="88.625" style="554"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100</v>
      </c>
      <c r="B1" s="60"/>
      <c r="C1" s="61"/>
      <c r="D1" s="61"/>
      <c r="E1" s="61"/>
      <c r="F1" s="60"/>
      <c r="G1" s="233"/>
      <c r="H1" s="60"/>
      <c r="I1" s="60"/>
      <c r="J1" s="60"/>
      <c r="K1" s="371"/>
      <c r="L1" s="60"/>
      <c r="M1" s="60"/>
      <c r="N1" s="546"/>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368</v>
      </c>
      <c r="B2" s="60"/>
      <c r="C2" s="61"/>
      <c r="D2" s="61"/>
      <c r="E2" s="61"/>
      <c r="F2" s="60"/>
      <c r="G2" s="233"/>
      <c r="H2" s="60"/>
      <c r="I2" s="60"/>
      <c r="J2" s="233"/>
      <c r="K2" s="371"/>
      <c r="L2" s="60"/>
      <c r="M2" s="60"/>
      <c r="N2" s="546"/>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hidden="1" customHeight="1" x14ac:dyDescent="0.4">
      <c r="A3" s="59" t="s">
        <v>449</v>
      </c>
      <c r="B3" s="60"/>
      <c r="C3" s="61"/>
      <c r="D3" s="61"/>
      <c r="E3" s="61"/>
      <c r="F3" s="60"/>
      <c r="G3" s="233"/>
      <c r="H3" s="60"/>
      <c r="I3" s="60"/>
      <c r="J3" s="60"/>
      <c r="K3" s="371"/>
      <c r="L3" s="60"/>
      <c r="M3" s="60"/>
      <c r="N3" s="546"/>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496</v>
      </c>
      <c r="B4" s="60"/>
      <c r="C4" s="61"/>
      <c r="D4" s="61"/>
      <c r="E4" s="61"/>
      <c r="F4" s="60"/>
      <c r="G4" s="233"/>
      <c r="H4" s="60"/>
      <c r="I4" s="60"/>
      <c r="J4" s="60"/>
      <c r="K4" s="371"/>
      <c r="L4" s="60"/>
      <c r="M4" s="60"/>
      <c r="N4" s="546"/>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34"/>
      <c r="H5" s="63"/>
      <c r="I5" s="63"/>
      <c r="J5" s="63"/>
      <c r="K5" s="372"/>
      <c r="L5" s="63"/>
      <c r="M5" s="63"/>
      <c r="N5" s="547"/>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114</v>
      </c>
      <c r="B6" s="65"/>
      <c r="C6" s="65"/>
      <c r="D6" s="65"/>
      <c r="E6" s="65"/>
      <c r="F6" s="65"/>
      <c r="G6" s="822" t="s">
        <v>54</v>
      </c>
      <c r="H6" s="822"/>
      <c r="I6" s="822"/>
      <c r="J6" s="822"/>
      <c r="K6" s="645"/>
      <c r="L6" s="430" t="s">
        <v>189</v>
      </c>
      <c r="M6" s="427" t="s">
        <v>202</v>
      </c>
      <c r="N6" s="645" t="s">
        <v>188</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35"/>
      <c r="K7" s="374"/>
      <c r="N7" s="548"/>
    </row>
    <row r="8" spans="1:113" s="73" customFormat="1" ht="21" thickBot="1" x14ac:dyDescent="0.35">
      <c r="A8" s="70"/>
      <c r="B8" s="154" t="s">
        <v>106</v>
      </c>
      <c r="C8" s="154"/>
      <c r="D8" s="154"/>
      <c r="E8" s="154"/>
      <c r="F8" s="154"/>
      <c r="G8" s="287">
        <f>'December''19 Financial Position'!H8</f>
        <v>43830</v>
      </c>
      <c r="H8" s="287">
        <v>43465</v>
      </c>
      <c r="I8" s="334"/>
      <c r="J8" s="287">
        <f>G8-365</f>
        <v>43465</v>
      </c>
      <c r="K8" s="375"/>
      <c r="L8" s="821" t="s">
        <v>492</v>
      </c>
      <c r="M8" s="821"/>
      <c r="N8" s="549"/>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107</v>
      </c>
      <c r="D9" s="76"/>
      <c r="E9" s="76"/>
      <c r="F9" s="74"/>
      <c r="G9" s="268">
        <v>820788.58</v>
      </c>
      <c r="H9" s="268">
        <v>942891.49</v>
      </c>
      <c r="I9" s="337"/>
      <c r="J9" s="268">
        <v>942891.49</v>
      </c>
      <c r="K9" s="374"/>
      <c r="L9" s="392">
        <f t="shared" ref="L9:L28" si="0">G9-J9</f>
        <v>-122102.91000000003</v>
      </c>
      <c r="M9" s="454">
        <f>L9/J9</f>
        <v>-0.12949836889502528</v>
      </c>
      <c r="N9" s="548" t="s">
        <v>527</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181</v>
      </c>
      <c r="D10" s="76"/>
      <c r="E10" s="76"/>
      <c r="F10" s="74"/>
      <c r="G10" s="269"/>
      <c r="H10" s="269">
        <v>4698.29</v>
      </c>
      <c r="I10" s="333"/>
      <c r="J10" s="269">
        <v>4698.29</v>
      </c>
      <c r="K10" s="374"/>
      <c r="L10" s="280">
        <f t="shared" si="0"/>
        <v>-4698.29</v>
      </c>
      <c r="M10" s="454">
        <f>L10/J10</f>
        <v>-1</v>
      </c>
      <c r="N10" s="548" t="s">
        <v>525</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06"/>
      <c r="C11" s="76" t="s">
        <v>157</v>
      </c>
      <c r="D11" s="76"/>
      <c r="E11" s="76"/>
      <c r="F11" s="74"/>
      <c r="G11" s="269">
        <v>158720.91</v>
      </c>
      <c r="H11" s="269">
        <v>153461.26</v>
      </c>
      <c r="I11" s="333"/>
      <c r="J11" s="269">
        <v>153461.26</v>
      </c>
      <c r="K11" s="374"/>
      <c r="L11" s="280">
        <f t="shared" si="0"/>
        <v>5259.6499999999942</v>
      </c>
      <c r="M11" s="454">
        <f>L11/J11</f>
        <v>3.4273470711761352E-2</v>
      </c>
      <c r="N11" s="548"/>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06"/>
      <c r="C12" s="435" t="s">
        <v>419</v>
      </c>
      <c r="D12" s="435"/>
      <c r="E12" s="435"/>
      <c r="F12" s="74"/>
      <c r="G12" s="269">
        <f>1127.23+1968.5</f>
        <v>3095.73</v>
      </c>
      <c r="H12" s="269"/>
      <c r="I12" s="333"/>
      <c r="J12" s="269"/>
      <c r="K12" s="374"/>
      <c r="L12" s="280">
        <f t="shared" ref="L12" si="1">G12-J12</f>
        <v>3095.73</v>
      </c>
      <c r="M12" s="454"/>
      <c r="N12" s="548" t="s">
        <v>420</v>
      </c>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06"/>
      <c r="C13" s="76" t="s">
        <v>187</v>
      </c>
      <c r="D13" s="76"/>
      <c r="E13" s="76"/>
      <c r="F13" s="74"/>
      <c r="G13" s="269">
        <v>42415.93</v>
      </c>
      <c r="H13" s="269">
        <v>44022.26</v>
      </c>
      <c r="I13" s="333"/>
      <c r="J13" s="269">
        <v>44022.26</v>
      </c>
      <c r="K13" s="374"/>
      <c r="L13" s="280">
        <f t="shared" si="0"/>
        <v>-1606.3300000000017</v>
      </c>
      <c r="M13" s="454">
        <f>L13/J13</f>
        <v>-3.6489039863014792E-2</v>
      </c>
      <c r="N13" s="54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06"/>
      <c r="C14" s="76" t="s">
        <v>108</v>
      </c>
      <c r="D14" s="76"/>
      <c r="E14" s="76"/>
      <c r="F14" s="74"/>
      <c r="G14" s="269"/>
      <c r="H14" s="269"/>
      <c r="I14" s="333"/>
      <c r="J14" s="269"/>
      <c r="K14" s="374"/>
      <c r="L14" s="280">
        <f t="shared" si="0"/>
        <v>0</v>
      </c>
      <c r="M14" s="454"/>
      <c r="N14" s="548"/>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06"/>
      <c r="C15" s="78"/>
      <c r="D15" s="76" t="s">
        <v>146</v>
      </c>
      <c r="E15" s="76"/>
      <c r="F15" s="74"/>
      <c r="G15" s="269">
        <v>193405.33</v>
      </c>
      <c r="H15" s="269">
        <v>163055.43</v>
      </c>
      <c r="I15" s="333"/>
      <c r="J15" s="269">
        <v>163055.43</v>
      </c>
      <c r="K15" s="374"/>
      <c r="L15" s="280">
        <f t="shared" si="0"/>
        <v>30349.899999999994</v>
      </c>
      <c r="M15" s="454">
        <f>L15/J15</f>
        <v>0.18613240908321788</v>
      </c>
      <c r="N15" s="548" t="s">
        <v>526</v>
      </c>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06"/>
      <c r="C16" s="78"/>
      <c r="D16" s="76" t="s">
        <v>166</v>
      </c>
      <c r="E16" s="76"/>
      <c r="F16" s="74"/>
      <c r="G16" s="269">
        <v>13000</v>
      </c>
      <c r="H16" s="269">
        <v>13000</v>
      </c>
      <c r="I16" s="333"/>
      <c r="J16" s="269">
        <v>13000</v>
      </c>
      <c r="K16" s="374"/>
      <c r="L16" s="280">
        <f t="shared" si="0"/>
        <v>0</v>
      </c>
      <c r="M16" s="454">
        <f>L16/J16</f>
        <v>0</v>
      </c>
      <c r="N16" s="548"/>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06"/>
      <c r="C17" s="435" t="s">
        <v>273</v>
      </c>
      <c r="D17" s="506"/>
      <c r="E17" s="506"/>
      <c r="F17" s="506"/>
      <c r="G17" s="269"/>
      <c r="H17" s="269">
        <f>12556+7711</f>
        <v>20267</v>
      </c>
      <c r="I17" s="333"/>
      <c r="J17" s="269">
        <f>12556+7711</f>
        <v>20267</v>
      </c>
      <c r="K17" s="374"/>
      <c r="L17" s="280">
        <f t="shared" si="0"/>
        <v>-20267</v>
      </c>
      <c r="M17" s="454"/>
      <c r="N17" s="548" t="s">
        <v>456</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06"/>
      <c r="C18" s="76" t="s">
        <v>109</v>
      </c>
      <c r="D18" s="76"/>
      <c r="E18" s="76"/>
      <c r="F18" s="74"/>
      <c r="G18" s="269">
        <f>'December''19 Revenues &amp; Expenses'!J58</f>
        <v>13071.46</v>
      </c>
      <c r="H18" s="269">
        <v>12796</v>
      </c>
      <c r="I18" s="333"/>
      <c r="J18" s="269">
        <v>12796</v>
      </c>
      <c r="K18" s="374"/>
      <c r="L18" s="280">
        <f t="shared" si="0"/>
        <v>275.45999999999913</v>
      </c>
      <c r="M18" s="454">
        <f t="shared" ref="M18:M24" si="2">L18/J18</f>
        <v>2.1527039699906152E-2</v>
      </c>
      <c r="N18" s="550"/>
      <c r="O18" s="69"/>
      <c r="P18" s="69"/>
      <c r="Q18" s="267"/>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06"/>
      <c r="C19" s="403" t="s">
        <v>169</v>
      </c>
      <c r="D19" s="403"/>
      <c r="E19" s="403"/>
      <c r="F19" s="74"/>
      <c r="G19" s="269">
        <f>488.7</f>
        <v>488.7</v>
      </c>
      <c r="H19" s="269">
        <v>446.1</v>
      </c>
      <c r="I19" s="333"/>
      <c r="J19" s="269">
        <v>446.1</v>
      </c>
      <c r="K19" s="374"/>
      <c r="L19" s="280">
        <f t="shared" si="0"/>
        <v>42.599999999999966</v>
      </c>
      <c r="M19" s="454">
        <f t="shared" si="2"/>
        <v>9.5494283792871476E-2</v>
      </c>
      <c r="N19" s="550"/>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06"/>
      <c r="C20" s="76" t="s">
        <v>116</v>
      </c>
      <c r="D20" s="76"/>
      <c r="E20" s="76"/>
      <c r="F20" s="74"/>
      <c r="G20" s="269">
        <v>1263.48</v>
      </c>
      <c r="H20" s="269">
        <v>963.93</v>
      </c>
      <c r="I20" s="333"/>
      <c r="J20" s="269">
        <v>963.93</v>
      </c>
      <c r="K20" s="374"/>
      <c r="L20" s="280">
        <f t="shared" si="0"/>
        <v>299.55000000000007</v>
      </c>
      <c r="M20" s="454">
        <f t="shared" si="2"/>
        <v>0.31075908001618385</v>
      </c>
      <c r="N20" s="548"/>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06"/>
      <c r="C21" s="403" t="s">
        <v>250</v>
      </c>
      <c r="D21" s="403"/>
      <c r="E21" s="403"/>
      <c r="F21" s="74"/>
      <c r="G21" s="269">
        <v>7926.22</v>
      </c>
      <c r="H21" s="269">
        <v>5181.0200000000004</v>
      </c>
      <c r="I21" s="333"/>
      <c r="J21" s="269">
        <v>5181.0200000000004</v>
      </c>
      <c r="K21" s="374"/>
      <c r="L21" s="280">
        <f t="shared" si="0"/>
        <v>2745.2</v>
      </c>
      <c r="M21" s="454">
        <f t="shared" si="2"/>
        <v>0.52985705517446369</v>
      </c>
      <c r="N21" s="548"/>
      <c r="O21" s="69"/>
      <c r="P21" s="69"/>
      <c r="Q21" s="267"/>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06"/>
      <c r="C22" s="76" t="s">
        <v>322</v>
      </c>
      <c r="D22" s="76"/>
      <c r="E22" s="76"/>
      <c r="F22" s="74"/>
      <c r="G22" s="269">
        <v>16869.810000000001</v>
      </c>
      <c r="H22" s="269">
        <v>-10497.66</v>
      </c>
      <c r="I22" s="333"/>
      <c r="J22" s="269">
        <v>-10497.66</v>
      </c>
      <c r="K22" s="374"/>
      <c r="L22" s="280">
        <f t="shared" si="0"/>
        <v>27367.47</v>
      </c>
      <c r="M22" s="454">
        <f t="shared" si="2"/>
        <v>-2.6070067043512557</v>
      </c>
      <c r="N22" s="548" t="s">
        <v>499</v>
      </c>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06"/>
      <c r="C23" s="76" t="s">
        <v>495</v>
      </c>
      <c r="D23" s="76"/>
      <c r="E23" s="76"/>
      <c r="F23" s="74"/>
      <c r="G23" s="269">
        <f>109876.8+5500</f>
        <v>115376.8</v>
      </c>
      <c r="H23" s="269">
        <v>63217.86</v>
      </c>
      <c r="I23" s="333"/>
      <c r="J23" s="269">
        <v>63217.86</v>
      </c>
      <c r="K23" s="374"/>
      <c r="L23" s="280">
        <f t="shared" si="0"/>
        <v>52158.94</v>
      </c>
      <c r="M23" s="454">
        <f t="shared" si="2"/>
        <v>0.82506652392219548</v>
      </c>
      <c r="N23" s="548" t="s">
        <v>524</v>
      </c>
      <c r="O23" s="69"/>
      <c r="P23" s="69"/>
      <c r="Q23" s="267"/>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06"/>
      <c r="C24" s="76" t="s">
        <v>152</v>
      </c>
      <c r="D24" s="76"/>
      <c r="E24" s="76"/>
      <c r="F24" s="74"/>
      <c r="G24" s="269">
        <f>400+5000+104.13</f>
        <v>5504.13</v>
      </c>
      <c r="H24" s="269">
        <f>25028.83-H17</f>
        <v>4761.8300000000017</v>
      </c>
      <c r="I24" s="333"/>
      <c r="J24" s="269">
        <f>25028.83-J17</f>
        <v>4761.8300000000017</v>
      </c>
      <c r="K24" s="374"/>
      <c r="L24" s="280">
        <f t="shared" si="0"/>
        <v>742.29999999999836</v>
      </c>
      <c r="M24" s="454">
        <f t="shared" si="2"/>
        <v>0.1558854474015238</v>
      </c>
      <c r="N24" s="664"/>
      <c r="O24" s="69"/>
      <c r="P24" s="69"/>
      <c r="Q24" s="267"/>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0.25" x14ac:dyDescent="0.2">
      <c r="A25" s="74"/>
      <c r="B25" s="406"/>
      <c r="C25" s="76" t="s">
        <v>347</v>
      </c>
      <c r="D25" s="76"/>
      <c r="E25" s="76"/>
      <c r="F25" s="74"/>
      <c r="G25" s="269">
        <v>4850</v>
      </c>
      <c r="H25" s="269"/>
      <c r="I25" s="333"/>
      <c r="J25" s="269"/>
      <c r="K25" s="374"/>
      <c r="L25" s="280">
        <f t="shared" si="0"/>
        <v>4850</v>
      </c>
      <c r="M25" s="454">
        <v>1</v>
      </c>
      <c r="N25" s="548" t="s">
        <v>497</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1" thickBot="1" x14ac:dyDescent="0.25">
      <c r="A26" s="74"/>
      <c r="B26" s="406"/>
      <c r="C26" s="76" t="s">
        <v>115</v>
      </c>
      <c r="D26" s="76"/>
      <c r="E26" s="76"/>
      <c r="F26" s="74"/>
      <c r="G26" s="270">
        <v>46575</v>
      </c>
      <c r="H26" s="270">
        <v>46575</v>
      </c>
      <c r="I26" s="333"/>
      <c r="J26" s="270">
        <v>46575</v>
      </c>
      <c r="K26" s="374"/>
      <c r="L26" s="391">
        <f t="shared" si="0"/>
        <v>0</v>
      </c>
      <c r="M26" s="482">
        <f>L26/J26</f>
        <v>0</v>
      </c>
      <c r="N26" s="548"/>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0.25" x14ac:dyDescent="0.2">
      <c r="A27" s="74"/>
      <c r="B27" s="406"/>
      <c r="C27" s="76"/>
      <c r="D27" s="74" t="s">
        <v>111</v>
      </c>
      <c r="E27" s="76"/>
      <c r="F27" s="74"/>
      <c r="G27" s="237">
        <f>SUM(G9:G26)</f>
        <v>1443352.0799999998</v>
      </c>
      <c r="H27" s="237">
        <f>SUM(H9:H26)</f>
        <v>1464839.8100000003</v>
      </c>
      <c r="I27" s="235"/>
      <c r="J27" s="237">
        <f>SUM(J9:J26)</f>
        <v>1464839.8100000003</v>
      </c>
      <c r="K27" s="374"/>
      <c r="L27" s="237">
        <f t="shared" si="0"/>
        <v>-21487.730000000447</v>
      </c>
      <c r="M27" s="454">
        <f>L27/J27</f>
        <v>-1.4668996468631231E-2</v>
      </c>
      <c r="N27" s="548"/>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1" thickBot="1" x14ac:dyDescent="0.25">
      <c r="A28" s="74"/>
      <c r="B28" s="406"/>
      <c r="C28" s="74" t="s">
        <v>112</v>
      </c>
      <c r="D28" s="76"/>
      <c r="E28" s="76"/>
      <c r="F28" s="74"/>
      <c r="G28" s="245">
        <v>88838.93</v>
      </c>
      <c r="H28" s="245">
        <v>91220.14</v>
      </c>
      <c r="I28" s="235"/>
      <c r="J28" s="245">
        <v>91220.14</v>
      </c>
      <c r="K28" s="374"/>
      <c r="L28" s="245">
        <f t="shared" si="0"/>
        <v>-2381.2100000000064</v>
      </c>
      <c r="M28" s="482">
        <f>L28/J28</f>
        <v>-2.610399413989067E-2</v>
      </c>
      <c r="N28" s="550"/>
      <c r="O28" s="69"/>
      <c r="P28" s="69"/>
      <c r="Q28" s="353"/>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20.25" x14ac:dyDescent="0.2">
      <c r="A29" s="74"/>
      <c r="B29" s="406"/>
      <c r="C29" s="76"/>
      <c r="D29" s="74" t="s">
        <v>113</v>
      </c>
      <c r="E29" s="76"/>
      <c r="F29" s="74"/>
      <c r="G29" s="237">
        <f>SUM(G27:G28)</f>
        <v>1532191.0099999998</v>
      </c>
      <c r="H29" s="237">
        <f>SUM(H27:H28)</f>
        <v>1556059.9500000002</v>
      </c>
      <c r="I29" s="235"/>
      <c r="J29" s="237">
        <f>SUM(J27:J28)</f>
        <v>1556059.9500000002</v>
      </c>
      <c r="K29" s="267"/>
      <c r="L29" s="237">
        <f>SUM(L27:L28)</f>
        <v>-23868.940000000453</v>
      </c>
      <c r="M29" s="454">
        <f>L29/J29</f>
        <v>-1.533934473411545E-2</v>
      </c>
      <c r="N29" s="550"/>
      <c r="O29" s="267"/>
      <c r="P29" s="69"/>
      <c r="Q29" s="353"/>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6" customHeight="1" x14ac:dyDescent="0.2">
      <c r="A30" s="74"/>
      <c r="B30" s="406"/>
      <c r="C30" s="76"/>
      <c r="D30" s="74"/>
      <c r="E30" s="76"/>
      <c r="F30" s="74"/>
      <c r="G30" s="237"/>
      <c r="H30" s="237"/>
      <c r="I30" s="235"/>
      <c r="J30" s="237"/>
      <c r="K30" s="374"/>
      <c r="L30" s="417"/>
      <c r="M30" s="533"/>
      <c r="N30" s="548"/>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75" customFormat="1" ht="21" thickBot="1" x14ac:dyDescent="0.25">
      <c r="A31" s="74"/>
      <c r="B31" s="407" t="s">
        <v>117</v>
      </c>
      <c r="C31" s="88"/>
      <c r="D31" s="88"/>
      <c r="E31" s="88"/>
      <c r="F31" s="88"/>
      <c r="G31" s="245"/>
      <c r="H31" s="245"/>
      <c r="I31" s="69"/>
      <c r="J31" s="245"/>
      <c r="K31" s="374"/>
      <c r="L31" s="417"/>
      <c r="M31" s="533"/>
      <c r="N31" s="550"/>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row>
    <row r="32" spans="1:46" s="69" customFormat="1" ht="20.25" x14ac:dyDescent="0.2">
      <c r="A32" s="68"/>
      <c r="B32" s="408"/>
      <c r="C32" s="80" t="s">
        <v>118</v>
      </c>
      <c r="D32" s="80"/>
      <c r="E32" s="80"/>
      <c r="F32" s="80"/>
      <c r="G32" s="235">
        <v>880812.18</v>
      </c>
      <c r="H32" s="235">
        <v>891243.26</v>
      </c>
      <c r="I32" s="280"/>
      <c r="J32" s="235">
        <v>891243.26</v>
      </c>
      <c r="K32" s="374"/>
      <c r="L32" s="280">
        <f t="shared" ref="L32:L55" si="3">G32-J32</f>
        <v>-10431.079999999958</v>
      </c>
      <c r="M32" s="454">
        <f t="shared" ref="M32:M43" si="4">L32/J32</f>
        <v>-1.17039650880501E-2</v>
      </c>
      <c r="N32" s="550"/>
    </row>
    <row r="33" spans="1:16" s="69" customFormat="1" ht="20.25" x14ac:dyDescent="0.2">
      <c r="A33" s="68"/>
      <c r="B33" s="408"/>
      <c r="C33" s="80" t="s">
        <v>119</v>
      </c>
      <c r="D33" s="80"/>
      <c r="E33" s="80"/>
      <c r="F33" s="80"/>
      <c r="G33" s="235">
        <v>192551.52</v>
      </c>
      <c r="H33" s="235">
        <v>166570.20000000001</v>
      </c>
      <c r="I33" s="280"/>
      <c r="J33" s="235">
        <v>166570.20000000001</v>
      </c>
      <c r="K33" s="374"/>
      <c r="L33" s="280">
        <f t="shared" si="3"/>
        <v>25981.319999999978</v>
      </c>
      <c r="M33" s="454">
        <f t="shared" si="4"/>
        <v>0.15597820018226535</v>
      </c>
      <c r="N33" s="873" t="s">
        <v>498</v>
      </c>
    </row>
    <row r="34" spans="1:16" s="69" customFormat="1" ht="20.25" x14ac:dyDescent="0.2">
      <c r="A34" s="68"/>
      <c r="B34" s="408"/>
      <c r="C34" s="80" t="s">
        <v>120</v>
      </c>
      <c r="D34" s="80"/>
      <c r="E34" s="80"/>
      <c r="F34" s="80"/>
      <c r="G34" s="235">
        <f>48375-G26</f>
        <v>1800</v>
      </c>
      <c r="H34" s="235">
        <f>48375-H26</f>
        <v>1800</v>
      </c>
      <c r="I34" s="280"/>
      <c r="J34" s="235">
        <f>48375-J26</f>
        <v>1800</v>
      </c>
      <c r="K34" s="374"/>
      <c r="L34" s="280">
        <f t="shared" si="3"/>
        <v>0</v>
      </c>
      <c r="M34" s="454">
        <f t="shared" si="4"/>
        <v>0</v>
      </c>
      <c r="N34" s="733"/>
    </row>
    <row r="35" spans="1:16" s="69" customFormat="1" ht="20.25" x14ac:dyDescent="0.2">
      <c r="A35" s="68"/>
      <c r="B35" s="408"/>
      <c r="C35" s="80" t="s">
        <v>110</v>
      </c>
      <c r="D35" s="80"/>
      <c r="E35" s="80"/>
      <c r="F35" s="80"/>
      <c r="G35" s="235">
        <f>G26</f>
        <v>46575</v>
      </c>
      <c r="H35" s="235">
        <f>H26</f>
        <v>46575</v>
      </c>
      <c r="I35" s="280"/>
      <c r="J35" s="235">
        <f>J26</f>
        <v>46575</v>
      </c>
      <c r="K35" s="374"/>
      <c r="L35" s="280">
        <f t="shared" si="3"/>
        <v>0</v>
      </c>
      <c r="M35" s="454">
        <f t="shared" si="4"/>
        <v>0</v>
      </c>
      <c r="N35" s="733"/>
    </row>
    <row r="36" spans="1:16" s="69" customFormat="1" ht="20.25" x14ac:dyDescent="0.2">
      <c r="A36" s="68"/>
      <c r="B36" s="408"/>
      <c r="C36" s="80" t="s">
        <v>121</v>
      </c>
      <c r="D36" s="80"/>
      <c r="E36" s="80"/>
      <c r="F36" s="80"/>
      <c r="G36" s="235">
        <v>15970.22</v>
      </c>
      <c r="H36" s="235">
        <v>15894.29</v>
      </c>
      <c r="I36" s="280"/>
      <c r="J36" s="235">
        <v>15894.29</v>
      </c>
      <c r="K36" s="374"/>
      <c r="L36" s="280">
        <f t="shared" si="3"/>
        <v>75.929999999998472</v>
      </c>
      <c r="M36" s="454">
        <f t="shared" si="4"/>
        <v>4.7771872792052028E-3</v>
      </c>
      <c r="N36" s="733"/>
    </row>
    <row r="37" spans="1:16" s="69" customFormat="1" ht="20.25" x14ac:dyDescent="0.2">
      <c r="A37" s="68"/>
      <c r="B37" s="408"/>
      <c r="C37" s="80" t="s">
        <v>122</v>
      </c>
      <c r="D37" s="80"/>
      <c r="E37" s="80"/>
      <c r="F37" s="80"/>
      <c r="G37" s="235">
        <v>2471.42</v>
      </c>
      <c r="H37" s="235">
        <v>2345.11</v>
      </c>
      <c r="I37" s="280"/>
      <c r="J37" s="235">
        <v>2345.11</v>
      </c>
      <c r="K37" s="374"/>
      <c r="L37" s="280">
        <f t="shared" si="3"/>
        <v>126.30999999999995</v>
      </c>
      <c r="M37" s="454">
        <f t="shared" si="4"/>
        <v>5.3861012916238446E-2</v>
      </c>
      <c r="N37" s="733"/>
    </row>
    <row r="38" spans="1:16" s="69" customFormat="1" ht="20.25" x14ac:dyDescent="0.2">
      <c r="A38" s="68"/>
      <c r="B38" s="408"/>
      <c r="C38" s="80" t="s">
        <v>123</v>
      </c>
      <c r="D38" s="80"/>
      <c r="E38" s="80"/>
      <c r="F38" s="80"/>
      <c r="G38" s="235">
        <v>3320.56</v>
      </c>
      <c r="H38" s="235">
        <v>4227.7299999999996</v>
      </c>
      <c r="I38" s="280"/>
      <c r="J38" s="235">
        <v>4227.7299999999996</v>
      </c>
      <c r="K38" s="374"/>
      <c r="L38" s="280">
        <f t="shared" si="3"/>
        <v>-907.16999999999962</v>
      </c>
      <c r="M38" s="454">
        <f t="shared" si="4"/>
        <v>-0.21457614369886432</v>
      </c>
      <c r="N38" s="733"/>
    </row>
    <row r="39" spans="1:16" s="69" customFormat="1" ht="20.25" x14ac:dyDescent="0.2">
      <c r="A39" s="68"/>
      <c r="B39" s="408"/>
      <c r="C39" s="80" t="s">
        <v>124</v>
      </c>
      <c r="D39" s="80"/>
      <c r="E39" s="80"/>
      <c r="F39" s="80"/>
      <c r="G39" s="235">
        <v>9396.7999999999993</v>
      </c>
      <c r="H39" s="235">
        <v>9338.58</v>
      </c>
      <c r="I39" s="280"/>
      <c r="J39" s="235">
        <v>9338.58</v>
      </c>
      <c r="K39" s="374"/>
      <c r="L39" s="280">
        <f t="shared" si="3"/>
        <v>58.219999999999345</v>
      </c>
      <c r="M39" s="454">
        <f t="shared" si="4"/>
        <v>6.2343525461043695E-3</v>
      </c>
      <c r="N39" s="733"/>
    </row>
    <row r="40" spans="1:16" s="69" customFormat="1" ht="20.25" x14ac:dyDescent="0.2">
      <c r="A40" s="68"/>
      <c r="B40" s="408"/>
      <c r="C40" s="80" t="s">
        <v>125</v>
      </c>
      <c r="D40" s="80"/>
      <c r="E40" s="80"/>
      <c r="F40" s="80"/>
      <c r="G40" s="235">
        <f>25106+11599.23</f>
        <v>36705.229999999996</v>
      </c>
      <c r="H40" s="235">
        <f>24380.78+15438.57</f>
        <v>39819.35</v>
      </c>
      <c r="I40" s="280"/>
      <c r="J40" s="235">
        <f>24380.78+15438.57</f>
        <v>39819.35</v>
      </c>
      <c r="K40" s="374"/>
      <c r="L40" s="280">
        <f t="shared" si="3"/>
        <v>-3114.1200000000026</v>
      </c>
      <c r="M40" s="454">
        <f t="shared" si="4"/>
        <v>-7.8206198745082542E-2</v>
      </c>
      <c r="N40" s="733"/>
    </row>
    <row r="41" spans="1:16" s="69" customFormat="1" ht="20.25" x14ac:dyDescent="0.2">
      <c r="A41" s="68"/>
      <c r="B41" s="408"/>
      <c r="C41" s="80" t="s">
        <v>126</v>
      </c>
      <c r="D41" s="80"/>
      <c r="E41" s="80"/>
      <c r="F41" s="80"/>
      <c r="G41" s="235">
        <v>3929.52</v>
      </c>
      <c r="H41" s="235">
        <v>4148.79</v>
      </c>
      <c r="I41" s="280"/>
      <c r="J41" s="235">
        <v>4148.79</v>
      </c>
      <c r="K41" s="374"/>
      <c r="L41" s="280">
        <f t="shared" si="3"/>
        <v>-219.26999999999998</v>
      </c>
      <c r="M41" s="454">
        <f t="shared" si="4"/>
        <v>-5.2851554308605636E-2</v>
      </c>
      <c r="N41" s="733"/>
    </row>
    <row r="42" spans="1:16" s="69" customFormat="1" ht="20.25" x14ac:dyDescent="0.2">
      <c r="A42" s="68"/>
      <c r="B42" s="408"/>
      <c r="C42" s="80" t="s">
        <v>127</v>
      </c>
      <c r="D42" s="80"/>
      <c r="E42" s="80"/>
      <c r="F42" s="80"/>
      <c r="G42" s="235">
        <v>1128.3699999999999</v>
      </c>
      <c r="H42" s="235">
        <v>1685</v>
      </c>
      <c r="I42" s="280"/>
      <c r="J42" s="235">
        <v>1685</v>
      </c>
      <c r="K42" s="374"/>
      <c r="L42" s="280">
        <f t="shared" si="3"/>
        <v>-556.63000000000011</v>
      </c>
      <c r="M42" s="454">
        <f t="shared" si="4"/>
        <v>-0.33034421364985167</v>
      </c>
      <c r="N42" s="733"/>
    </row>
    <row r="43" spans="1:16" s="69" customFormat="1" ht="20.25" x14ac:dyDescent="0.2">
      <c r="A43" s="68"/>
      <c r="B43" s="408"/>
      <c r="C43" s="80" t="s">
        <v>174</v>
      </c>
      <c r="D43" s="80"/>
      <c r="E43" s="80"/>
      <c r="F43" s="80"/>
      <c r="G43" s="235">
        <v>13625</v>
      </c>
      <c r="H43" s="235">
        <v>14944</v>
      </c>
      <c r="I43" s="280"/>
      <c r="J43" s="235">
        <v>14944</v>
      </c>
      <c r="K43" s="374"/>
      <c r="L43" s="280">
        <f t="shared" si="3"/>
        <v>-1319</v>
      </c>
      <c r="M43" s="454">
        <f t="shared" si="4"/>
        <v>-8.8262847965738758E-2</v>
      </c>
      <c r="N43" s="733"/>
    </row>
    <row r="44" spans="1:16" s="69" customFormat="1" ht="20.25" x14ac:dyDescent="0.2">
      <c r="A44" s="68"/>
      <c r="B44" s="408"/>
      <c r="C44" s="823" t="s">
        <v>354</v>
      </c>
      <c r="D44" s="823"/>
      <c r="E44" s="823"/>
      <c r="F44" s="823"/>
      <c r="G44" s="235">
        <v>603</v>
      </c>
      <c r="H44" s="235">
        <v>1100</v>
      </c>
      <c r="I44" s="280"/>
      <c r="J44" s="235">
        <v>1100</v>
      </c>
      <c r="K44" s="374"/>
      <c r="L44" s="280">
        <f t="shared" si="3"/>
        <v>-497</v>
      </c>
      <c r="M44" s="454">
        <v>1</v>
      </c>
      <c r="N44" s="733"/>
    </row>
    <row r="45" spans="1:16" s="77" customFormat="1" ht="20.25" x14ac:dyDescent="0.2">
      <c r="A45" s="80"/>
      <c r="B45" s="404"/>
      <c r="C45" s="80" t="s">
        <v>128</v>
      </c>
      <c r="D45" s="80"/>
      <c r="E45" s="80"/>
      <c r="F45" s="80"/>
      <c r="G45" s="333">
        <v>13150.96</v>
      </c>
      <c r="H45" s="333">
        <v>14050.28</v>
      </c>
      <c r="I45" s="414"/>
      <c r="J45" s="333">
        <v>14050.28</v>
      </c>
      <c r="K45" s="376"/>
      <c r="L45" s="280">
        <f t="shared" si="3"/>
        <v>-899.32000000000153</v>
      </c>
      <c r="M45" s="454">
        <f>L45/J45</f>
        <v>-6.4007265335637539E-2</v>
      </c>
      <c r="N45" s="733"/>
    </row>
    <row r="46" spans="1:16" s="77" customFormat="1" ht="20.25" x14ac:dyDescent="0.2">
      <c r="A46" s="80"/>
      <c r="B46" s="404"/>
      <c r="C46" s="80" t="s">
        <v>129</v>
      </c>
      <c r="D46" s="80"/>
      <c r="E46" s="80"/>
      <c r="F46" s="80"/>
      <c r="G46" s="333">
        <v>11625.16</v>
      </c>
      <c r="H46" s="235">
        <v>14224.05</v>
      </c>
      <c r="I46" s="235"/>
      <c r="J46" s="235">
        <v>14224.05</v>
      </c>
      <c r="K46" s="376"/>
      <c r="L46" s="280">
        <f t="shared" si="3"/>
        <v>-2598.8899999999994</v>
      </c>
      <c r="M46" s="454">
        <f>L46/J46</f>
        <v>-0.18271097191025057</v>
      </c>
      <c r="N46" s="733"/>
    </row>
    <row r="47" spans="1:16" s="77" customFormat="1" ht="20.25" x14ac:dyDescent="0.2">
      <c r="A47" s="80"/>
      <c r="B47" s="404"/>
      <c r="C47" s="80" t="s">
        <v>136</v>
      </c>
      <c r="D47" s="80"/>
      <c r="E47" s="80"/>
      <c r="F47" s="80"/>
      <c r="G47" s="235">
        <v>610.05999999999995</v>
      </c>
      <c r="H47" s="235">
        <f>2769+495.99</f>
        <v>3264.99</v>
      </c>
      <c r="I47" s="235"/>
      <c r="J47" s="235">
        <f>2769+495.99</f>
        <v>3264.99</v>
      </c>
      <c r="K47" s="376"/>
      <c r="L47" s="280">
        <f t="shared" si="3"/>
        <v>-2654.93</v>
      </c>
      <c r="M47" s="454">
        <f>L47/J47</f>
        <v>-0.8131510356846422</v>
      </c>
      <c r="N47" s="551"/>
      <c r="P47" s="251"/>
    </row>
    <row r="48" spans="1:16" s="77" customFormat="1" ht="20.25" x14ac:dyDescent="0.2">
      <c r="A48" s="80"/>
      <c r="B48" s="404"/>
      <c r="C48" s="80" t="s">
        <v>130</v>
      </c>
      <c r="D48" s="80"/>
      <c r="E48" s="80"/>
      <c r="F48" s="80"/>
      <c r="G48" s="333">
        <v>8304.93</v>
      </c>
      <c r="H48" s="333">
        <f>2210+14879.75</f>
        <v>17089.75</v>
      </c>
      <c r="I48" s="235"/>
      <c r="J48" s="333">
        <f>2210+14879.75</f>
        <v>17089.75</v>
      </c>
      <c r="K48" s="376"/>
      <c r="L48" s="280">
        <f t="shared" si="3"/>
        <v>-8784.82</v>
      </c>
      <c r="M48" s="454">
        <f t="shared" ref="M48:M54" si="5">L48/J48</f>
        <v>-0.51404028730671891</v>
      </c>
      <c r="N48" s="733" t="s">
        <v>520</v>
      </c>
      <c r="P48" s="251"/>
    </row>
    <row r="49" spans="1:18" s="69" customFormat="1" ht="20.25" x14ac:dyDescent="0.2">
      <c r="A49" s="68"/>
      <c r="B49" s="408"/>
      <c r="C49" s="80" t="s">
        <v>209</v>
      </c>
      <c r="D49" s="80"/>
      <c r="E49" s="80"/>
      <c r="F49" s="80"/>
      <c r="G49" s="235">
        <v>17052.02</v>
      </c>
      <c r="H49" s="235">
        <v>15509.31</v>
      </c>
      <c r="I49" s="235"/>
      <c r="J49" s="235">
        <v>15509.31</v>
      </c>
      <c r="K49" s="374"/>
      <c r="L49" s="280">
        <f t="shared" si="3"/>
        <v>1542.7100000000009</v>
      </c>
      <c r="M49" s="454">
        <f t="shared" si="5"/>
        <v>9.9469931286433833E-2</v>
      </c>
      <c r="N49" s="733"/>
    </row>
    <row r="50" spans="1:18" s="77" customFormat="1" ht="20.25" x14ac:dyDescent="0.2">
      <c r="A50" s="80"/>
      <c r="B50" s="404"/>
      <c r="C50" s="80" t="s">
        <v>131</v>
      </c>
      <c r="D50" s="80"/>
      <c r="E50" s="80"/>
      <c r="F50" s="80"/>
      <c r="G50" s="333">
        <v>35424.28</v>
      </c>
      <c r="H50" s="333">
        <v>37992</v>
      </c>
      <c r="I50" s="235"/>
      <c r="J50" s="333">
        <v>37992</v>
      </c>
      <c r="K50" s="376"/>
      <c r="L50" s="280">
        <f t="shared" si="3"/>
        <v>-2567.7200000000012</v>
      </c>
      <c r="M50" s="454">
        <f t="shared" si="5"/>
        <v>-6.7585807538429174E-2</v>
      </c>
      <c r="N50" s="733"/>
    </row>
    <row r="51" spans="1:18" s="77" customFormat="1" ht="20.25" x14ac:dyDescent="0.2">
      <c r="A51" s="80"/>
      <c r="B51" s="404"/>
      <c r="C51" s="80" t="s">
        <v>132</v>
      </c>
      <c r="D51" s="80"/>
      <c r="E51" s="80"/>
      <c r="F51" s="80"/>
      <c r="G51" s="333">
        <v>20467</v>
      </c>
      <c r="H51" s="333">
        <f>19870+4075+6282.5</f>
        <v>30227.5</v>
      </c>
      <c r="I51" s="235"/>
      <c r="J51" s="333">
        <f>19870+4075+6282.5</f>
        <v>30227.5</v>
      </c>
      <c r="K51" s="376"/>
      <c r="L51" s="280">
        <f t="shared" si="3"/>
        <v>-9760.5</v>
      </c>
      <c r="M51" s="454">
        <f t="shared" si="5"/>
        <v>-0.32290133156893558</v>
      </c>
      <c r="N51" s="733" t="s">
        <v>523</v>
      </c>
    </row>
    <row r="52" spans="1:18" s="77" customFormat="1" ht="20.25" x14ac:dyDescent="0.2">
      <c r="A52" s="80"/>
      <c r="B52" s="404"/>
      <c r="C52" s="80" t="s">
        <v>175</v>
      </c>
      <c r="D52" s="80"/>
      <c r="E52" s="80"/>
      <c r="F52" s="80"/>
      <c r="G52" s="235">
        <v>0</v>
      </c>
      <c r="H52" s="235">
        <v>15857.57</v>
      </c>
      <c r="I52" s="235"/>
      <c r="J52" s="235">
        <v>15857.57</v>
      </c>
      <c r="K52" s="376"/>
      <c r="L52" s="280">
        <f t="shared" si="3"/>
        <v>-15857.57</v>
      </c>
      <c r="M52" s="454">
        <f t="shared" si="5"/>
        <v>-1</v>
      </c>
      <c r="N52" s="733" t="s">
        <v>371</v>
      </c>
    </row>
    <row r="53" spans="1:18" s="77" customFormat="1" ht="20.25" x14ac:dyDescent="0.2">
      <c r="A53" s="80"/>
      <c r="B53" s="404"/>
      <c r="C53" s="80" t="s">
        <v>173</v>
      </c>
      <c r="D53" s="80"/>
      <c r="E53" s="80"/>
      <c r="F53" s="80"/>
      <c r="G53" s="235">
        <v>60981.35</v>
      </c>
      <c r="H53" s="235">
        <v>55522.01</v>
      </c>
      <c r="I53" s="235"/>
      <c r="J53" s="235">
        <v>55522.01</v>
      </c>
      <c r="K53" s="376"/>
      <c r="L53" s="280">
        <f t="shared" si="3"/>
        <v>5459.3399999999965</v>
      </c>
      <c r="M53" s="454">
        <f t="shared" si="5"/>
        <v>9.8327492106283554E-2</v>
      </c>
      <c r="N53" s="733" t="s">
        <v>521</v>
      </c>
    </row>
    <row r="54" spans="1:18" s="77" customFormat="1" ht="20.25" x14ac:dyDescent="0.2">
      <c r="A54" s="80"/>
      <c r="B54" s="404"/>
      <c r="C54" s="80" t="s">
        <v>133</v>
      </c>
      <c r="D54" s="80"/>
      <c r="E54" s="80"/>
      <c r="F54" s="80"/>
      <c r="G54" s="235">
        <f>86882+2490.2</f>
        <v>89372.2</v>
      </c>
      <c r="H54" s="235">
        <f>1929.47+127221.37</f>
        <v>129150.84</v>
      </c>
      <c r="I54" s="235"/>
      <c r="J54" s="235">
        <f>1929.47+127221.37</f>
        <v>129150.84</v>
      </c>
      <c r="K54" s="376"/>
      <c r="L54" s="280">
        <f t="shared" si="3"/>
        <v>-39778.639999999999</v>
      </c>
      <c r="M54" s="454">
        <f t="shared" si="5"/>
        <v>-0.30800140363004996</v>
      </c>
      <c r="N54" s="733" t="s">
        <v>522</v>
      </c>
    </row>
    <row r="55" spans="1:18" s="77" customFormat="1" ht="21" thickBot="1" x14ac:dyDescent="0.25">
      <c r="A55" s="80"/>
      <c r="B55" s="404"/>
      <c r="C55" s="80" t="s">
        <v>330</v>
      </c>
      <c r="D55" s="80"/>
      <c r="E55" s="80"/>
      <c r="F55" s="80"/>
      <c r="G55" s="245"/>
      <c r="H55" s="245">
        <v>100</v>
      </c>
      <c r="I55" s="235"/>
      <c r="J55" s="245">
        <v>100</v>
      </c>
      <c r="K55" s="717"/>
      <c r="L55" s="391">
        <f t="shared" si="3"/>
        <v>-100</v>
      </c>
      <c r="M55" s="482"/>
      <c r="N55" s="733"/>
    </row>
    <row r="56" spans="1:18" s="77" customFormat="1" ht="21" hidden="1" thickBot="1" x14ac:dyDescent="0.25">
      <c r="A56" s="80"/>
      <c r="B56" s="404"/>
      <c r="C56" s="80"/>
      <c r="D56" s="80"/>
      <c r="E56" s="80"/>
      <c r="F56" s="80"/>
      <c r="G56" s="245"/>
      <c r="H56" s="245"/>
      <c r="I56" s="235"/>
      <c r="J56" s="245"/>
      <c r="K56" s="376"/>
      <c r="L56" s="391"/>
      <c r="M56" s="482"/>
      <c r="N56" s="548"/>
    </row>
    <row r="57" spans="1:18" s="69" customFormat="1" ht="20.25" x14ac:dyDescent="0.2">
      <c r="A57" s="68"/>
      <c r="B57" s="408"/>
      <c r="C57" s="68"/>
      <c r="D57" s="74" t="s">
        <v>134</v>
      </c>
      <c r="E57" s="68"/>
      <c r="F57" s="68"/>
      <c r="G57" s="240">
        <f>SUM(G32:G55)</f>
        <v>1465876.78</v>
      </c>
      <c r="H57" s="240">
        <f>SUM(H32:H55)</f>
        <v>1532679.6100000006</v>
      </c>
      <c r="I57" s="235"/>
      <c r="J57" s="240">
        <f>SUM(J32:J55)</f>
        <v>1532679.6100000006</v>
      </c>
      <c r="K57" s="374"/>
      <c r="L57" s="237">
        <f>SUM(L32:L55)</f>
        <v>-66802.829999999987</v>
      </c>
      <c r="M57" s="454">
        <f>L57/J57</f>
        <v>-4.3585645404390784E-2</v>
      </c>
      <c r="N57" s="552"/>
    </row>
    <row r="58" spans="1:18" s="69" customFormat="1" ht="10.5" customHeight="1" thickBot="1" x14ac:dyDescent="0.25">
      <c r="A58" s="68"/>
      <c r="B58" s="408"/>
      <c r="C58" s="68"/>
      <c r="D58" s="74"/>
      <c r="E58" s="68"/>
      <c r="F58" s="68"/>
      <c r="G58" s="245"/>
      <c r="H58" s="245"/>
      <c r="I58" s="235"/>
      <c r="J58" s="245"/>
      <c r="K58" s="374"/>
      <c r="L58" s="419"/>
      <c r="M58" s="534"/>
      <c r="N58" s="552"/>
    </row>
    <row r="59" spans="1:18" s="69" customFormat="1" ht="21" thickBot="1" x14ac:dyDescent="0.25">
      <c r="A59" s="68"/>
      <c r="B59" s="408"/>
      <c r="C59" s="68"/>
      <c r="D59" s="68" t="s">
        <v>135</v>
      </c>
      <c r="E59" s="68"/>
      <c r="F59" s="68"/>
      <c r="G59" s="245">
        <f>G29-G57</f>
        <v>66314.229999999749</v>
      </c>
      <c r="H59" s="245">
        <f>H29-H57</f>
        <v>23380.339999999618</v>
      </c>
      <c r="I59" s="235"/>
      <c r="J59" s="245">
        <f>J29-J57</f>
        <v>23380.339999999618</v>
      </c>
      <c r="K59" s="374"/>
      <c r="L59" s="245">
        <f>L29-L57</f>
        <v>42933.889999999534</v>
      </c>
      <c r="M59" s="528">
        <f>L59/J59</f>
        <v>1.8363244503715614</v>
      </c>
      <c r="N59" s="552"/>
    </row>
    <row r="60" spans="1:18" s="69" customFormat="1" ht="11.25" customHeight="1" x14ac:dyDescent="0.2">
      <c r="A60" s="68"/>
      <c r="B60" s="408"/>
      <c r="C60" s="68"/>
      <c r="D60" s="68"/>
      <c r="E60" s="68"/>
      <c r="F60" s="68"/>
      <c r="G60" s="235"/>
      <c r="H60" s="235"/>
      <c r="I60" s="235"/>
      <c r="J60" s="235"/>
      <c r="K60" s="374"/>
      <c r="L60" s="417"/>
      <c r="M60" s="533"/>
      <c r="N60" s="548"/>
    </row>
    <row r="61" spans="1:18" s="77" customFormat="1" ht="21" thickBot="1" x14ac:dyDescent="0.25">
      <c r="A61" s="80"/>
      <c r="B61" s="407" t="s">
        <v>370</v>
      </c>
      <c r="C61" s="88"/>
      <c r="D61" s="88"/>
      <c r="E61" s="88"/>
      <c r="F61" s="88"/>
      <c r="G61" s="716"/>
      <c r="H61" s="245"/>
      <c r="I61" s="235"/>
      <c r="J61" s="245"/>
      <c r="K61" s="376"/>
      <c r="L61" s="417"/>
      <c r="M61" s="533"/>
      <c r="N61" s="548"/>
    </row>
    <row r="62" spans="1:18" s="77" customFormat="1" ht="20.25" x14ac:dyDescent="0.2">
      <c r="A62" s="80"/>
      <c r="B62" s="408"/>
      <c r="C62" s="68"/>
      <c r="D62" s="68" t="s">
        <v>148</v>
      </c>
      <c r="E62" s="68"/>
      <c r="F62" s="68"/>
      <c r="G62" s="235"/>
      <c r="H62" s="235"/>
      <c r="I62" s="235"/>
      <c r="J62" s="235"/>
      <c r="K62" s="376"/>
      <c r="L62" s="417"/>
      <c r="M62" s="533"/>
      <c r="N62" s="548"/>
    </row>
    <row r="63" spans="1:18" s="77" customFormat="1" ht="20.25" x14ac:dyDescent="0.2">
      <c r="A63" s="80"/>
      <c r="B63" s="408"/>
      <c r="C63" s="68"/>
      <c r="D63" s="68"/>
      <c r="E63" s="80" t="s">
        <v>149</v>
      </c>
      <c r="F63" s="68"/>
      <c r="G63" s="235">
        <v>51000</v>
      </c>
      <c r="H63" s="235">
        <v>50000</v>
      </c>
      <c r="I63" s="235"/>
      <c r="J63" s="235">
        <v>50000</v>
      </c>
      <c r="K63" s="376"/>
      <c r="L63" s="280">
        <f>G63-J63</f>
        <v>1000</v>
      </c>
      <c r="M63" s="454">
        <f>L63/J63</f>
        <v>0.02</v>
      </c>
      <c r="N63" s="548"/>
      <c r="R63" s="251"/>
    </row>
    <row r="64" spans="1:18" s="77" customFormat="1" ht="20.25" x14ac:dyDescent="0.2">
      <c r="A64" s="80"/>
      <c r="B64" s="408"/>
      <c r="C64" s="68"/>
      <c r="D64" s="68"/>
      <c r="E64" s="80" t="s">
        <v>177</v>
      </c>
      <c r="F64" s="68"/>
      <c r="G64" s="235">
        <v>19000</v>
      </c>
      <c r="H64" s="235">
        <v>19000</v>
      </c>
      <c r="I64" s="235"/>
      <c r="J64" s="235">
        <v>19000</v>
      </c>
      <c r="K64" s="376"/>
      <c r="L64" s="280">
        <f>G64-J64</f>
        <v>0</v>
      </c>
      <c r="M64" s="454">
        <f>L64/J64</f>
        <v>0</v>
      </c>
      <c r="N64" s="548"/>
    </row>
    <row r="65" spans="1:14" s="77" customFormat="1" ht="20.25" x14ac:dyDescent="0.2">
      <c r="A65" s="80"/>
      <c r="B65" s="408"/>
      <c r="C65" s="68"/>
      <c r="D65" s="68"/>
      <c r="E65" s="80" t="s">
        <v>147</v>
      </c>
      <c r="F65" s="68"/>
      <c r="G65" s="238">
        <f>'December''19 Revenues &amp; Expenses'!H60+'December''19 Revenues &amp; Expenses'!H61+'December''19 Revenues &amp; Expenses'!H59+'December''19 Revenues &amp; Expenses'!H62</f>
        <v>16162</v>
      </c>
      <c r="H65" s="238">
        <f>84365-H63-H64</f>
        <v>15365</v>
      </c>
      <c r="I65" s="238"/>
      <c r="J65" s="238">
        <f>84365-J63-J64</f>
        <v>15365</v>
      </c>
      <c r="K65" s="655"/>
      <c r="L65" s="656">
        <f>G65-J65</f>
        <v>797</v>
      </c>
      <c r="M65" s="531">
        <f>L65/J65</f>
        <v>5.1871135698014971E-2</v>
      </c>
      <c r="N65" s="548"/>
    </row>
    <row r="66" spans="1:14" s="77" customFormat="1" ht="21" thickBot="1" x14ac:dyDescent="0.25">
      <c r="A66" s="80"/>
      <c r="B66" s="408"/>
      <c r="C66" s="68"/>
      <c r="D66" s="68" t="s">
        <v>112</v>
      </c>
      <c r="E66" s="68"/>
      <c r="F66" s="68"/>
      <c r="G66" s="245">
        <f>-G28</f>
        <v>-88838.93</v>
      </c>
      <c r="H66" s="245">
        <f>-H28</f>
        <v>-91220.14</v>
      </c>
      <c r="I66" s="235"/>
      <c r="J66" s="245">
        <f>-J28</f>
        <v>-91220.14</v>
      </c>
      <c r="K66" s="376"/>
      <c r="L66" s="391">
        <f>G66-J66</f>
        <v>2381.2100000000064</v>
      </c>
      <c r="M66" s="482">
        <f>L66/J66</f>
        <v>-2.610399413989067E-2</v>
      </c>
      <c r="N66" s="548"/>
    </row>
    <row r="67" spans="1:14" s="77" customFormat="1" ht="21" thickBot="1" x14ac:dyDescent="0.25">
      <c r="A67" s="80"/>
      <c r="B67" s="408"/>
      <c r="C67" s="68"/>
      <c r="D67" s="68"/>
      <c r="E67" s="68" t="s">
        <v>369</v>
      </c>
      <c r="F67" s="68"/>
      <c r="G67" s="245">
        <f>SUM(G62:G66)</f>
        <v>-2676.929999999993</v>
      </c>
      <c r="H67" s="245">
        <f>SUM(H62:H66)</f>
        <v>-6855.1399999999994</v>
      </c>
      <c r="I67" s="235"/>
      <c r="J67" s="245">
        <f>SUM(J62:J66)</f>
        <v>-6855.1399999999994</v>
      </c>
      <c r="K67" s="376"/>
      <c r="L67" s="245">
        <f>SUM(L63:L66)</f>
        <v>4178.2100000000064</v>
      </c>
      <c r="M67" s="482">
        <f>L67/J67</f>
        <v>-0.60950031655079351</v>
      </c>
      <c r="N67" s="548"/>
    </row>
    <row r="68" spans="1:14" s="69" customFormat="1" ht="7.5" customHeight="1" x14ac:dyDescent="0.2">
      <c r="A68" s="68"/>
      <c r="B68" s="408"/>
      <c r="C68" s="68"/>
      <c r="D68" s="68"/>
      <c r="E68" s="68"/>
      <c r="F68" s="68"/>
      <c r="G68" s="278"/>
      <c r="H68" s="278"/>
      <c r="I68" s="278"/>
      <c r="J68" s="278"/>
      <c r="K68" s="374"/>
      <c r="L68" s="417"/>
      <c r="M68" s="417"/>
      <c r="N68" s="548"/>
    </row>
    <row r="69" spans="1:14" s="69" customFormat="1" ht="20.25" x14ac:dyDescent="0.2">
      <c r="A69" s="68"/>
      <c r="B69" s="408"/>
      <c r="C69" s="68"/>
      <c r="D69" s="68"/>
      <c r="E69" s="68" t="s">
        <v>92</v>
      </c>
      <c r="F69" s="68"/>
      <c r="G69" s="240">
        <f>G59+G67</f>
        <v>63637.299999999756</v>
      </c>
      <c r="H69" s="240">
        <f>H59+H67</f>
        <v>16525.199999999619</v>
      </c>
      <c r="I69" s="240"/>
      <c r="J69" s="240">
        <f>J59+J67</f>
        <v>16525.199999999619</v>
      </c>
      <c r="K69" s="374"/>
      <c r="L69" s="240">
        <f>L59+L67</f>
        <v>47112.09999999954</v>
      </c>
      <c r="M69" s="240"/>
      <c r="N69" s="548"/>
    </row>
    <row r="70" spans="1:14" s="69" customFormat="1" ht="8.25" customHeight="1" x14ac:dyDescent="0.2">
      <c r="A70" s="68"/>
      <c r="B70" s="408"/>
      <c r="C70" s="68"/>
      <c r="D70" s="68"/>
      <c r="E70" s="68"/>
      <c r="F70" s="68"/>
      <c r="G70" s="235"/>
      <c r="H70" s="235"/>
      <c r="I70" s="235"/>
      <c r="J70" s="235"/>
      <c r="K70" s="374"/>
      <c r="L70" s="417"/>
      <c r="M70" s="417"/>
      <c r="N70" s="548"/>
    </row>
    <row r="71" spans="1:14" s="83" customFormat="1" ht="26.25" x14ac:dyDescent="0.2">
      <c r="A71" s="273"/>
      <c r="B71" s="409"/>
      <c r="C71" s="68"/>
      <c r="D71" s="68" t="s">
        <v>151</v>
      </c>
      <c r="E71" s="68"/>
      <c r="F71" s="68"/>
      <c r="G71" s="240">
        <f>H72</f>
        <v>686173.26999999955</v>
      </c>
      <c r="H71" s="240">
        <v>669648.06999999995</v>
      </c>
      <c r="I71" s="240"/>
      <c r="J71" s="240">
        <v>669648.06999999995</v>
      </c>
      <c r="K71" s="377"/>
      <c r="L71" s="418"/>
      <c r="M71" s="418"/>
      <c r="N71" s="553"/>
    </row>
    <row r="72" spans="1:14" s="85" customFormat="1" ht="21" thickBot="1" x14ac:dyDescent="0.25">
      <c r="A72" s="68"/>
      <c r="B72" s="408"/>
      <c r="C72" s="68"/>
      <c r="E72" s="68" t="s">
        <v>150</v>
      </c>
      <c r="F72" s="68"/>
      <c r="G72" s="332">
        <f>G69+G71</f>
        <v>749810.56999999937</v>
      </c>
      <c r="H72" s="332">
        <f>H69+H71</f>
        <v>686173.26999999955</v>
      </c>
      <c r="I72" s="278"/>
      <c r="J72" s="332">
        <f>J69+J71</f>
        <v>686173.26999999955</v>
      </c>
      <c r="K72" s="378"/>
      <c r="L72" s="278"/>
      <c r="M72" s="418"/>
      <c r="N72" s="553"/>
    </row>
    <row r="73" spans="1:14" s="66" customFormat="1" ht="6.75" customHeight="1" thickTop="1" x14ac:dyDescent="0.2">
      <c r="A73" s="273"/>
      <c r="B73" s="409"/>
      <c r="C73" s="68"/>
      <c r="D73" s="273"/>
      <c r="E73" s="273"/>
      <c r="F73" s="273"/>
      <c r="G73" s="275"/>
      <c r="H73" s="235"/>
      <c r="I73" s="235"/>
      <c r="J73" s="235"/>
      <c r="K73" s="373"/>
      <c r="L73" s="417"/>
      <c r="M73" s="417"/>
      <c r="N73" s="548"/>
    </row>
    <row r="74" spans="1:14" s="69" customFormat="1" ht="16.5" customHeight="1" x14ac:dyDescent="0.2">
      <c r="A74" s="68"/>
      <c r="B74" s="408"/>
      <c r="D74" s="354"/>
      <c r="E74" s="68"/>
      <c r="G74" s="235"/>
      <c r="H74" s="235"/>
      <c r="I74" s="235"/>
      <c r="J74" s="235"/>
      <c r="K74" s="374"/>
      <c r="L74" s="417"/>
      <c r="M74" s="417"/>
      <c r="N74" s="548"/>
    </row>
    <row r="75" spans="1:14" s="69" customFormat="1" ht="23.25" x14ac:dyDescent="0.2">
      <c r="A75" s="68"/>
      <c r="B75" s="410"/>
      <c r="C75" s="68"/>
      <c r="D75" s="68"/>
      <c r="E75" s="68"/>
      <c r="F75" s="68"/>
      <c r="G75" s="235"/>
      <c r="H75" s="235"/>
      <c r="I75" s="235"/>
      <c r="J75" s="235"/>
      <c r="K75" s="374"/>
      <c r="L75" s="417"/>
      <c r="M75" s="417"/>
      <c r="N75" s="548"/>
    </row>
    <row r="76" spans="1:14" s="69" customFormat="1" ht="20.25" x14ac:dyDescent="0.2">
      <c r="A76" s="68"/>
      <c r="B76" s="408"/>
      <c r="C76" s="68"/>
      <c r="D76" s="68"/>
      <c r="E76" s="68"/>
      <c r="F76" s="68"/>
      <c r="G76" s="235"/>
      <c r="H76" s="235">
        <f>H72-'December''19 Financial Position'!J62</f>
        <v>0</v>
      </c>
      <c r="I76" s="235"/>
      <c r="J76" s="235">
        <f>J72-'December''19 Financial Position'!L62</f>
        <v>-5581.980000000447</v>
      </c>
      <c r="K76" s="374"/>
      <c r="L76" s="417"/>
      <c r="M76" s="417"/>
      <c r="N76" s="548"/>
    </row>
    <row r="77" spans="1:14" s="77" customFormat="1" ht="20.25" x14ac:dyDescent="0.2">
      <c r="A77" s="80"/>
      <c r="B77" s="404"/>
      <c r="C77" s="80"/>
      <c r="D77" s="80"/>
      <c r="F77" s="80"/>
      <c r="G77" s="250"/>
      <c r="H77" s="235"/>
      <c r="I77" s="235"/>
      <c r="J77" s="235"/>
      <c r="K77" s="376"/>
      <c r="L77" s="417"/>
      <c r="M77" s="417"/>
      <c r="N77" s="548"/>
    </row>
    <row r="78" spans="1:14" s="77" customFormat="1" ht="20.25" x14ac:dyDescent="0.2">
      <c r="A78" s="80"/>
      <c r="B78" s="404"/>
      <c r="C78" s="80"/>
      <c r="D78" s="80"/>
      <c r="F78" s="80"/>
      <c r="G78" s="235"/>
      <c r="H78" s="235"/>
      <c r="I78" s="235"/>
      <c r="J78" s="235"/>
      <c r="K78" s="376"/>
      <c r="L78" s="417"/>
      <c r="M78" s="417"/>
      <c r="N78" s="548"/>
    </row>
    <row r="79" spans="1:14" s="77" customFormat="1" ht="20.25" x14ac:dyDescent="0.2">
      <c r="A79" s="80"/>
      <c r="B79" s="404"/>
      <c r="C79" s="80"/>
      <c r="D79" s="80"/>
      <c r="F79" s="80"/>
      <c r="G79" s="235"/>
      <c r="H79" s="235"/>
      <c r="I79" s="235"/>
      <c r="J79" s="235"/>
      <c r="K79" s="376"/>
      <c r="L79" s="417"/>
      <c r="M79" s="417"/>
      <c r="N79" s="548"/>
    </row>
    <row r="80" spans="1:14" s="77" customFormat="1" ht="20.25" x14ac:dyDescent="0.2">
      <c r="A80" s="80"/>
      <c r="B80" s="80"/>
      <c r="C80" s="80"/>
      <c r="D80" s="80"/>
      <c r="F80" s="80"/>
      <c r="G80" s="235"/>
      <c r="H80" s="235"/>
      <c r="I80" s="235"/>
      <c r="J80" s="235"/>
      <c r="K80" s="376"/>
      <c r="L80" s="417"/>
      <c r="M80" s="417"/>
      <c r="N80" s="548"/>
    </row>
    <row r="81" spans="1:14" s="77" customFormat="1" ht="20.25" x14ac:dyDescent="0.2">
      <c r="A81" s="80"/>
      <c r="B81" s="80"/>
      <c r="C81" s="80"/>
      <c r="D81" s="80"/>
      <c r="F81" s="80"/>
      <c r="G81" s="235"/>
      <c r="H81" s="235"/>
      <c r="I81" s="235"/>
      <c r="J81" s="235"/>
      <c r="K81" s="376"/>
      <c r="L81" s="417"/>
      <c r="M81" s="417"/>
      <c r="N81" s="548"/>
    </row>
    <row r="82" spans="1:14" s="77" customFormat="1" ht="20.25" x14ac:dyDescent="0.2">
      <c r="A82" s="80"/>
      <c r="B82" s="80"/>
      <c r="C82" s="80"/>
      <c r="D82" s="80"/>
      <c r="F82" s="80"/>
      <c r="G82" s="235"/>
      <c r="H82" s="235"/>
      <c r="I82" s="235"/>
      <c r="J82" s="235"/>
      <c r="K82" s="376"/>
      <c r="L82" s="417"/>
      <c r="M82" s="417"/>
      <c r="N82" s="548"/>
    </row>
    <row r="83" spans="1:14" s="77" customFormat="1" ht="20.25" x14ac:dyDescent="0.2">
      <c r="A83" s="80"/>
      <c r="B83" s="80"/>
      <c r="C83" s="68"/>
      <c r="D83" s="80"/>
      <c r="F83" s="80"/>
      <c r="G83" s="235"/>
      <c r="H83" s="235"/>
      <c r="I83" s="235"/>
      <c r="J83" s="235"/>
      <c r="K83" s="376"/>
      <c r="L83" s="417"/>
      <c r="M83" s="417"/>
      <c r="N83" s="548"/>
    </row>
    <row r="84" spans="1:14" s="77" customFormat="1" ht="20.25" x14ac:dyDescent="0.2">
      <c r="A84" s="80"/>
      <c r="B84" s="80"/>
      <c r="C84" s="80"/>
      <c r="D84" s="80"/>
      <c r="E84" s="80"/>
      <c r="F84" s="80"/>
      <c r="G84" s="235"/>
      <c r="H84" s="235"/>
      <c r="I84" s="235"/>
      <c r="J84" s="235"/>
      <c r="K84" s="376"/>
      <c r="L84" s="417"/>
      <c r="M84" s="417"/>
      <c r="N84" s="548"/>
    </row>
    <row r="85" spans="1:14" s="77" customFormat="1" ht="20.25" x14ac:dyDescent="0.2">
      <c r="A85" s="80"/>
      <c r="B85" s="80"/>
      <c r="C85" s="68"/>
      <c r="D85" s="68"/>
      <c r="G85" s="235"/>
      <c r="H85" s="235"/>
      <c r="I85" s="235"/>
      <c r="J85" s="235"/>
      <c r="K85" s="376"/>
      <c r="L85" s="417"/>
      <c r="M85" s="417"/>
      <c r="N85" s="548"/>
    </row>
    <row r="86" spans="1:14" s="77" customFormat="1" ht="20.25" x14ac:dyDescent="0.2">
      <c r="A86" s="80"/>
      <c r="B86" s="80"/>
      <c r="C86" s="80"/>
      <c r="D86" s="80"/>
      <c r="E86" s="80"/>
      <c r="F86" s="80"/>
      <c r="G86" s="235"/>
      <c r="H86" s="235"/>
      <c r="I86" s="235"/>
      <c r="J86" s="235"/>
      <c r="K86" s="376"/>
      <c r="L86" s="417"/>
      <c r="M86" s="417"/>
      <c r="N86" s="548"/>
    </row>
    <row r="87" spans="1:14" s="77" customFormat="1" ht="20.25" x14ac:dyDescent="0.2">
      <c r="A87" s="80"/>
      <c r="B87" s="80"/>
      <c r="C87" s="80"/>
      <c r="D87" s="80"/>
      <c r="E87" s="80"/>
      <c r="F87" s="80"/>
      <c r="G87" s="235"/>
      <c r="H87" s="235"/>
      <c r="I87" s="235"/>
      <c r="J87" s="235"/>
      <c r="K87" s="376"/>
      <c r="L87" s="417"/>
      <c r="M87" s="417"/>
      <c r="N87" s="548"/>
    </row>
    <row r="88" spans="1:14" s="77" customFormat="1" ht="20.25" x14ac:dyDescent="0.2">
      <c r="A88" s="80"/>
      <c r="B88" s="80"/>
      <c r="C88" s="80"/>
      <c r="D88" s="80"/>
      <c r="E88" s="80"/>
      <c r="F88" s="80"/>
      <c r="G88" s="235"/>
      <c r="H88" s="235"/>
      <c r="I88" s="235"/>
      <c r="J88" s="235"/>
      <c r="K88" s="376"/>
      <c r="L88" s="417"/>
      <c r="M88" s="417"/>
      <c r="N88" s="548"/>
    </row>
    <row r="89" spans="1:14" s="77" customFormat="1" ht="20.25" x14ac:dyDescent="0.2">
      <c r="A89" s="80"/>
      <c r="B89" s="80"/>
      <c r="C89" s="80"/>
      <c r="D89" s="80"/>
      <c r="E89" s="80"/>
      <c r="F89" s="80"/>
      <c r="G89" s="235"/>
      <c r="H89" s="235"/>
      <c r="I89" s="235"/>
      <c r="J89" s="235"/>
      <c r="K89" s="376"/>
      <c r="L89" s="417"/>
      <c r="M89" s="417"/>
      <c r="N89" s="548"/>
    </row>
    <row r="90" spans="1:14" s="77" customFormat="1" ht="20.25" x14ac:dyDescent="0.2">
      <c r="A90" s="80"/>
      <c r="B90" s="80"/>
      <c r="C90" s="68"/>
      <c r="D90" s="80"/>
      <c r="F90" s="80"/>
      <c r="G90" s="235"/>
      <c r="H90" s="235"/>
      <c r="I90" s="235"/>
      <c r="J90" s="235"/>
      <c r="K90" s="376"/>
      <c r="L90" s="417"/>
      <c r="M90" s="417"/>
      <c r="N90" s="548"/>
    </row>
    <row r="91" spans="1:14" s="77" customFormat="1" ht="20.25" x14ac:dyDescent="0.2">
      <c r="A91" s="80"/>
      <c r="B91" s="80"/>
      <c r="C91" s="80"/>
      <c r="D91" s="80"/>
      <c r="E91" s="80"/>
      <c r="F91" s="80"/>
      <c r="G91" s="235"/>
      <c r="H91" s="235"/>
      <c r="I91" s="235"/>
      <c r="J91" s="235"/>
      <c r="K91" s="376"/>
      <c r="L91" s="417"/>
      <c r="M91" s="417"/>
      <c r="N91" s="548"/>
    </row>
    <row r="92" spans="1:14" s="69" customFormat="1" ht="20.25" x14ac:dyDescent="0.2">
      <c r="A92" s="68"/>
      <c r="B92" s="68"/>
      <c r="C92" s="68"/>
      <c r="D92" s="68"/>
      <c r="E92" s="68"/>
      <c r="F92" s="68"/>
      <c r="G92" s="240"/>
      <c r="H92" s="240"/>
      <c r="I92" s="240"/>
      <c r="J92" s="240"/>
      <c r="K92" s="374"/>
      <c r="N92" s="548"/>
    </row>
    <row r="93" spans="1:14" s="69" customFormat="1" ht="20.25" x14ac:dyDescent="0.2">
      <c r="A93" s="68"/>
      <c r="B93" s="68"/>
      <c r="C93" s="68"/>
      <c r="D93" s="68"/>
      <c r="E93" s="68"/>
      <c r="F93" s="68"/>
      <c r="G93" s="240"/>
      <c r="H93" s="240"/>
      <c r="I93" s="240"/>
      <c r="J93" s="240"/>
      <c r="K93" s="374"/>
      <c r="N93" s="548"/>
    </row>
    <row r="94" spans="1:14" s="69" customFormat="1" ht="23.25" x14ac:dyDescent="0.2">
      <c r="A94" s="68"/>
      <c r="B94" s="276"/>
      <c r="C94" s="68"/>
      <c r="D94" s="68"/>
      <c r="E94" s="68"/>
      <c r="F94" s="68"/>
      <c r="G94" s="235"/>
      <c r="H94" s="235"/>
      <c r="I94" s="235"/>
      <c r="J94" s="235"/>
      <c r="K94" s="374"/>
      <c r="N94" s="548"/>
    </row>
    <row r="95" spans="1:14" s="77" customFormat="1" ht="20.25" x14ac:dyDescent="0.2">
      <c r="A95" s="80"/>
      <c r="B95" s="80"/>
      <c r="D95" s="80"/>
      <c r="E95" s="80"/>
      <c r="F95" s="80"/>
      <c r="G95" s="235"/>
      <c r="H95" s="235"/>
      <c r="I95" s="235"/>
      <c r="J95" s="235"/>
      <c r="K95" s="376"/>
      <c r="N95" s="548"/>
    </row>
    <row r="96" spans="1:14" s="77" customFormat="1" ht="20.25" x14ac:dyDescent="0.2">
      <c r="A96" s="80"/>
      <c r="B96" s="80"/>
      <c r="D96" s="80"/>
      <c r="E96" s="80"/>
      <c r="F96" s="80"/>
      <c r="G96" s="235"/>
      <c r="H96" s="235"/>
      <c r="I96" s="235"/>
      <c r="J96" s="235"/>
      <c r="K96" s="376"/>
      <c r="N96" s="548"/>
    </row>
    <row r="97" spans="1:14" s="69" customFormat="1" ht="20.25" x14ac:dyDescent="0.2">
      <c r="A97" s="68"/>
      <c r="B97" s="68"/>
      <c r="D97" s="80"/>
      <c r="E97" s="68"/>
      <c r="F97" s="68"/>
      <c r="G97" s="235"/>
      <c r="H97" s="235"/>
      <c r="I97" s="235"/>
      <c r="J97" s="235"/>
      <c r="K97" s="374"/>
      <c r="N97" s="548"/>
    </row>
    <row r="98" spans="1:14" s="69" customFormat="1" ht="23.25" x14ac:dyDescent="0.2">
      <c r="A98" s="68"/>
      <c r="B98" s="276"/>
      <c r="C98" s="68"/>
      <c r="D98" s="68"/>
      <c r="E98" s="68"/>
      <c r="F98" s="68"/>
      <c r="G98" s="240"/>
      <c r="H98" s="240"/>
      <c r="I98" s="240"/>
      <c r="J98" s="240"/>
      <c r="K98" s="374"/>
      <c r="N98" s="548"/>
    </row>
    <row r="99" spans="1:14" s="69" customFormat="1" ht="20.25" x14ac:dyDescent="0.2">
      <c r="A99" s="68"/>
      <c r="B99" s="68"/>
      <c r="C99" s="68"/>
      <c r="D99" s="68"/>
      <c r="E99" s="68"/>
      <c r="F99" s="68"/>
      <c r="G99" s="235"/>
      <c r="H99" s="235"/>
      <c r="I99" s="235"/>
      <c r="J99" s="235"/>
      <c r="K99" s="374"/>
      <c r="N99" s="548"/>
    </row>
    <row r="100" spans="1:14" s="83" customFormat="1" ht="26.25" x14ac:dyDescent="0.2">
      <c r="A100" s="273"/>
      <c r="B100" s="273"/>
      <c r="C100" s="273"/>
      <c r="D100" s="273"/>
      <c r="E100" s="273"/>
      <c r="F100" s="273"/>
      <c r="G100" s="274"/>
      <c r="H100" s="240"/>
      <c r="I100" s="240"/>
      <c r="J100" s="240"/>
      <c r="K100" s="377"/>
      <c r="N100" s="553"/>
    </row>
    <row r="101" spans="1:14" s="18" customFormat="1" ht="20.25" x14ac:dyDescent="0.3">
      <c r="A101" s="123"/>
      <c r="B101" s="123"/>
      <c r="C101" s="123"/>
      <c r="D101" s="123"/>
      <c r="E101" s="123"/>
      <c r="F101" s="123"/>
      <c r="G101" s="277"/>
      <c r="H101" s="282"/>
      <c r="I101" s="282"/>
      <c r="J101" s="282"/>
      <c r="K101" s="379"/>
      <c r="N101" s="554"/>
    </row>
    <row r="102" spans="1:14" ht="20.25" x14ac:dyDescent="0.3">
      <c r="H102" s="282"/>
      <c r="I102" s="282"/>
      <c r="J102" s="282"/>
    </row>
    <row r="103" spans="1:14" ht="20.25" x14ac:dyDescent="0.3">
      <c r="H103" s="282"/>
      <c r="I103" s="282"/>
      <c r="J103" s="282"/>
    </row>
    <row r="104" spans="1:14" ht="20.25" x14ac:dyDescent="0.3">
      <c r="H104" s="279"/>
      <c r="I104" s="279"/>
      <c r="J104" s="279"/>
    </row>
  </sheetData>
  <mergeCells count="3">
    <mergeCell ref="L8:M8"/>
    <mergeCell ref="G6:J6"/>
    <mergeCell ref="C44:F44"/>
  </mergeCells>
  <pageMargins left="0.65"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83"/>
  <sheetViews>
    <sheetView zoomScale="75" zoomScaleNormal="75" workbookViewId="0"/>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7"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233"/>
      <c r="H1" s="60"/>
      <c r="I1" s="60"/>
      <c r="J1" s="60"/>
      <c r="K1" s="60"/>
      <c r="L1" s="481"/>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224</v>
      </c>
      <c r="B2" s="60"/>
      <c r="C2" s="61"/>
      <c r="D2" s="61"/>
      <c r="E2" s="61"/>
      <c r="F2" s="60"/>
      <c r="G2" s="233"/>
      <c r="H2" s="60"/>
      <c r="I2" s="60"/>
      <c r="J2" s="60"/>
      <c r="K2" s="60"/>
      <c r="L2" s="48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hidden="1" customHeight="1" x14ac:dyDescent="0.4">
      <c r="A3" s="59" t="str">
        <f>'December''19 State of Activities'!A3</f>
        <v>Ten Months Ended October 31, 2019 and 2018</v>
      </c>
      <c r="B3" s="60"/>
      <c r="C3" s="61"/>
      <c r="D3" s="61"/>
      <c r="E3" s="61"/>
      <c r="F3" s="60"/>
      <c r="G3" s="233"/>
      <c r="H3" s="60"/>
      <c r="I3" s="60"/>
      <c r="J3" s="60"/>
      <c r="K3" s="60"/>
      <c r="L3" s="481"/>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'December''19 State of Activities'!A4</f>
        <v>For the Years Ended December 31, 2019 &amp; 2018</v>
      </c>
      <c r="B4" s="60"/>
      <c r="C4" s="61"/>
      <c r="D4" s="61"/>
      <c r="E4" s="61"/>
      <c r="F4" s="60"/>
      <c r="G4" s="233"/>
      <c r="H4" s="60"/>
      <c r="I4" s="60"/>
      <c r="J4" s="60"/>
      <c r="K4" s="60"/>
      <c r="L4" s="481"/>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4"/>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114</v>
      </c>
      <c r="B6" s="65"/>
      <c r="C6" s="65"/>
      <c r="D6" s="65"/>
      <c r="E6" s="65"/>
      <c r="F6" s="65"/>
      <c r="G6" s="526"/>
      <c r="H6" s="244" t="s">
        <v>54</v>
      </c>
      <c r="I6" s="244"/>
      <c r="J6" s="822" t="s">
        <v>54</v>
      </c>
      <c r="K6" s="822"/>
      <c r="L6" s="822"/>
      <c r="M6" s="822"/>
      <c r="N6" s="66"/>
      <c r="O6" s="430" t="s">
        <v>189</v>
      </c>
      <c r="P6" s="427" t="s">
        <v>202</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5"/>
    </row>
    <row r="8" spans="1:128" s="73" customFormat="1" ht="21" thickBot="1" x14ac:dyDescent="0.35">
      <c r="A8" s="70"/>
      <c r="B8" s="154" t="s">
        <v>106</v>
      </c>
      <c r="C8" s="154"/>
      <c r="D8" s="154"/>
      <c r="E8" s="154"/>
      <c r="F8" s="154"/>
      <c r="G8" s="287">
        <v>41090</v>
      </c>
      <c r="H8" s="287">
        <v>41274</v>
      </c>
      <c r="I8" s="334"/>
      <c r="J8" s="729">
        <f>'December''19 State of Activities'!G8</f>
        <v>43830</v>
      </c>
      <c r="K8" s="730">
        <f>'December''19 State of Activities'!H8</f>
        <v>43465</v>
      </c>
      <c r="L8" s="731"/>
      <c r="M8" s="730">
        <f>'December''19 State of Activities'!J8</f>
        <v>43465</v>
      </c>
      <c r="N8" s="72"/>
      <c r="O8" s="821" t="s">
        <v>501</v>
      </c>
      <c r="P8" s="821"/>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35" t="s">
        <v>157</v>
      </c>
      <c r="D9" s="435"/>
      <c r="E9" s="435"/>
      <c r="F9" s="74"/>
      <c r="G9" s="269">
        <v>127719</v>
      </c>
      <c r="H9" s="269">
        <v>67566.5</v>
      </c>
      <c r="I9" s="333"/>
      <c r="J9" s="337">
        <f>'December''19 State of Activities'!G11</f>
        <v>158720.91</v>
      </c>
      <c r="K9" s="337">
        <f>'December''19 State of Activities'!H11</f>
        <v>153461.26</v>
      </c>
      <c r="L9" s="337"/>
      <c r="M9" s="337">
        <f>'December''19 State of Activities'!J11</f>
        <v>153461.26</v>
      </c>
      <c r="N9" s="69"/>
      <c r="O9" s="392">
        <f>J9-M9</f>
        <v>5259.6499999999942</v>
      </c>
      <c r="P9" s="428">
        <f>O9/M9</f>
        <v>3.4273470711761352E-2</v>
      </c>
      <c r="Q9" s="69"/>
      <c r="R9" s="402"/>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825" t="s">
        <v>334</v>
      </c>
      <c r="D10" s="825"/>
      <c r="E10" s="825"/>
      <c r="F10" s="825"/>
      <c r="G10" s="269"/>
      <c r="H10" s="269"/>
      <c r="I10" s="333"/>
      <c r="J10" s="721"/>
      <c r="K10" s="333">
        <v>3122.52</v>
      </c>
      <c r="L10" s="333"/>
      <c r="M10" s="333">
        <v>3122.52</v>
      </c>
      <c r="N10" s="69"/>
      <c r="O10" s="529">
        <f>J10-M10</f>
        <v>-3122.52</v>
      </c>
      <c r="P10" s="454"/>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35" t="s">
        <v>225</v>
      </c>
      <c r="D11" s="435"/>
      <c r="E11" s="435"/>
      <c r="F11" s="74"/>
      <c r="G11" s="268">
        <v>875436</v>
      </c>
      <c r="H11" s="268">
        <v>372424.1</v>
      </c>
      <c r="I11" s="337"/>
      <c r="J11" s="333">
        <v>12278.42</v>
      </c>
      <c r="K11" s="333">
        <f>10471.96+(5268.48+3381.01)*1.14</f>
        <v>20332.378599999996</v>
      </c>
      <c r="L11" s="337"/>
      <c r="M11" s="333">
        <f>10471.96+(5268.48+3381.01)*1.14</f>
        <v>20332.378599999996</v>
      </c>
      <c r="N11" s="69"/>
      <c r="O11" s="529">
        <f>J11-M11</f>
        <v>-8053.9585999999963</v>
      </c>
      <c r="P11" s="454">
        <f>O11/M11</f>
        <v>-0.3961149238092585</v>
      </c>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435" t="s">
        <v>500</v>
      </c>
      <c r="D12" s="435"/>
      <c r="E12" s="435"/>
      <c r="F12" s="74"/>
      <c r="G12" s="268"/>
      <c r="H12" s="268"/>
      <c r="I12" s="337"/>
      <c r="J12" s="333">
        <f>'December''19 Revenues &amp; Expenses'!I8</f>
        <v>10616</v>
      </c>
      <c r="K12" s="333"/>
      <c r="L12" s="337"/>
      <c r="M12" s="333"/>
      <c r="N12" s="69"/>
      <c r="O12" s="529">
        <f>J12-M12</f>
        <v>10616</v>
      </c>
      <c r="P12" s="454"/>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435" t="s">
        <v>108</v>
      </c>
      <c r="D13" s="435"/>
      <c r="E13" s="435"/>
      <c r="F13" s="74"/>
      <c r="G13" s="269"/>
      <c r="H13" s="269"/>
      <c r="I13" s="333"/>
      <c r="J13" s="333"/>
      <c r="K13" s="333"/>
      <c r="L13" s="333"/>
      <c r="M13" s="333"/>
      <c r="N13" s="69"/>
      <c r="O13" s="529"/>
      <c r="P13" s="440"/>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78"/>
      <c r="D14" s="435" t="s">
        <v>226</v>
      </c>
      <c r="E14" s="435"/>
      <c r="F14" s="74"/>
      <c r="G14" s="269">
        <v>94235.25</v>
      </c>
      <c r="H14" s="269">
        <v>37190.379999999997</v>
      </c>
      <c r="I14" s="333"/>
      <c r="J14" s="333">
        <f>3708.33*12</f>
        <v>44499.96</v>
      </c>
      <c r="K14" s="333">
        <f>3541.67*12</f>
        <v>42500.04</v>
      </c>
      <c r="L14" s="333"/>
      <c r="M14" s="333">
        <f>3541.67*12</f>
        <v>42500.04</v>
      </c>
      <c r="N14" s="69"/>
      <c r="O14" s="529">
        <f>J14-M14</f>
        <v>1999.9199999999983</v>
      </c>
      <c r="P14" s="454">
        <f>O14/M14</f>
        <v>4.7056896887626418E-2</v>
      </c>
      <c r="Q14" s="69"/>
      <c r="R14" s="487"/>
      <c r="S14" s="488"/>
      <c r="T14" s="487"/>
      <c r="U14" s="48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78"/>
      <c r="D15" s="435" t="s">
        <v>166</v>
      </c>
      <c r="E15" s="435"/>
      <c r="F15" s="74"/>
      <c r="G15" s="269"/>
      <c r="H15" s="269"/>
      <c r="I15" s="333"/>
      <c r="J15" s="333">
        <f>'December''19 State of Activities'!G16</f>
        <v>13000</v>
      </c>
      <c r="K15" s="333">
        <f>750*12</f>
        <v>9000</v>
      </c>
      <c r="L15" s="333"/>
      <c r="M15" s="333">
        <f>750*12</f>
        <v>9000</v>
      </c>
      <c r="N15" s="69"/>
      <c r="O15" s="529">
        <f>J15-M15</f>
        <v>4000</v>
      </c>
      <c r="P15" s="454">
        <f>O15/M15</f>
        <v>0.44444444444444442</v>
      </c>
      <c r="Q15" s="69"/>
      <c r="R15" s="69"/>
      <c r="S15" s="401"/>
      <c r="T15" s="489"/>
      <c r="U15" s="374"/>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35" t="s">
        <v>109</v>
      </c>
      <c r="D16" s="435"/>
      <c r="E16" s="435"/>
      <c r="F16" s="74"/>
      <c r="G16" s="269">
        <v>0</v>
      </c>
      <c r="H16" s="269">
        <v>3517</v>
      </c>
      <c r="I16" s="333"/>
      <c r="J16" s="333">
        <f>'December''19 State of Activities'!G18</f>
        <v>13071.46</v>
      </c>
      <c r="K16" s="333">
        <f>'December''19 State of Activities'!H18</f>
        <v>12796</v>
      </c>
      <c r="L16" s="333"/>
      <c r="M16" s="333">
        <f>'December''19 State of Activities'!J18</f>
        <v>12796</v>
      </c>
      <c r="N16" s="69"/>
      <c r="O16" s="529">
        <f>J16-M16</f>
        <v>275.45999999999913</v>
      </c>
      <c r="P16" s="454">
        <f>O16/M16</f>
        <v>2.1527039699906152E-2</v>
      </c>
      <c r="Q16" s="69"/>
      <c r="R16" s="69"/>
      <c r="S16" s="401"/>
      <c r="T16" s="489"/>
      <c r="U16" s="374"/>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35" t="s">
        <v>227</v>
      </c>
      <c r="D17" s="435"/>
      <c r="E17" s="435"/>
      <c r="F17" s="74"/>
      <c r="G17" s="269">
        <v>31459</v>
      </c>
      <c r="H17" s="269">
        <v>13920.35</v>
      </c>
      <c r="I17" s="333"/>
      <c r="J17" s="333">
        <f>'December''19 Revenues &amp; Expenses'!H35</f>
        <v>25000</v>
      </c>
      <c r="K17" s="333">
        <v>25000</v>
      </c>
      <c r="L17" s="333"/>
      <c r="M17" s="333">
        <v>25000</v>
      </c>
      <c r="N17" s="69"/>
      <c r="O17" s="529">
        <f>J17-M17</f>
        <v>0</v>
      </c>
      <c r="P17" s="454">
        <f>O17/M17</f>
        <v>0</v>
      </c>
      <c r="Q17" s="69"/>
      <c r="R17" s="69"/>
      <c r="S17" s="401"/>
      <c r="T17" s="489"/>
      <c r="U17" s="374"/>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435" t="s">
        <v>439</v>
      </c>
      <c r="D18" s="435"/>
      <c r="E18" s="435"/>
      <c r="F18" s="74"/>
      <c r="G18" s="269"/>
      <c r="H18" s="269"/>
      <c r="I18" s="333"/>
      <c r="J18" s="333">
        <v>22918.98</v>
      </c>
      <c r="K18" s="333"/>
      <c r="L18" s="333"/>
      <c r="M18" s="333"/>
      <c r="N18" s="69"/>
      <c r="O18" s="529">
        <f>J18-M18</f>
        <v>22918.98</v>
      </c>
      <c r="P18" s="454"/>
      <c r="Q18" s="69"/>
      <c r="R18" s="69"/>
      <c r="S18" s="401"/>
      <c r="T18" s="489"/>
      <c r="U18" s="374"/>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35" t="s">
        <v>502</v>
      </c>
      <c r="D19" s="435"/>
      <c r="E19" s="435"/>
      <c r="F19" s="74"/>
      <c r="G19" s="269"/>
      <c r="H19" s="269"/>
      <c r="I19" s="333"/>
      <c r="J19" s="333">
        <f>'December''19 Revenues &amp; Expenses'!H44</f>
        <v>23967.15</v>
      </c>
      <c r="K19" s="333"/>
      <c r="L19" s="333"/>
      <c r="M19" s="333"/>
      <c r="N19" s="69"/>
      <c r="O19" s="529">
        <f>J19-M19</f>
        <v>23967.15</v>
      </c>
      <c r="P19" s="454"/>
      <c r="Q19" s="69"/>
      <c r="R19" s="69"/>
      <c r="S19" s="401"/>
      <c r="T19" s="489"/>
      <c r="U19" s="374"/>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435" t="s">
        <v>372</v>
      </c>
      <c r="D20" s="435"/>
      <c r="E20" s="435"/>
      <c r="F20" s="74"/>
      <c r="G20" s="269"/>
      <c r="H20" s="269"/>
      <c r="I20" s="333"/>
      <c r="J20" s="333">
        <v>1968.5</v>
      </c>
      <c r="K20" s="333"/>
      <c r="L20" s="333"/>
      <c r="M20" s="333"/>
      <c r="N20" s="69"/>
      <c r="O20" s="529">
        <f t="shared" ref="O20:O21" si="0">J20-M20</f>
        <v>1968.5</v>
      </c>
      <c r="P20" s="454"/>
      <c r="Q20" s="69"/>
      <c r="R20" s="69"/>
      <c r="S20" s="401"/>
      <c r="T20" s="489"/>
      <c r="U20" s="374"/>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0.25" x14ac:dyDescent="0.2">
      <c r="A21" s="74"/>
      <c r="B21" s="74"/>
      <c r="C21" s="825" t="s">
        <v>376</v>
      </c>
      <c r="D21" s="825"/>
      <c r="E21" s="825"/>
      <c r="F21" s="825"/>
      <c r="G21" s="269"/>
      <c r="H21" s="269"/>
      <c r="I21" s="333"/>
      <c r="J21" s="333">
        <v>1127.23</v>
      </c>
      <c r="K21" s="333"/>
      <c r="L21" s="333"/>
      <c r="M21" s="333"/>
      <c r="N21" s="69"/>
      <c r="O21" s="529">
        <f t="shared" si="0"/>
        <v>1127.23</v>
      </c>
      <c r="P21" s="454"/>
      <c r="Q21" s="69"/>
      <c r="R21" s="69"/>
      <c r="S21" s="401"/>
      <c r="T21" s="489"/>
      <c r="U21" s="374"/>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35" t="s">
        <v>387</v>
      </c>
      <c r="D22" s="435"/>
      <c r="E22" s="435"/>
      <c r="F22" s="74"/>
      <c r="G22" s="269">
        <v>1125</v>
      </c>
      <c r="H22" s="269">
        <v>6050</v>
      </c>
      <c r="I22" s="333"/>
      <c r="J22" s="333">
        <f>'December''19 State of Activities'!G25</f>
        <v>4850</v>
      </c>
      <c r="K22" s="333">
        <f>'December''19 State of Activities'!H25</f>
        <v>0</v>
      </c>
      <c r="L22" s="333"/>
      <c r="M22" s="333">
        <f>'December''19 State of Activities'!J25</f>
        <v>0</v>
      </c>
      <c r="N22" s="69"/>
      <c r="O22" s="529">
        <f>J22-M22</f>
        <v>4850</v>
      </c>
      <c r="P22" s="454"/>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0.25" x14ac:dyDescent="0.2">
      <c r="A23" s="74"/>
      <c r="B23" s="74"/>
      <c r="C23" s="825" t="s">
        <v>373</v>
      </c>
      <c r="D23" s="825"/>
      <c r="E23" s="825"/>
      <c r="F23" s="825"/>
      <c r="G23" s="269"/>
      <c r="H23" s="269"/>
      <c r="I23" s="333"/>
      <c r="J23" s="333"/>
      <c r="K23" s="333">
        <v>659.25</v>
      </c>
      <c r="L23" s="333"/>
      <c r="M23" s="333">
        <v>659.25</v>
      </c>
      <c r="N23" s="69"/>
      <c r="O23" s="529">
        <f>J23-M23</f>
        <v>-659.25</v>
      </c>
      <c r="P23" s="454"/>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435" t="s">
        <v>228</v>
      </c>
      <c r="D24" s="435"/>
      <c r="E24" s="435"/>
      <c r="F24" s="74"/>
      <c r="G24" s="270">
        <v>31250</v>
      </c>
      <c r="H24" s="270">
        <v>15624.98</v>
      </c>
      <c r="I24" s="333"/>
      <c r="J24" s="270">
        <f>'December''19 State of Activities'!G26*0.2</f>
        <v>9315</v>
      </c>
      <c r="K24" s="270">
        <f>'December''19 State of Activities'!H26*0.2</f>
        <v>9315</v>
      </c>
      <c r="L24" s="333"/>
      <c r="M24" s="270">
        <f>'December''19 State of Activities'!J26*0.2</f>
        <v>9315</v>
      </c>
      <c r="N24" s="69"/>
      <c r="O24" s="530">
        <f>J24-M24</f>
        <v>0</v>
      </c>
      <c r="P24" s="429">
        <v>0</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35"/>
      <c r="D25" s="74" t="s">
        <v>111</v>
      </c>
      <c r="E25" s="435"/>
      <c r="F25" s="74"/>
      <c r="G25" s="237">
        <v>1161224.25</v>
      </c>
      <c r="H25" s="237">
        <v>516293.30999999994</v>
      </c>
      <c r="I25" s="235"/>
      <c r="J25" s="269">
        <f>SUM(J9:J24)</f>
        <v>341333.61</v>
      </c>
      <c r="K25" s="269">
        <f>SUM(K9:K24)</f>
        <v>276186.4486</v>
      </c>
      <c r="L25" s="333"/>
      <c r="M25" s="269">
        <f>SUM(M9:M24)</f>
        <v>276186.4486</v>
      </c>
      <c r="N25" s="69"/>
      <c r="O25" s="280">
        <f>SUM(O9:O24)</f>
        <v>65147.161399999997</v>
      </c>
      <c r="P25" s="454">
        <f>O25/M25</f>
        <v>0.23588109311747019</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Bot="1" x14ac:dyDescent="0.25">
      <c r="A26" s="74"/>
      <c r="B26" s="74"/>
      <c r="C26" s="74" t="s">
        <v>229</v>
      </c>
      <c r="D26" s="435"/>
      <c r="E26" s="435"/>
      <c r="F26" s="74"/>
      <c r="G26" s="245">
        <v>150176</v>
      </c>
      <c r="H26" s="245">
        <v>47700.27</v>
      </c>
      <c r="I26" s="235"/>
      <c r="J26" s="333">
        <f>19000/12*12</f>
        <v>19000</v>
      </c>
      <c r="K26" s="333">
        <v>19000</v>
      </c>
      <c r="L26" s="333"/>
      <c r="M26" s="333">
        <v>19000</v>
      </c>
      <c r="N26" s="69"/>
      <c r="O26" s="529">
        <f>J26-M26</f>
        <v>0</v>
      </c>
      <c r="P26" s="428">
        <f>O26/M26</f>
        <v>0</v>
      </c>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74"/>
      <c r="C27" s="74" t="s">
        <v>230</v>
      </c>
      <c r="D27" s="435"/>
      <c r="E27" s="435"/>
      <c r="F27" s="74"/>
      <c r="G27" s="235"/>
      <c r="H27" s="235"/>
      <c r="I27" s="235"/>
      <c r="J27" s="270">
        <v>37834.400000000001</v>
      </c>
      <c r="K27" s="270">
        <v>37641.19</v>
      </c>
      <c r="L27" s="333"/>
      <c r="M27" s="270">
        <v>37641.19</v>
      </c>
      <c r="N27" s="69"/>
      <c r="O27" s="391">
        <f>J27-M27</f>
        <v>193.20999999999913</v>
      </c>
      <c r="P27" s="482">
        <f>O27/M27</f>
        <v>5.132940802349743E-3</v>
      </c>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75" customFormat="1" ht="20.25" x14ac:dyDescent="0.2">
      <c r="A28" s="74"/>
      <c r="B28" s="74"/>
      <c r="C28" s="435"/>
      <c r="D28" s="74" t="s">
        <v>113</v>
      </c>
      <c r="E28" s="435"/>
      <c r="F28" s="74"/>
      <c r="G28" s="237">
        <v>1311400.25</v>
      </c>
      <c r="H28" s="237">
        <v>563993.57999999996</v>
      </c>
      <c r="I28" s="235"/>
      <c r="J28" s="269">
        <f>SUM(J25:J27)</f>
        <v>398168.01</v>
      </c>
      <c r="K28" s="269">
        <f>SUM(K25:K27)</f>
        <v>332827.63860000001</v>
      </c>
      <c r="L28" s="333"/>
      <c r="M28" s="269">
        <f>SUM(M25:M27)</f>
        <v>332827.63860000001</v>
      </c>
      <c r="N28" s="69"/>
      <c r="O28" s="280">
        <f>J28-M28</f>
        <v>65340.371400000004</v>
      </c>
      <c r="P28" s="454">
        <f>O28/M28</f>
        <v>0.19631894657200505</v>
      </c>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row>
    <row r="29" spans="1:61" s="75" customFormat="1" ht="20.25" x14ac:dyDescent="0.2">
      <c r="A29" s="74"/>
      <c r="B29" s="74"/>
      <c r="C29" s="435"/>
      <c r="D29" s="74"/>
      <c r="E29" s="435"/>
      <c r="F29" s="74"/>
      <c r="G29" s="237"/>
      <c r="H29" s="237"/>
      <c r="I29" s="235"/>
      <c r="J29" s="333"/>
      <c r="K29" s="333"/>
      <c r="L29" s="333"/>
      <c r="M29" s="333"/>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row>
    <row r="30" spans="1:61" s="75" customFormat="1" ht="21" thickBot="1" x14ac:dyDescent="0.25">
      <c r="A30" s="74"/>
      <c r="B30" s="88" t="s">
        <v>117</v>
      </c>
      <c r="C30" s="88"/>
      <c r="D30" s="88"/>
      <c r="E30" s="88"/>
      <c r="F30" s="88"/>
      <c r="G30" s="245"/>
      <c r="H30" s="69"/>
      <c r="I30" s="69"/>
      <c r="J30" s="333"/>
      <c r="K30" s="381"/>
      <c r="L30" s="381"/>
      <c r="M30" s="381"/>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row>
    <row r="31" spans="1:61" s="69" customFormat="1" ht="20.25" x14ac:dyDescent="0.2">
      <c r="A31" s="68"/>
      <c r="B31" s="68"/>
      <c r="C31" s="80" t="s">
        <v>231</v>
      </c>
      <c r="D31" s="80"/>
      <c r="E31" s="80"/>
      <c r="F31" s="80"/>
      <c r="G31" s="235">
        <v>733747.79999999993</v>
      </c>
      <c r="H31" s="280">
        <v>361976</v>
      </c>
      <c r="I31" s="280"/>
      <c r="J31" s="333"/>
      <c r="K31" s="413"/>
      <c r="L31" s="413"/>
      <c r="M31" s="413"/>
    </row>
    <row r="32" spans="1:61" s="69" customFormat="1" ht="20.25" x14ac:dyDescent="0.2">
      <c r="A32" s="68"/>
      <c r="B32" s="68"/>
      <c r="C32" s="80"/>
      <c r="D32" s="823" t="s">
        <v>232</v>
      </c>
      <c r="E32" s="823"/>
      <c r="F32" s="823"/>
      <c r="G32" s="235"/>
      <c r="H32" s="280"/>
      <c r="I32" s="280"/>
      <c r="J32" s="333">
        <v>162253.75</v>
      </c>
      <c r="K32" s="333">
        <v>146508.01999999999</v>
      </c>
      <c r="L32" s="413"/>
      <c r="M32" s="333">
        <v>146508.01999999999</v>
      </c>
      <c r="O32" s="280">
        <f t="shared" ref="O32:O52" si="1">J32-M32</f>
        <v>15745.73000000001</v>
      </c>
      <c r="P32" s="454">
        <f>O32/M32</f>
        <v>0.10747350213319389</v>
      </c>
    </row>
    <row r="33" spans="1:18" s="69" customFormat="1" ht="20.25" x14ac:dyDescent="0.2">
      <c r="A33" s="68"/>
      <c r="B33" s="68"/>
      <c r="C33" s="80"/>
      <c r="D33" s="823" t="s">
        <v>233</v>
      </c>
      <c r="E33" s="823"/>
      <c r="F33" s="823"/>
      <c r="G33" s="235"/>
      <c r="H33" s="280"/>
      <c r="I33" s="280"/>
      <c r="J33" s="333">
        <f>37966.12+23862.63+605.03+106.59</f>
        <v>62540.369999999995</v>
      </c>
      <c r="K33" s="333">
        <f>35778.69+23251.49+605.09+292.95</f>
        <v>59928.22</v>
      </c>
      <c r="L33" s="413"/>
      <c r="M33" s="333">
        <f>35778.69+23251.49+605.09+292.95</f>
        <v>59928.22</v>
      </c>
      <c r="O33" s="280">
        <f t="shared" si="1"/>
        <v>2612.1499999999942</v>
      </c>
      <c r="P33" s="454">
        <f>O33/M33</f>
        <v>4.3587979085646031E-2</v>
      </c>
      <c r="R33" s="267"/>
    </row>
    <row r="34" spans="1:18" s="69" customFormat="1" ht="20.25" x14ac:dyDescent="0.2">
      <c r="A34" s="68"/>
      <c r="B34" s="68"/>
      <c r="C34" s="80"/>
      <c r="D34" s="823" t="s">
        <v>119</v>
      </c>
      <c r="E34" s="823"/>
      <c r="F34" s="823"/>
      <c r="G34" s="235"/>
      <c r="H34" s="280"/>
      <c r="I34" s="280"/>
      <c r="J34" s="333">
        <v>42279.58</v>
      </c>
      <c r="K34" s="333">
        <f>(K32+K33)*0.191</f>
        <v>39429.321839999997</v>
      </c>
      <c r="L34" s="413"/>
      <c r="M34" s="333">
        <f>(M32+M33)*0.191</f>
        <v>39429.321839999997</v>
      </c>
      <c r="O34" s="280">
        <f t="shared" si="1"/>
        <v>2850.2581600000049</v>
      </c>
      <c r="P34" s="454">
        <f>O34/M34</f>
        <v>7.2287780438275093E-2</v>
      </c>
    </row>
    <row r="35" spans="1:18" s="69" customFormat="1" ht="20.25" x14ac:dyDescent="0.2">
      <c r="A35" s="68"/>
      <c r="B35" s="68"/>
      <c r="C35" s="80" t="s">
        <v>296</v>
      </c>
      <c r="D35" s="80"/>
      <c r="E35" s="80"/>
      <c r="F35" s="80"/>
      <c r="G35" s="235">
        <v>44745.18</v>
      </c>
      <c r="H35" s="235">
        <v>20974.21</v>
      </c>
      <c r="I35" s="235"/>
      <c r="J35" s="333"/>
      <c r="K35" s="624"/>
      <c r="L35" s="333"/>
      <c r="M35" s="624"/>
      <c r="O35" s="280">
        <f t="shared" si="1"/>
        <v>0</v>
      </c>
      <c r="P35" s="454"/>
    </row>
    <row r="36" spans="1:18" s="69" customFormat="1" ht="20.25" x14ac:dyDescent="0.2">
      <c r="A36" s="68"/>
      <c r="B36" s="68"/>
      <c r="C36" s="80"/>
      <c r="D36" s="823" t="s">
        <v>234</v>
      </c>
      <c r="E36" s="823"/>
      <c r="F36" s="823"/>
      <c r="G36" s="235"/>
      <c r="H36" s="235"/>
      <c r="I36" s="235"/>
      <c r="J36" s="333">
        <v>25472.83</v>
      </c>
      <c r="K36" s="333">
        <v>27183.82</v>
      </c>
      <c r="L36" s="333"/>
      <c r="M36" s="333">
        <v>27183.82</v>
      </c>
      <c r="O36" s="280">
        <f t="shared" si="1"/>
        <v>-1710.989999999998</v>
      </c>
      <c r="P36" s="454">
        <f t="shared" ref="P36:P43" si="2">O36/M36</f>
        <v>-6.2941485045148099E-2</v>
      </c>
    </row>
    <row r="37" spans="1:18" s="69" customFormat="1" ht="20.25" x14ac:dyDescent="0.2">
      <c r="A37" s="68"/>
      <c r="B37" s="68"/>
      <c r="C37" s="80"/>
      <c r="D37" s="823" t="s">
        <v>235</v>
      </c>
      <c r="E37" s="823"/>
      <c r="F37" s="823"/>
      <c r="G37" s="235"/>
      <c r="H37" s="235"/>
      <c r="I37" s="235"/>
      <c r="J37" s="333">
        <v>17989.87</v>
      </c>
      <c r="K37" s="333">
        <v>15510.83</v>
      </c>
      <c r="L37" s="333"/>
      <c r="M37" s="333">
        <v>15510.83</v>
      </c>
      <c r="O37" s="280">
        <f t="shared" si="1"/>
        <v>2479.0399999999991</v>
      </c>
      <c r="P37" s="454">
        <f t="shared" si="2"/>
        <v>0.1598263922691435</v>
      </c>
    </row>
    <row r="38" spans="1:18" s="69" customFormat="1" ht="20.25" x14ac:dyDescent="0.2">
      <c r="A38" s="68"/>
      <c r="B38" s="68"/>
      <c r="C38" s="80"/>
      <c r="D38" s="823" t="s">
        <v>324</v>
      </c>
      <c r="E38" s="823"/>
      <c r="F38" s="823"/>
      <c r="G38" s="235"/>
      <c r="H38" s="235"/>
      <c r="I38" s="235"/>
      <c r="J38" s="333">
        <v>16090.9</v>
      </c>
      <c r="K38" s="333">
        <v>12450.36</v>
      </c>
      <c r="L38" s="333"/>
      <c r="M38" s="333">
        <v>12450.36</v>
      </c>
      <c r="O38" s="280">
        <f t="shared" si="1"/>
        <v>3640.5399999999991</v>
      </c>
      <c r="P38" s="454">
        <f t="shared" si="2"/>
        <v>0.29240439633874032</v>
      </c>
    </row>
    <row r="39" spans="1:18" s="69" customFormat="1" ht="20.25" x14ac:dyDescent="0.2">
      <c r="A39" s="68"/>
      <c r="B39" s="68"/>
      <c r="C39" s="80"/>
      <c r="D39" s="823" t="s">
        <v>236</v>
      </c>
      <c r="E39" s="823"/>
      <c r="F39" s="823"/>
      <c r="G39" s="235"/>
      <c r="H39" s="235"/>
      <c r="I39" s="235"/>
      <c r="J39" s="333">
        <v>1427.75</v>
      </c>
      <c r="K39" s="333">
        <v>377</v>
      </c>
      <c r="L39" s="333"/>
      <c r="M39" s="333">
        <v>377</v>
      </c>
      <c r="O39" s="280">
        <f t="shared" si="1"/>
        <v>1050.75</v>
      </c>
      <c r="P39" s="454">
        <f t="shared" si="2"/>
        <v>2.7871352785145889</v>
      </c>
    </row>
    <row r="40" spans="1:18" s="69" customFormat="1" ht="20.25" x14ac:dyDescent="0.2">
      <c r="A40" s="68"/>
      <c r="B40" s="68"/>
      <c r="C40" s="80" t="s">
        <v>237</v>
      </c>
      <c r="D40" s="80"/>
      <c r="E40" s="80"/>
      <c r="F40" s="80"/>
      <c r="G40" s="235">
        <v>27200</v>
      </c>
      <c r="H40" s="235">
        <v>11327</v>
      </c>
      <c r="I40" s="235"/>
      <c r="J40" s="333">
        <f>22438.68+1591</f>
        <v>24029.68</v>
      </c>
      <c r="K40" s="333">
        <v>25080</v>
      </c>
      <c r="L40" s="333"/>
      <c r="M40" s="333">
        <v>25080</v>
      </c>
      <c r="O40" s="280">
        <f t="shared" si="1"/>
        <v>-1050.3199999999997</v>
      </c>
      <c r="P40" s="454">
        <f t="shared" si="2"/>
        <v>-4.187878787878787E-2</v>
      </c>
    </row>
    <row r="41" spans="1:18" s="69" customFormat="1" ht="20.25" x14ac:dyDescent="0.2">
      <c r="A41" s="68"/>
      <c r="B41" s="68"/>
      <c r="C41" s="80" t="s">
        <v>110</v>
      </c>
      <c r="D41" s="80"/>
      <c r="E41" s="80"/>
      <c r="F41" s="80"/>
      <c r="G41" s="235">
        <v>150176</v>
      </c>
      <c r="H41" s="280">
        <v>47700.27</v>
      </c>
      <c r="I41" s="280"/>
      <c r="J41" s="333">
        <f>J24</f>
        <v>9315</v>
      </c>
      <c r="K41" s="333">
        <f>K24</f>
        <v>9315</v>
      </c>
      <c r="L41" s="413"/>
      <c r="M41" s="333">
        <f>M24</f>
        <v>9315</v>
      </c>
      <c r="O41" s="280">
        <f t="shared" si="1"/>
        <v>0</v>
      </c>
      <c r="P41" s="454">
        <f t="shared" si="2"/>
        <v>0</v>
      </c>
    </row>
    <row r="42" spans="1:18" s="69" customFormat="1" ht="20.25" x14ac:dyDescent="0.2">
      <c r="A42" s="68"/>
      <c r="B42" s="68"/>
      <c r="C42" s="80" t="s">
        <v>337</v>
      </c>
      <c r="D42" s="80"/>
      <c r="E42" s="80"/>
      <c r="F42" s="80"/>
      <c r="G42" s="235"/>
      <c r="H42" s="280"/>
      <c r="I42" s="280"/>
      <c r="J42" s="333">
        <v>4497</v>
      </c>
      <c r="K42" s="333">
        <v>4075</v>
      </c>
      <c r="L42" s="413"/>
      <c r="M42" s="333">
        <v>4075</v>
      </c>
      <c r="O42" s="280">
        <f t="shared" si="1"/>
        <v>422</v>
      </c>
      <c r="P42" s="454">
        <f t="shared" si="2"/>
        <v>0.10355828220858895</v>
      </c>
    </row>
    <row r="43" spans="1:18" s="69" customFormat="1" ht="20.25" x14ac:dyDescent="0.2">
      <c r="A43" s="68"/>
      <c r="B43" s="68"/>
      <c r="C43" s="80" t="s">
        <v>238</v>
      </c>
      <c r="D43" s="80"/>
      <c r="E43" s="80"/>
      <c r="F43" s="80"/>
      <c r="G43" s="235"/>
      <c r="H43" s="280"/>
      <c r="I43" s="280"/>
      <c r="J43" s="333">
        <f>75+874</f>
        <v>949</v>
      </c>
      <c r="K43" s="333">
        <v>1496.32</v>
      </c>
      <c r="L43" s="413"/>
      <c r="M43" s="333">
        <v>1496.32</v>
      </c>
      <c r="O43" s="280">
        <f t="shared" si="1"/>
        <v>-547.31999999999994</v>
      </c>
      <c r="P43" s="454">
        <f t="shared" si="2"/>
        <v>-0.365777373823781</v>
      </c>
    </row>
    <row r="44" spans="1:18" s="69" customFormat="1" ht="20.25" x14ac:dyDescent="0.2">
      <c r="A44" s="68"/>
      <c r="B44" s="68"/>
      <c r="C44" s="80" t="s">
        <v>442</v>
      </c>
      <c r="D44" s="80"/>
      <c r="E44" s="80"/>
      <c r="F44" s="80"/>
      <c r="G44" s="235">
        <v>10993.12</v>
      </c>
      <c r="H44" s="280">
        <v>4904.57</v>
      </c>
      <c r="I44" s="280"/>
      <c r="J44" s="333">
        <v>4436.1400000000003</v>
      </c>
      <c r="K44" s="333">
        <v>3429.9</v>
      </c>
      <c r="L44" s="413"/>
      <c r="M44" s="333">
        <v>3429.9</v>
      </c>
      <c r="O44" s="280">
        <f t="shared" si="1"/>
        <v>1006.2400000000002</v>
      </c>
      <c r="P44" s="454">
        <f>O44/M44</f>
        <v>0.29337298463512063</v>
      </c>
    </row>
    <row r="45" spans="1:18" s="69" customFormat="1" ht="20.25" x14ac:dyDescent="0.2">
      <c r="A45" s="68"/>
      <c r="B45" s="68"/>
      <c r="C45" s="80" t="s">
        <v>239</v>
      </c>
      <c r="D45" s="80"/>
      <c r="E45" s="80"/>
      <c r="F45" s="80"/>
      <c r="G45" s="235">
        <v>10250.949999999999</v>
      </c>
      <c r="H45" s="280">
        <v>3982.99</v>
      </c>
      <c r="I45" s="280"/>
      <c r="J45" s="333">
        <f>223.01+568.51</f>
        <v>791.52</v>
      </c>
      <c r="K45" s="333">
        <f>56.6+402.81</f>
        <v>459.41</v>
      </c>
      <c r="L45" s="413"/>
      <c r="M45" s="333">
        <f>56.6+402.81</f>
        <v>459.41</v>
      </c>
      <c r="O45" s="280">
        <f t="shared" si="1"/>
        <v>332.10999999999996</v>
      </c>
      <c r="P45" s="454">
        <f>O45/M45</f>
        <v>0.72290546570601411</v>
      </c>
    </row>
    <row r="46" spans="1:18" s="69" customFormat="1" ht="20.25" x14ac:dyDescent="0.2">
      <c r="A46" s="68"/>
      <c r="B46" s="68"/>
      <c r="C46" s="80" t="s">
        <v>128</v>
      </c>
      <c r="D46" s="80"/>
      <c r="E46" s="80"/>
      <c r="F46" s="80"/>
      <c r="G46" s="235">
        <v>4412.53</v>
      </c>
      <c r="H46" s="281">
        <v>5667</v>
      </c>
      <c r="I46" s="281"/>
      <c r="J46" s="333">
        <v>1826.56</v>
      </c>
      <c r="K46" s="333">
        <v>1040.8800000000001</v>
      </c>
      <c r="L46" s="414"/>
      <c r="M46" s="333">
        <v>1040.8800000000001</v>
      </c>
      <c r="O46" s="280">
        <f t="shared" si="1"/>
        <v>785.67999999999984</v>
      </c>
      <c r="P46" s="454">
        <f>O46/M46</f>
        <v>0.75482284221043705</v>
      </c>
    </row>
    <row r="47" spans="1:18" s="69" customFormat="1" ht="20.25" x14ac:dyDescent="0.2">
      <c r="A47" s="68"/>
      <c r="B47" s="68"/>
      <c r="C47" s="80" t="s">
        <v>126</v>
      </c>
      <c r="D47" s="80"/>
      <c r="E47" s="80"/>
      <c r="F47" s="80"/>
      <c r="G47" s="235">
        <v>7901</v>
      </c>
      <c r="H47" s="280">
        <v>4149.6000000000004</v>
      </c>
      <c r="I47" s="280"/>
      <c r="J47" s="333">
        <v>396.82</v>
      </c>
      <c r="K47" s="333">
        <v>436.35</v>
      </c>
      <c r="L47" s="413"/>
      <c r="M47" s="333">
        <v>436.35</v>
      </c>
      <c r="O47" s="280">
        <f t="shared" si="1"/>
        <v>-39.53000000000003</v>
      </c>
      <c r="P47" s="454">
        <f>O47/M47</f>
        <v>-9.0592414346281722E-2</v>
      </c>
    </row>
    <row r="48" spans="1:18" s="69" customFormat="1" ht="20.25" hidden="1" x14ac:dyDescent="0.2">
      <c r="A48" s="68"/>
      <c r="B48" s="68"/>
      <c r="C48" s="80" t="s">
        <v>240</v>
      </c>
      <c r="D48" s="80"/>
      <c r="E48" s="80"/>
      <c r="F48" s="80"/>
      <c r="G48" s="235"/>
      <c r="H48" s="280"/>
      <c r="I48" s="280"/>
      <c r="J48" s="333"/>
      <c r="K48" s="333"/>
      <c r="L48" s="413"/>
      <c r="M48" s="333"/>
      <c r="O48" s="280">
        <f t="shared" si="1"/>
        <v>0</v>
      </c>
      <c r="P48" s="454"/>
    </row>
    <row r="49" spans="1:16" s="77" customFormat="1" ht="20.25" x14ac:dyDescent="0.2">
      <c r="A49" s="80"/>
      <c r="B49" s="80"/>
      <c r="C49" s="80" t="s">
        <v>122</v>
      </c>
      <c r="D49" s="80"/>
      <c r="E49" s="80"/>
      <c r="F49" s="80"/>
      <c r="G49" s="235">
        <v>5428.37</v>
      </c>
      <c r="H49" s="280">
        <v>2024.52</v>
      </c>
      <c r="I49" s="280"/>
      <c r="J49" s="333">
        <v>422.62</v>
      </c>
      <c r="K49" s="333">
        <v>205.44</v>
      </c>
      <c r="L49" s="413"/>
      <c r="M49" s="333">
        <v>205.44</v>
      </c>
      <c r="O49" s="280">
        <f t="shared" si="1"/>
        <v>217.18</v>
      </c>
      <c r="P49" s="454">
        <f>O49/M49</f>
        <v>1.0571456386292835</v>
      </c>
    </row>
    <row r="50" spans="1:16" s="77" customFormat="1" ht="20.25" x14ac:dyDescent="0.2">
      <c r="A50" s="80"/>
      <c r="B50" s="80"/>
      <c r="C50" s="80" t="s">
        <v>241</v>
      </c>
      <c r="D50" s="80"/>
      <c r="E50" s="80"/>
      <c r="F50" s="80"/>
      <c r="G50" s="235">
        <v>83462.91</v>
      </c>
      <c r="H50" s="235">
        <v>18995.71</v>
      </c>
      <c r="I50" s="235"/>
      <c r="J50" s="412">
        <f>248.22+18.56+28.25+5</f>
        <v>300.02999999999997</v>
      </c>
      <c r="K50" s="412">
        <f>201.52+30+216.21+94.56</f>
        <v>542.29</v>
      </c>
      <c r="L50" s="333"/>
      <c r="M50" s="412">
        <f>201.52+30+216.21+94.56</f>
        <v>542.29</v>
      </c>
      <c r="O50" s="532">
        <f t="shared" si="1"/>
        <v>-242.26</v>
      </c>
      <c r="P50" s="531">
        <f>O50/M50</f>
        <v>-0.44673514171384315</v>
      </c>
    </row>
    <row r="51" spans="1:16" s="69" customFormat="1" ht="21" thickBot="1" x14ac:dyDescent="0.25">
      <c r="A51" s="68"/>
      <c r="B51" s="68"/>
      <c r="C51" s="68"/>
      <c r="D51" s="74" t="s">
        <v>134</v>
      </c>
      <c r="E51" s="68"/>
      <c r="F51" s="68"/>
      <c r="G51" s="245">
        <v>1078317.8599999999</v>
      </c>
      <c r="H51" s="245">
        <v>481701.87000000005</v>
      </c>
      <c r="I51" s="235"/>
      <c r="J51" s="484">
        <f>SUM(J32:J50)</f>
        <v>375019.4200000001</v>
      </c>
      <c r="K51" s="484">
        <f>SUM(K32:K50)</f>
        <v>347468.16183999996</v>
      </c>
      <c r="L51" s="333"/>
      <c r="M51" s="484">
        <f>SUM(M32:M50)</f>
        <v>347468.16183999996</v>
      </c>
      <c r="O51" s="484">
        <f t="shared" si="1"/>
        <v>27551.258160000143</v>
      </c>
      <c r="P51" s="482">
        <f>O51/M51</f>
        <v>7.9291460875447861E-2</v>
      </c>
    </row>
    <row r="52" spans="1:16" s="69" customFormat="1" ht="21" thickBot="1" x14ac:dyDescent="0.25">
      <c r="A52" s="68"/>
      <c r="B52" s="68"/>
      <c r="C52" s="68"/>
      <c r="D52" s="68" t="s">
        <v>135</v>
      </c>
      <c r="E52" s="68"/>
      <c r="F52" s="68"/>
      <c r="G52" s="245">
        <v>233082.39000000013</v>
      </c>
      <c r="H52" s="245">
        <v>82291.709999999905</v>
      </c>
      <c r="I52" s="235"/>
      <c r="J52" s="485">
        <f>J28-J51</f>
        <v>23148.589999999909</v>
      </c>
      <c r="K52" s="485">
        <f>K28-K51</f>
        <v>-14640.523239999951</v>
      </c>
      <c r="L52" s="333"/>
      <c r="M52" s="485">
        <f>M28-M51</f>
        <v>-14640.523239999951</v>
      </c>
      <c r="O52" s="391">
        <f t="shared" si="1"/>
        <v>37789.113239999861</v>
      </c>
      <c r="P52" s="482">
        <f>O52/M52</f>
        <v>-2.5811313312050714</v>
      </c>
    </row>
    <row r="53" spans="1:16" s="69" customFormat="1" ht="20.25" x14ac:dyDescent="0.2">
      <c r="A53" s="68"/>
      <c r="B53" s="68"/>
      <c r="C53" s="68"/>
      <c r="D53" s="68"/>
      <c r="E53" s="68"/>
      <c r="F53" s="68"/>
      <c r="G53" s="235"/>
      <c r="H53" s="235"/>
      <c r="I53" s="235"/>
      <c r="J53" s="333"/>
      <c r="K53" s="333"/>
      <c r="L53" s="333"/>
      <c r="M53" s="333"/>
    </row>
    <row r="54" spans="1:16" s="66" customFormat="1" ht="26.25" x14ac:dyDescent="0.2">
      <c r="A54" s="273"/>
      <c r="B54" s="273"/>
      <c r="C54" s="80" t="s">
        <v>280</v>
      </c>
      <c r="E54" s="80"/>
      <c r="F54" s="80"/>
      <c r="G54" s="275"/>
      <c r="H54" s="235"/>
      <c r="I54" s="235"/>
      <c r="J54" s="333">
        <f>-23415.22-22918.98-23165.91</f>
        <v>-69500.11</v>
      </c>
      <c r="K54" s="333">
        <v>-44886</v>
      </c>
      <c r="L54" s="333"/>
      <c r="M54" s="333">
        <v>-44886</v>
      </c>
      <c r="O54" s="280">
        <f>J54-M54</f>
        <v>-24614.11</v>
      </c>
      <c r="P54" s="428"/>
    </row>
    <row r="55" spans="1:16" s="69" customFormat="1" ht="20.25" x14ac:dyDescent="0.2">
      <c r="A55" s="68"/>
      <c r="B55" s="68"/>
      <c r="C55" s="80" t="s">
        <v>242</v>
      </c>
      <c r="E55" s="68"/>
      <c r="G55" s="235"/>
      <c r="H55" s="235"/>
      <c r="I55" s="235"/>
      <c r="J55" s="333">
        <f>J40</f>
        <v>24029.68</v>
      </c>
      <c r="K55" s="333">
        <f>K40</f>
        <v>25080</v>
      </c>
      <c r="L55" s="333"/>
      <c r="M55" s="333">
        <f>M40</f>
        <v>25080</v>
      </c>
      <c r="O55" s="280">
        <f>J55-M55</f>
        <v>-1050.3199999999997</v>
      </c>
      <c r="P55" s="428">
        <v>3.5414486921529216E-2</v>
      </c>
    </row>
    <row r="56" spans="1:16" s="69" customFormat="1" ht="24" thickBot="1" x14ac:dyDescent="0.25">
      <c r="A56" s="68"/>
      <c r="B56" s="410"/>
      <c r="C56" s="68"/>
      <c r="D56" s="824" t="s">
        <v>243</v>
      </c>
      <c r="E56" s="824"/>
      <c r="F56" s="824"/>
      <c r="G56" s="235"/>
      <c r="H56" s="235"/>
      <c r="I56" s="235"/>
      <c r="J56" s="486">
        <f>J52+J54+J55</f>
        <v>-22321.840000000091</v>
      </c>
      <c r="K56" s="486">
        <f>K52+K54+K55</f>
        <v>-34446.523239999951</v>
      </c>
      <c r="L56" s="337"/>
      <c r="M56" s="486">
        <f>M52+M54+M55</f>
        <v>-34446.523239999951</v>
      </c>
      <c r="N56" s="401"/>
      <c r="O56" s="483">
        <f>J56-M56</f>
        <v>12124.68323999986</v>
      </c>
      <c r="P56" s="521">
        <v>2.1062768618503362E-2</v>
      </c>
    </row>
    <row r="57" spans="1:16" s="69" customFormat="1" ht="42" customHeight="1" thickTop="1" x14ac:dyDescent="0.2">
      <c r="A57" s="68"/>
      <c r="B57" s="68"/>
      <c r="C57" s="68"/>
      <c r="D57" s="68"/>
      <c r="E57" s="68"/>
      <c r="F57" s="68"/>
      <c r="G57" s="235"/>
      <c r="H57" s="235"/>
      <c r="I57" s="235"/>
      <c r="J57" s="333"/>
      <c r="K57" s="333"/>
      <c r="L57" s="333"/>
      <c r="M57" s="333"/>
    </row>
    <row r="58" spans="1:16" s="77" customFormat="1" ht="20.25" x14ac:dyDescent="0.2">
      <c r="A58" s="80"/>
      <c r="B58" s="80"/>
      <c r="C58" s="80"/>
      <c r="D58" s="80"/>
      <c r="F58" s="80" t="s">
        <v>331</v>
      </c>
      <c r="G58" s="250"/>
      <c r="H58" s="235"/>
      <c r="I58" s="235"/>
      <c r="J58" s="333">
        <v>227723</v>
      </c>
      <c r="K58" s="333">
        <v>225930</v>
      </c>
      <c r="L58" s="333"/>
      <c r="M58" s="333">
        <v>225930</v>
      </c>
      <c r="O58" s="251"/>
    </row>
    <row r="59" spans="1:16" s="77" customFormat="1" ht="21" thickBot="1" x14ac:dyDescent="0.25">
      <c r="A59" s="80"/>
      <c r="B59" s="80"/>
      <c r="C59" s="80"/>
      <c r="D59" s="80"/>
      <c r="F59" s="80" t="s">
        <v>338</v>
      </c>
      <c r="G59" s="235"/>
      <c r="H59" s="235"/>
      <c r="I59" s="235"/>
      <c r="J59" s="646">
        <f>(J51-J40-J41)/J58</f>
        <v>1.5003962709080774</v>
      </c>
      <c r="K59" s="646">
        <f>(K51-K40-K41)/K58</f>
        <v>1.3857086789713626</v>
      </c>
      <c r="L59" s="647"/>
      <c r="M59" s="646">
        <f>(M51-M40-M41)/M58</f>
        <v>1.3857086789713626</v>
      </c>
    </row>
    <row r="60" spans="1:16" s="77" customFormat="1" ht="20.25" x14ac:dyDescent="0.2">
      <c r="A60" s="80"/>
      <c r="B60" s="80"/>
      <c r="C60" s="80"/>
      <c r="D60" s="80"/>
      <c r="F60" s="80"/>
      <c r="G60" s="235"/>
      <c r="H60" s="235"/>
      <c r="I60" s="235"/>
      <c r="J60" s="333"/>
      <c r="K60" s="333"/>
      <c r="L60" s="333"/>
      <c r="M60" s="333"/>
    </row>
    <row r="61" spans="1:16" s="77" customFormat="1" ht="20.25" x14ac:dyDescent="0.2">
      <c r="A61" s="80"/>
      <c r="B61" s="80"/>
      <c r="C61" s="80"/>
      <c r="D61" s="80"/>
      <c r="F61" s="80" t="s">
        <v>332</v>
      </c>
      <c r="G61" s="235"/>
      <c r="H61" s="235"/>
      <c r="I61" s="235"/>
      <c r="J61" s="333">
        <v>16457</v>
      </c>
      <c r="K61" s="333">
        <v>15755</v>
      </c>
      <c r="L61" s="333"/>
      <c r="M61" s="333">
        <v>15755</v>
      </c>
      <c r="P61" s="251"/>
    </row>
    <row r="62" spans="1:16" s="77" customFormat="1" ht="21" thickBot="1" x14ac:dyDescent="0.25">
      <c r="A62" s="80"/>
      <c r="B62" s="80"/>
      <c r="C62" s="80"/>
      <c r="D62" s="80"/>
      <c r="F62" s="80" t="s">
        <v>429</v>
      </c>
      <c r="G62" s="235"/>
      <c r="H62" s="235"/>
      <c r="I62" s="235"/>
      <c r="J62" s="646">
        <f>(J51-J40-J41)/J61</f>
        <v>20.761666160296535</v>
      </c>
      <c r="K62" s="646">
        <f>(K51-K40-K41)/K61</f>
        <v>19.871352703268801</v>
      </c>
      <c r="L62" s="333"/>
      <c r="M62" s="646">
        <f>(M51-M40-M41)/M61</f>
        <v>19.871352703268801</v>
      </c>
    </row>
    <row r="63" spans="1:16" s="77" customFormat="1" ht="20.25" x14ac:dyDescent="0.2">
      <c r="A63" s="80"/>
      <c r="B63" s="80"/>
      <c r="C63" s="80"/>
      <c r="D63" s="80"/>
      <c r="F63" s="80"/>
      <c r="G63" s="235"/>
      <c r="H63" s="235"/>
      <c r="I63" s="235"/>
      <c r="J63" s="333"/>
      <c r="K63" s="333"/>
      <c r="L63" s="333"/>
      <c r="M63" s="333"/>
    </row>
    <row r="64" spans="1:16" s="77" customFormat="1" ht="20.25" x14ac:dyDescent="0.2">
      <c r="A64" s="80"/>
      <c r="B64" s="80"/>
      <c r="C64" s="68"/>
      <c r="D64" s="80"/>
      <c r="F64" s="80" t="s">
        <v>333</v>
      </c>
      <c r="G64" s="235"/>
      <c r="H64" s="235"/>
      <c r="I64" s="235"/>
      <c r="J64" s="333">
        <v>7208</v>
      </c>
      <c r="K64" s="333">
        <v>7063</v>
      </c>
      <c r="L64" s="333"/>
      <c r="M64" s="333">
        <v>7063</v>
      </c>
    </row>
    <row r="65" spans="1:13" s="77" customFormat="1" ht="21" thickBot="1" x14ac:dyDescent="0.25">
      <c r="A65" s="80"/>
      <c r="B65" s="80"/>
      <c r="C65" s="80"/>
      <c r="D65" s="80"/>
      <c r="E65" s="80"/>
      <c r="F65" s="80" t="s">
        <v>432</v>
      </c>
      <c r="G65" s="235"/>
      <c r="H65" s="235"/>
      <c r="I65" s="235"/>
      <c r="J65" s="646">
        <f>J9/J64</f>
        <v>22.020104051054386</v>
      </c>
      <c r="K65" s="646">
        <f>K9/K64</f>
        <v>21.727489735239985</v>
      </c>
      <c r="L65" s="333"/>
      <c r="M65" s="646">
        <f>M9/M64</f>
        <v>21.727489735239985</v>
      </c>
    </row>
    <row r="66" spans="1:13" s="77" customFormat="1" ht="20.25" x14ac:dyDescent="0.2">
      <c r="A66" s="80"/>
      <c r="B66" s="80"/>
      <c r="C66" s="68"/>
      <c r="D66" s="68"/>
      <c r="G66" s="235"/>
      <c r="H66" s="235"/>
      <c r="I66" s="235"/>
      <c r="J66" s="333"/>
      <c r="K66" s="333"/>
      <c r="L66" s="333"/>
      <c r="M66" s="333"/>
    </row>
    <row r="67" spans="1:13" s="77" customFormat="1" ht="20.25" x14ac:dyDescent="0.2">
      <c r="A67" s="80"/>
      <c r="B67" s="80"/>
      <c r="C67" s="80"/>
      <c r="D67" s="80"/>
      <c r="E67" s="80"/>
      <c r="F67" s="80"/>
      <c r="G67" s="235"/>
      <c r="H67" s="235"/>
      <c r="I67" s="235"/>
      <c r="J67" s="235"/>
      <c r="K67" s="235"/>
      <c r="L67" s="235"/>
      <c r="M67" s="235"/>
    </row>
    <row r="68" spans="1:13" s="77" customFormat="1" ht="20.25" x14ac:dyDescent="0.2">
      <c r="A68" s="80"/>
      <c r="B68" s="80"/>
      <c r="C68" s="80"/>
      <c r="D68" s="80"/>
      <c r="E68" s="80"/>
      <c r="F68" s="80"/>
      <c r="G68" s="235"/>
      <c r="H68" s="235"/>
      <c r="I68" s="235"/>
      <c r="J68" s="235"/>
      <c r="K68" s="235"/>
      <c r="L68" s="235"/>
      <c r="M68" s="235"/>
    </row>
    <row r="69" spans="1:13" s="77" customFormat="1" ht="20.25" x14ac:dyDescent="0.2">
      <c r="A69" s="80"/>
      <c r="B69" s="80"/>
      <c r="C69" s="68"/>
      <c r="D69" s="80"/>
      <c r="F69" s="80"/>
      <c r="G69" s="235"/>
      <c r="H69" s="235"/>
      <c r="I69" s="235"/>
      <c r="J69" s="235"/>
      <c r="K69" s="235"/>
      <c r="L69" s="235"/>
      <c r="M69" s="235"/>
    </row>
    <row r="70" spans="1:13" s="77" customFormat="1" ht="20.25" x14ac:dyDescent="0.2">
      <c r="A70" s="80"/>
      <c r="B70" s="80"/>
      <c r="C70" s="80"/>
      <c r="D70" s="80"/>
      <c r="E70" s="80"/>
      <c r="F70" s="80"/>
      <c r="G70" s="235"/>
      <c r="H70" s="235"/>
      <c r="I70" s="235"/>
      <c r="J70" s="235"/>
      <c r="K70" s="235"/>
      <c r="L70" s="235"/>
      <c r="M70" s="235"/>
    </row>
    <row r="71" spans="1:13" s="69" customFormat="1" ht="20.25" x14ac:dyDescent="0.2">
      <c r="A71" s="68"/>
      <c r="B71" s="68"/>
      <c r="C71" s="68"/>
      <c r="D71" s="68"/>
      <c r="E71" s="68"/>
      <c r="F71" s="68"/>
      <c r="G71" s="240"/>
      <c r="H71" s="240"/>
      <c r="I71" s="240"/>
      <c r="J71" s="240"/>
      <c r="K71" s="240"/>
      <c r="L71" s="240"/>
      <c r="M71" s="240"/>
    </row>
    <row r="72" spans="1:13" s="69" customFormat="1" ht="20.25" x14ac:dyDescent="0.2">
      <c r="A72" s="68"/>
      <c r="B72" s="68"/>
      <c r="C72" s="68"/>
      <c r="D72" s="68"/>
      <c r="E72" s="68"/>
      <c r="F72" s="68"/>
      <c r="G72" s="240"/>
      <c r="H72" s="240"/>
      <c r="I72" s="240"/>
      <c r="J72" s="240"/>
      <c r="K72" s="240"/>
      <c r="L72" s="240"/>
      <c r="M72" s="240"/>
    </row>
    <row r="73" spans="1:13" s="69" customFormat="1" ht="23.25" x14ac:dyDescent="0.2">
      <c r="A73" s="68"/>
      <c r="B73" s="276"/>
      <c r="C73" s="68"/>
      <c r="D73" s="68"/>
      <c r="E73" s="68"/>
      <c r="F73" s="68"/>
      <c r="G73" s="235"/>
      <c r="H73" s="235"/>
      <c r="I73" s="235"/>
      <c r="J73" s="235"/>
      <c r="K73" s="235"/>
      <c r="L73" s="235"/>
      <c r="M73" s="235"/>
    </row>
    <row r="74" spans="1:13" s="77" customFormat="1" ht="20.25" x14ac:dyDescent="0.2">
      <c r="A74" s="80"/>
      <c r="B74" s="80"/>
      <c r="D74" s="80"/>
      <c r="E74" s="80"/>
      <c r="F74" s="80"/>
      <c r="G74" s="235"/>
      <c r="H74" s="235"/>
      <c r="I74" s="235"/>
      <c r="J74" s="235"/>
      <c r="K74" s="235"/>
      <c r="L74" s="235"/>
      <c r="M74" s="235"/>
    </row>
    <row r="75" spans="1:13" s="77" customFormat="1" ht="20.25" x14ac:dyDescent="0.2">
      <c r="A75" s="80"/>
      <c r="B75" s="80"/>
      <c r="D75" s="80"/>
      <c r="E75" s="80"/>
      <c r="F75" s="80"/>
      <c r="G75" s="235"/>
      <c r="H75" s="235"/>
      <c r="I75" s="235"/>
      <c r="J75" s="235"/>
      <c r="K75" s="235"/>
      <c r="L75" s="235"/>
      <c r="M75" s="235"/>
    </row>
    <row r="76" spans="1:13" s="69" customFormat="1" ht="20.25" x14ac:dyDescent="0.2">
      <c r="A76" s="68"/>
      <c r="B76" s="68"/>
      <c r="D76" s="80"/>
      <c r="E76" s="68"/>
      <c r="F76" s="68"/>
      <c r="G76" s="235"/>
      <c r="H76" s="235"/>
      <c r="I76" s="235"/>
      <c r="J76" s="235"/>
      <c r="K76" s="235"/>
      <c r="L76" s="235"/>
      <c r="M76" s="235"/>
    </row>
    <row r="77" spans="1:13" s="69" customFormat="1" ht="23.25" x14ac:dyDescent="0.2">
      <c r="A77" s="68"/>
      <c r="B77" s="276"/>
      <c r="C77" s="68"/>
      <c r="D77" s="68"/>
      <c r="E77" s="68"/>
      <c r="F77" s="68"/>
      <c r="G77" s="240"/>
      <c r="H77" s="240"/>
      <c r="I77" s="240"/>
      <c r="J77" s="240"/>
      <c r="K77" s="240"/>
      <c r="L77" s="240"/>
      <c r="M77" s="240"/>
    </row>
    <row r="78" spans="1:13" s="69" customFormat="1" ht="20.25" x14ac:dyDescent="0.2">
      <c r="A78" s="68"/>
      <c r="B78" s="68"/>
      <c r="C78" s="68"/>
      <c r="D78" s="68"/>
      <c r="E78" s="68"/>
      <c r="F78" s="68"/>
      <c r="G78" s="235"/>
      <c r="H78" s="235"/>
      <c r="I78" s="235"/>
      <c r="J78" s="235"/>
      <c r="K78" s="235"/>
      <c r="L78" s="235"/>
      <c r="M78" s="235"/>
    </row>
    <row r="79" spans="1:13" s="83" customFormat="1" ht="26.25" x14ac:dyDescent="0.2">
      <c r="A79" s="273"/>
      <c r="B79" s="273"/>
      <c r="C79" s="273"/>
      <c r="D79" s="273"/>
      <c r="E79" s="273"/>
      <c r="F79" s="273"/>
      <c r="G79" s="274"/>
      <c r="H79" s="240"/>
      <c r="I79" s="240"/>
      <c r="J79" s="240"/>
      <c r="K79" s="240"/>
      <c r="L79" s="240"/>
      <c r="M79" s="240"/>
    </row>
    <row r="80" spans="1:13" s="18" customFormat="1" ht="20.25" x14ac:dyDescent="0.3">
      <c r="A80" s="123"/>
      <c r="B80" s="123"/>
      <c r="C80" s="123"/>
      <c r="D80" s="123"/>
      <c r="E80" s="123"/>
      <c r="F80" s="123"/>
      <c r="G80" s="277"/>
      <c r="H80" s="282"/>
      <c r="I80" s="282"/>
      <c r="J80" s="282"/>
      <c r="K80" s="282"/>
      <c r="L80" s="282"/>
      <c r="M80" s="282"/>
    </row>
    <row r="81" spans="8:13" ht="20.25" x14ac:dyDescent="0.3">
      <c r="H81" s="282"/>
      <c r="I81" s="282"/>
      <c r="J81" s="282"/>
      <c r="K81" s="282"/>
      <c r="L81" s="282"/>
      <c r="M81" s="282"/>
    </row>
    <row r="82" spans="8:13" ht="20.25" x14ac:dyDescent="0.3">
      <c r="H82" s="282"/>
      <c r="I82" s="282"/>
      <c r="J82" s="282"/>
      <c r="K82" s="282"/>
      <c r="L82" s="282"/>
      <c r="M82" s="282"/>
    </row>
    <row r="83" spans="8:13" ht="20.25" x14ac:dyDescent="0.3">
      <c r="H83" s="279"/>
      <c r="I83" s="279"/>
      <c r="J83" s="279"/>
      <c r="K83" s="279"/>
      <c r="L83" s="279"/>
      <c r="M83" s="279"/>
    </row>
  </sheetData>
  <mergeCells count="13">
    <mergeCell ref="J6:M6"/>
    <mergeCell ref="D37:F37"/>
    <mergeCell ref="D38:F38"/>
    <mergeCell ref="D39:F39"/>
    <mergeCell ref="C10:F10"/>
    <mergeCell ref="C23:F23"/>
    <mergeCell ref="D56:F56"/>
    <mergeCell ref="O8:P8"/>
    <mergeCell ref="D32:F32"/>
    <mergeCell ref="D33:F33"/>
    <mergeCell ref="D34:F34"/>
    <mergeCell ref="D36:F36"/>
    <mergeCell ref="C21:F21"/>
  </mergeCells>
  <pageMargins left="0.2" right="0" top="0.5" bottom="0.5" header="0.3" footer="0.3"/>
  <pageSetup scale="5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7"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233"/>
      <c r="H1" s="60"/>
      <c r="I1" s="60"/>
      <c r="J1" s="60"/>
      <c r="K1" s="60"/>
      <c r="L1" s="481"/>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224</v>
      </c>
      <c r="B2" s="60"/>
      <c r="C2" s="61"/>
      <c r="D2" s="61"/>
      <c r="E2" s="61"/>
      <c r="F2" s="60"/>
      <c r="G2" s="233"/>
      <c r="H2" s="60"/>
      <c r="I2" s="60"/>
      <c r="J2" s="60"/>
      <c r="K2" s="60"/>
      <c r="L2" s="48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
        <v>437</v>
      </c>
      <c r="B3" s="60"/>
      <c r="C3" s="61"/>
      <c r="D3" s="61"/>
      <c r="E3" s="61"/>
      <c r="F3" s="60"/>
      <c r="G3" s="233"/>
      <c r="H3" s="60"/>
      <c r="I3" s="60"/>
      <c r="J3" s="60"/>
      <c r="K3" s="60"/>
      <c r="L3" s="481"/>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c r="B4" s="60"/>
      <c r="C4" s="61"/>
      <c r="D4" s="61"/>
      <c r="E4" s="61"/>
      <c r="F4" s="60"/>
      <c r="G4" s="233"/>
      <c r="H4" s="60"/>
      <c r="I4" s="60"/>
      <c r="J4" s="60"/>
      <c r="K4" s="60"/>
      <c r="L4" s="481"/>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4"/>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114</v>
      </c>
      <c r="B6" s="65"/>
      <c r="C6" s="65"/>
      <c r="D6" s="65"/>
      <c r="E6" s="65"/>
      <c r="F6" s="65"/>
      <c r="G6" s="758"/>
      <c r="H6" s="244" t="s">
        <v>54</v>
      </c>
      <c r="I6" s="244"/>
      <c r="J6" s="822" t="s">
        <v>54</v>
      </c>
      <c r="K6" s="822"/>
      <c r="L6" s="822"/>
      <c r="M6" s="822"/>
      <c r="N6" s="66"/>
      <c r="O6" s="430" t="s">
        <v>189</v>
      </c>
      <c r="P6" s="427" t="s">
        <v>202</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5"/>
    </row>
    <row r="8" spans="1:128" s="73" customFormat="1" ht="21" thickBot="1" x14ac:dyDescent="0.35">
      <c r="A8" s="70"/>
      <c r="B8" s="154" t="s">
        <v>106</v>
      </c>
      <c r="C8" s="154"/>
      <c r="D8" s="154"/>
      <c r="E8" s="154"/>
      <c r="F8" s="154"/>
      <c r="G8" s="287">
        <v>41090</v>
      </c>
      <c r="H8" s="287">
        <v>41274</v>
      </c>
      <c r="I8" s="334"/>
      <c r="J8" s="729">
        <v>43830</v>
      </c>
      <c r="K8" s="730">
        <f>'December''19 State of Activities'!H8</f>
        <v>43465</v>
      </c>
      <c r="L8" s="731"/>
      <c r="M8" s="729">
        <v>44196</v>
      </c>
      <c r="N8" s="72"/>
      <c r="O8" s="821" t="s">
        <v>440</v>
      </c>
      <c r="P8" s="821"/>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35" t="s">
        <v>157</v>
      </c>
      <c r="D9" s="435"/>
      <c r="E9" s="435"/>
      <c r="F9" s="74"/>
      <c r="G9" s="269">
        <v>127719</v>
      </c>
      <c r="H9" s="269">
        <v>67566.5</v>
      </c>
      <c r="I9" s="333"/>
      <c r="J9" s="337">
        <v>160000</v>
      </c>
      <c r="K9" s="337">
        <f>'December''19 State of Activities'!H11</f>
        <v>153461.26</v>
      </c>
      <c r="L9" s="337"/>
      <c r="M9" s="337">
        <v>160000</v>
      </c>
      <c r="N9" s="69"/>
      <c r="O9" s="392">
        <f>M9-J9</f>
        <v>0</v>
      </c>
      <c r="P9" s="428">
        <f>O9/M9</f>
        <v>0</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435" t="s">
        <v>225</v>
      </c>
      <c r="D10" s="435"/>
      <c r="E10" s="435"/>
      <c r="F10" s="74"/>
      <c r="G10" s="268">
        <v>875436</v>
      </c>
      <c r="H10" s="268">
        <v>372424.1</v>
      </c>
      <c r="I10" s="337"/>
      <c r="J10" s="333">
        <v>5000</v>
      </c>
      <c r="K10" s="333">
        <f>10471.96+(5268.48+3381.01)*1.14</f>
        <v>20332.378599999996</v>
      </c>
      <c r="L10" s="337"/>
      <c r="M10" s="333">
        <v>10000</v>
      </c>
      <c r="N10" s="69"/>
      <c r="O10" s="529">
        <f>M10-J10</f>
        <v>5000</v>
      </c>
      <c r="P10" s="454">
        <f>O10/M10</f>
        <v>0.5</v>
      </c>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35" t="s">
        <v>108</v>
      </c>
      <c r="D11" s="435"/>
      <c r="E11" s="435"/>
      <c r="F11" s="74"/>
      <c r="G11" s="269"/>
      <c r="H11" s="269"/>
      <c r="I11" s="333"/>
      <c r="J11" s="333"/>
      <c r="K11" s="333"/>
      <c r="L11" s="333"/>
      <c r="M11" s="333"/>
      <c r="N11" s="69"/>
      <c r="O11" s="529"/>
      <c r="P11" s="440"/>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78"/>
      <c r="D12" s="435" t="s">
        <v>226</v>
      </c>
      <c r="E12" s="435"/>
      <c r="F12" s="74"/>
      <c r="G12" s="269">
        <v>94235.25</v>
      </c>
      <c r="H12" s="269">
        <v>37190.379999999997</v>
      </c>
      <c r="I12" s="333"/>
      <c r="J12" s="333">
        <f>3708.33*12</f>
        <v>44499.96</v>
      </c>
      <c r="K12" s="333">
        <f>3541.67*12</f>
        <v>42500.04</v>
      </c>
      <c r="L12" s="333"/>
      <c r="M12" s="333">
        <v>44500</v>
      </c>
      <c r="N12" s="69"/>
      <c r="O12" s="529">
        <f t="shared" ref="O12:O19" si="0">M12-J12</f>
        <v>4.0000000000873115E-2</v>
      </c>
      <c r="P12" s="454">
        <f t="shared" ref="P12:P18" si="1">O12/M12</f>
        <v>8.9887640451400261E-7</v>
      </c>
      <c r="Q12" s="69"/>
      <c r="R12" s="487"/>
      <c r="S12" s="488"/>
      <c r="T12" s="487"/>
      <c r="U12" s="487"/>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35" t="s">
        <v>166</v>
      </c>
      <c r="E13" s="435"/>
      <c r="F13" s="74"/>
      <c r="G13" s="269"/>
      <c r="H13" s="269"/>
      <c r="I13" s="333"/>
      <c r="J13" s="333">
        <v>13000</v>
      </c>
      <c r="K13" s="333">
        <f>750*12</f>
        <v>9000</v>
      </c>
      <c r="L13" s="333"/>
      <c r="M13" s="333">
        <v>18000</v>
      </c>
      <c r="N13" s="69"/>
      <c r="O13" s="529">
        <f t="shared" si="0"/>
        <v>5000</v>
      </c>
      <c r="P13" s="454">
        <f t="shared" si="1"/>
        <v>0.27777777777777779</v>
      </c>
      <c r="Q13" s="69"/>
      <c r="R13" s="69"/>
      <c r="S13" s="401"/>
      <c r="T13" s="489"/>
      <c r="U13" s="374"/>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435" t="s">
        <v>109</v>
      </c>
      <c r="D14" s="435"/>
      <c r="E14" s="435"/>
      <c r="F14" s="74"/>
      <c r="G14" s="269">
        <v>0</v>
      </c>
      <c r="H14" s="269">
        <v>3517</v>
      </c>
      <c r="I14" s="333"/>
      <c r="J14" s="333">
        <v>15000</v>
      </c>
      <c r="K14" s="333">
        <f>'December''19 State of Activities'!H18</f>
        <v>12796</v>
      </c>
      <c r="L14" s="333"/>
      <c r="M14" s="333">
        <v>20000</v>
      </c>
      <c r="N14" s="69"/>
      <c r="O14" s="529">
        <f t="shared" si="0"/>
        <v>5000</v>
      </c>
      <c r="P14" s="454">
        <f t="shared" si="1"/>
        <v>0.25</v>
      </c>
      <c r="Q14" s="69"/>
      <c r="R14" s="69"/>
      <c r="S14" s="401"/>
      <c r="T14" s="489"/>
      <c r="U14" s="374"/>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35" t="s">
        <v>438</v>
      </c>
      <c r="D15" s="435"/>
      <c r="E15" s="435"/>
      <c r="F15" s="74"/>
      <c r="G15" s="269">
        <v>31459</v>
      </c>
      <c r="H15" s="269">
        <v>13920.35</v>
      </c>
      <c r="I15" s="333"/>
      <c r="J15" s="333">
        <v>25000</v>
      </c>
      <c r="K15" s="333">
        <v>25000</v>
      </c>
      <c r="L15" s="333"/>
      <c r="M15" s="333">
        <v>25000</v>
      </c>
      <c r="N15" s="69"/>
      <c r="O15" s="529">
        <f t="shared" si="0"/>
        <v>0</v>
      </c>
      <c r="P15" s="454">
        <f t="shared" si="1"/>
        <v>0</v>
      </c>
      <c r="Q15" s="69"/>
      <c r="R15" s="69"/>
      <c r="S15" s="401"/>
      <c r="T15" s="489"/>
      <c r="U15" s="374"/>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35" t="s">
        <v>439</v>
      </c>
      <c r="D16" s="435"/>
      <c r="E16" s="435"/>
      <c r="F16" s="74"/>
      <c r="G16" s="269"/>
      <c r="H16" s="269"/>
      <c r="I16" s="333"/>
      <c r="J16" s="333">
        <v>20000</v>
      </c>
      <c r="K16" s="333"/>
      <c r="L16" s="333"/>
      <c r="M16" s="333">
        <v>15000</v>
      </c>
      <c r="N16" s="69"/>
      <c r="O16" s="529">
        <f t="shared" si="0"/>
        <v>-5000</v>
      </c>
      <c r="P16" s="454">
        <f t="shared" si="1"/>
        <v>-0.33333333333333331</v>
      </c>
      <c r="Q16" s="69"/>
      <c r="R16" s="69"/>
      <c r="S16" s="401"/>
      <c r="T16" s="489"/>
      <c r="U16" s="374"/>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35" t="s">
        <v>372</v>
      </c>
      <c r="D17" s="435"/>
      <c r="E17" s="435"/>
      <c r="F17" s="74"/>
      <c r="G17" s="269"/>
      <c r="H17" s="269"/>
      <c r="I17" s="333"/>
      <c r="J17" s="333">
        <v>2000</v>
      </c>
      <c r="K17" s="333"/>
      <c r="L17" s="333"/>
      <c r="M17" s="333">
        <v>1000</v>
      </c>
      <c r="N17" s="69"/>
      <c r="O17" s="529">
        <f t="shared" si="0"/>
        <v>-1000</v>
      </c>
      <c r="P17" s="454">
        <f t="shared" si="1"/>
        <v>-1</v>
      </c>
      <c r="Q17" s="69"/>
      <c r="R17" s="69"/>
      <c r="S17" s="401"/>
      <c r="T17" s="489"/>
      <c r="U17" s="374"/>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825" t="s">
        <v>376</v>
      </c>
      <c r="D18" s="825"/>
      <c r="E18" s="825"/>
      <c r="F18" s="825"/>
      <c r="G18" s="269"/>
      <c r="H18" s="269"/>
      <c r="I18" s="333"/>
      <c r="J18" s="333">
        <v>2000</v>
      </c>
      <c r="K18" s="333"/>
      <c r="L18" s="333"/>
      <c r="M18" s="333">
        <v>3000</v>
      </c>
      <c r="N18" s="69"/>
      <c r="O18" s="529">
        <f t="shared" si="0"/>
        <v>1000</v>
      </c>
      <c r="P18" s="454">
        <f t="shared" si="1"/>
        <v>0.33333333333333331</v>
      </c>
      <c r="Q18" s="69"/>
      <c r="R18" s="69"/>
      <c r="S18" s="401"/>
      <c r="T18" s="489"/>
      <c r="U18" s="374"/>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35" t="s">
        <v>441</v>
      </c>
      <c r="D19" s="435"/>
      <c r="E19" s="435"/>
      <c r="F19" s="74"/>
      <c r="G19" s="269">
        <v>1125</v>
      </c>
      <c r="H19" s="269">
        <v>6050</v>
      </c>
      <c r="I19" s="333"/>
      <c r="J19" s="333">
        <v>2000</v>
      </c>
      <c r="K19" s="333">
        <f>'December''19 State of Activities'!H25</f>
        <v>0</v>
      </c>
      <c r="L19" s="333"/>
      <c r="M19" s="333">
        <f>'December''19 State of Activities'!J25</f>
        <v>0</v>
      </c>
      <c r="N19" s="69"/>
      <c r="O19" s="529">
        <f t="shared" si="0"/>
        <v>-2000</v>
      </c>
      <c r="P19" s="454"/>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825" t="s">
        <v>373</v>
      </c>
      <c r="D20" s="825"/>
      <c r="E20" s="825"/>
      <c r="F20" s="825"/>
      <c r="G20" s="269"/>
      <c r="H20" s="269"/>
      <c r="I20" s="333"/>
      <c r="J20" s="333"/>
      <c r="K20" s="333">
        <v>659.25</v>
      </c>
      <c r="L20" s="333"/>
      <c r="M20" s="333"/>
      <c r="N20" s="69"/>
      <c r="O20" s="529">
        <f>J20-M20</f>
        <v>0</v>
      </c>
      <c r="P20" s="454"/>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1" thickBot="1" x14ac:dyDescent="0.25">
      <c r="A21" s="74"/>
      <c r="B21" s="74"/>
      <c r="C21" s="435" t="s">
        <v>228</v>
      </c>
      <c r="D21" s="435"/>
      <c r="E21" s="435"/>
      <c r="F21" s="74"/>
      <c r="G21" s="270">
        <v>31250</v>
      </c>
      <c r="H21" s="270">
        <v>15624.98</v>
      </c>
      <c r="I21" s="333"/>
      <c r="J21" s="270">
        <v>9315</v>
      </c>
      <c r="K21" s="270">
        <f>'December''19 State of Activities'!H26*0.2</f>
        <v>9315</v>
      </c>
      <c r="L21" s="333"/>
      <c r="M21" s="270">
        <v>9315</v>
      </c>
      <c r="N21" s="69"/>
      <c r="O21" s="530">
        <f>J21-M21</f>
        <v>0</v>
      </c>
      <c r="P21" s="429">
        <v>0</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35"/>
      <c r="D22" s="74" t="s">
        <v>111</v>
      </c>
      <c r="E22" s="435"/>
      <c r="F22" s="74"/>
      <c r="G22" s="237">
        <v>1161224.25</v>
      </c>
      <c r="H22" s="237">
        <v>516293.30999999994</v>
      </c>
      <c r="I22" s="235"/>
      <c r="J22" s="269">
        <f>SUM(J9:J21)</f>
        <v>297814.95999999996</v>
      </c>
      <c r="K22" s="269">
        <f>SUM(K9:K21)</f>
        <v>273063.92859999998</v>
      </c>
      <c r="L22" s="333"/>
      <c r="M22" s="269">
        <f>SUM(M9:M21)</f>
        <v>305815</v>
      </c>
      <c r="N22" s="69"/>
      <c r="O22" s="280">
        <f>SUM(O9:O21)</f>
        <v>8000.0400000000009</v>
      </c>
      <c r="P22" s="454">
        <f>O22/M22</f>
        <v>2.615973709595671E-2</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229</v>
      </c>
      <c r="D23" s="435"/>
      <c r="E23" s="435"/>
      <c r="F23" s="74"/>
      <c r="G23" s="245">
        <v>150176</v>
      </c>
      <c r="H23" s="245">
        <v>47700.27</v>
      </c>
      <c r="I23" s="235"/>
      <c r="J23" s="333">
        <v>19000</v>
      </c>
      <c r="K23" s="333">
        <v>19000</v>
      </c>
      <c r="L23" s="333"/>
      <c r="M23" s="333">
        <v>19000</v>
      </c>
      <c r="N23" s="69"/>
      <c r="O23" s="529">
        <f>J23-M23</f>
        <v>0</v>
      </c>
      <c r="P23" s="428">
        <f>O23/M23</f>
        <v>0</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230</v>
      </c>
      <c r="D24" s="435"/>
      <c r="E24" s="435"/>
      <c r="F24" s="74"/>
      <c r="G24" s="235"/>
      <c r="H24" s="235"/>
      <c r="I24" s="235"/>
      <c r="J24" s="270">
        <v>40000</v>
      </c>
      <c r="K24" s="270">
        <v>37641.19</v>
      </c>
      <c r="L24" s="333"/>
      <c r="M24" s="270">
        <v>38000</v>
      </c>
      <c r="N24" s="69"/>
      <c r="O24" s="391">
        <f>M24-J24</f>
        <v>-2000</v>
      </c>
      <c r="P24" s="482">
        <f>O24/M24</f>
        <v>-5.2631578947368418E-2</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35"/>
      <c r="D25" s="74" t="s">
        <v>113</v>
      </c>
      <c r="E25" s="435"/>
      <c r="F25" s="74"/>
      <c r="G25" s="237">
        <v>1311400.25</v>
      </c>
      <c r="H25" s="237">
        <v>563993.57999999996</v>
      </c>
      <c r="I25" s="235"/>
      <c r="J25" s="269">
        <f>SUM(J22:J24)</f>
        <v>356814.95999999996</v>
      </c>
      <c r="K25" s="269">
        <f>SUM(K22:K24)</f>
        <v>329705.11859999999</v>
      </c>
      <c r="L25" s="333"/>
      <c r="M25" s="269">
        <f>SUM(M22:M24)</f>
        <v>362815</v>
      </c>
      <c r="N25" s="69"/>
      <c r="O25" s="280">
        <f>M25-J25</f>
        <v>6000.0400000000373</v>
      </c>
      <c r="P25" s="454">
        <f>O25/M25</f>
        <v>1.6537463996802882E-2</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35"/>
      <c r="D26" s="74"/>
      <c r="E26" s="435"/>
      <c r="F26" s="74"/>
      <c r="G26" s="237"/>
      <c r="H26" s="237"/>
      <c r="I26" s="235"/>
      <c r="J26" s="333"/>
      <c r="K26" s="333"/>
      <c r="L26" s="333"/>
      <c r="M26" s="333"/>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88" t="s">
        <v>117</v>
      </c>
      <c r="C27" s="88"/>
      <c r="D27" s="88"/>
      <c r="E27" s="88"/>
      <c r="F27" s="88"/>
      <c r="G27" s="245"/>
      <c r="H27" s="69"/>
      <c r="I27" s="69"/>
      <c r="J27" s="333"/>
      <c r="K27" s="381"/>
      <c r="L27" s="381"/>
      <c r="M27" s="381"/>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69" customFormat="1" ht="20.25" x14ac:dyDescent="0.2">
      <c r="A28" s="68"/>
      <c r="B28" s="68"/>
      <c r="C28" s="80" t="s">
        <v>231</v>
      </c>
      <c r="D28" s="80"/>
      <c r="E28" s="80"/>
      <c r="F28" s="80"/>
      <c r="G28" s="235">
        <v>733747.79999999993</v>
      </c>
      <c r="H28" s="280">
        <v>361976</v>
      </c>
      <c r="I28" s="280"/>
      <c r="J28" s="333"/>
      <c r="K28" s="413"/>
      <c r="L28" s="413"/>
      <c r="M28" s="413"/>
    </row>
    <row r="29" spans="1:61" s="69" customFormat="1" ht="20.25" x14ac:dyDescent="0.2">
      <c r="A29" s="68"/>
      <c r="B29" s="68"/>
      <c r="C29" s="80"/>
      <c r="D29" s="823" t="s">
        <v>232</v>
      </c>
      <c r="E29" s="823"/>
      <c r="F29" s="823"/>
      <c r="G29" s="235"/>
      <c r="H29" s="280"/>
      <c r="I29" s="280"/>
      <c r="J29" s="763">
        <f>110984.34+54648</f>
        <v>165632.34</v>
      </c>
      <c r="K29" s="763">
        <v>146508.01999999999</v>
      </c>
      <c r="L29" s="763"/>
      <c r="M29" s="763">
        <v>170000</v>
      </c>
      <c r="O29" s="529">
        <f t="shared" ref="O29:O47" si="2">M29-J29</f>
        <v>4367.6600000000035</v>
      </c>
      <c r="P29" s="454">
        <f>O29/M29</f>
        <v>2.5692117647058844E-2</v>
      </c>
    </row>
    <row r="30" spans="1:61" s="69" customFormat="1" ht="20.25" x14ac:dyDescent="0.2">
      <c r="A30" s="68"/>
      <c r="B30" s="68"/>
      <c r="C30" s="80"/>
      <c r="D30" s="823" t="s">
        <v>233</v>
      </c>
      <c r="E30" s="823"/>
      <c r="F30" s="823"/>
      <c r="G30" s="235"/>
      <c r="H30" s="280"/>
      <c r="I30" s="280"/>
      <c r="J30" s="763">
        <v>63684</v>
      </c>
      <c r="K30" s="763">
        <f>35778.69+23251.49+605.09+292.95</f>
        <v>59928.22</v>
      </c>
      <c r="L30" s="763"/>
      <c r="M30" s="763">
        <f>(22.5*(64*26+100))+(19.06*(50*26+100))</f>
        <v>66374</v>
      </c>
      <c r="O30" s="529">
        <f t="shared" si="2"/>
        <v>2690</v>
      </c>
      <c r="P30" s="454">
        <f>O30/M30</f>
        <v>4.0527917558079968E-2</v>
      </c>
      <c r="R30" s="267"/>
    </row>
    <row r="31" spans="1:61" s="69" customFormat="1" ht="20.25" x14ac:dyDescent="0.2">
      <c r="A31" s="68"/>
      <c r="B31" s="68"/>
      <c r="C31" s="80"/>
      <c r="D31" s="823" t="s">
        <v>119</v>
      </c>
      <c r="E31" s="823"/>
      <c r="F31" s="823"/>
      <c r="G31" s="235"/>
      <c r="H31" s="280"/>
      <c r="I31" s="280"/>
      <c r="J31" s="763">
        <f>(J29+J30)*0.185</f>
        <v>42423.522899999996</v>
      </c>
      <c r="K31" s="763">
        <f>(K29+K30)*0.192</f>
        <v>39635.75808</v>
      </c>
      <c r="L31" s="763"/>
      <c r="M31" s="763">
        <f>(M29+M30)*0.185</f>
        <v>43729.19</v>
      </c>
      <c r="O31" s="529">
        <f t="shared" si="2"/>
        <v>1305.667100000006</v>
      </c>
      <c r="P31" s="454">
        <f>O31/M31</f>
        <v>2.9858021609821858E-2</v>
      </c>
    </row>
    <row r="32" spans="1:61" s="69" customFormat="1" ht="20.25" x14ac:dyDescent="0.2">
      <c r="A32" s="68"/>
      <c r="B32" s="68"/>
      <c r="C32" s="80" t="s">
        <v>296</v>
      </c>
      <c r="D32" s="80"/>
      <c r="E32" s="80"/>
      <c r="F32" s="80"/>
      <c r="G32" s="235">
        <v>44745.18</v>
      </c>
      <c r="H32" s="235">
        <v>20974.21</v>
      </c>
      <c r="I32" s="235"/>
      <c r="J32" s="763"/>
      <c r="K32" s="764"/>
      <c r="L32" s="763"/>
      <c r="M32" s="763"/>
      <c r="O32" s="529">
        <f t="shared" si="2"/>
        <v>0</v>
      </c>
      <c r="P32" s="454"/>
    </row>
    <row r="33" spans="1:16" s="69" customFormat="1" ht="20.25" x14ac:dyDescent="0.2">
      <c r="A33" s="68"/>
      <c r="B33" s="68"/>
      <c r="C33" s="80"/>
      <c r="D33" s="823" t="s">
        <v>234</v>
      </c>
      <c r="E33" s="823"/>
      <c r="F33" s="823"/>
      <c r="G33" s="235"/>
      <c r="H33" s="235"/>
      <c r="I33" s="235"/>
      <c r="J33" s="763">
        <f>17368.36/8*12</f>
        <v>26052.54</v>
      </c>
      <c r="K33" s="763">
        <v>27183.82</v>
      </c>
      <c r="L33" s="763"/>
      <c r="M33" s="763">
        <v>27500</v>
      </c>
      <c r="O33" s="529">
        <f t="shared" si="2"/>
        <v>1447.4599999999991</v>
      </c>
      <c r="P33" s="454">
        <f t="shared" ref="P33:P40" si="3">O33/M33</f>
        <v>5.2634909090909059E-2</v>
      </c>
    </row>
    <row r="34" spans="1:16" s="69" customFormat="1" ht="20.25" x14ac:dyDescent="0.2">
      <c r="A34" s="68"/>
      <c r="B34" s="68"/>
      <c r="C34" s="80"/>
      <c r="D34" s="823" t="s">
        <v>235</v>
      </c>
      <c r="E34" s="823"/>
      <c r="F34" s="823"/>
      <c r="G34" s="235"/>
      <c r="H34" s="235"/>
      <c r="I34" s="235"/>
      <c r="J34" s="763">
        <f>12089.81/8*12+800-400</f>
        <v>18534.715</v>
      </c>
      <c r="K34" s="763">
        <v>15510.83</v>
      </c>
      <c r="L34" s="763"/>
      <c r="M34" s="763">
        <v>19374</v>
      </c>
      <c r="O34" s="529">
        <f t="shared" si="2"/>
        <v>839.28499999999985</v>
      </c>
      <c r="P34" s="454">
        <f t="shared" si="3"/>
        <v>4.3320171363683282E-2</v>
      </c>
    </row>
    <row r="35" spans="1:16" s="69" customFormat="1" ht="20.25" x14ac:dyDescent="0.2">
      <c r="A35" s="68"/>
      <c r="B35" s="68"/>
      <c r="C35" s="80"/>
      <c r="D35" s="823" t="s">
        <v>324</v>
      </c>
      <c r="E35" s="823"/>
      <c r="F35" s="823"/>
      <c r="G35" s="235"/>
      <c r="H35" s="235"/>
      <c r="I35" s="235"/>
      <c r="J35" s="763">
        <f>10143.6/8*12</f>
        <v>15215.400000000001</v>
      </c>
      <c r="K35" s="763">
        <v>12450.36</v>
      </c>
      <c r="L35" s="763"/>
      <c r="M35" s="763">
        <v>15000</v>
      </c>
      <c r="O35" s="529">
        <f t="shared" si="2"/>
        <v>-215.40000000000146</v>
      </c>
      <c r="P35" s="454">
        <f t="shared" si="3"/>
        <v>-1.4360000000000097E-2</v>
      </c>
    </row>
    <row r="36" spans="1:16" s="69" customFormat="1" ht="20.25" x14ac:dyDescent="0.2">
      <c r="A36" s="68"/>
      <c r="B36" s="68"/>
      <c r="C36" s="80"/>
      <c r="D36" s="823" t="s">
        <v>236</v>
      </c>
      <c r="E36" s="823"/>
      <c r="F36" s="823"/>
      <c r="G36" s="235"/>
      <c r="H36" s="235"/>
      <c r="I36" s="235"/>
      <c r="J36" s="763">
        <v>513.5</v>
      </c>
      <c r="K36" s="763">
        <v>377</v>
      </c>
      <c r="L36" s="763"/>
      <c r="M36" s="763">
        <v>250</v>
      </c>
      <c r="O36" s="529">
        <f t="shared" si="2"/>
        <v>-263.5</v>
      </c>
      <c r="P36" s="454">
        <f t="shared" si="3"/>
        <v>-1.054</v>
      </c>
    </row>
    <row r="37" spans="1:16" s="69" customFormat="1" ht="20.25" x14ac:dyDescent="0.2">
      <c r="A37" s="68"/>
      <c r="B37" s="68"/>
      <c r="C37" s="80" t="s">
        <v>237</v>
      </c>
      <c r="D37" s="80"/>
      <c r="E37" s="80"/>
      <c r="F37" s="80"/>
      <c r="G37" s="235">
        <v>27200</v>
      </c>
      <c r="H37" s="235">
        <v>11327</v>
      </c>
      <c r="I37" s="235"/>
      <c r="J37" s="763">
        <f>22772+1411</f>
        <v>24183</v>
      </c>
      <c r="K37" s="763">
        <v>25080</v>
      </c>
      <c r="L37" s="763"/>
      <c r="M37" s="763">
        <f>20430+6774</f>
        <v>27204</v>
      </c>
      <c r="O37" s="529">
        <f t="shared" si="2"/>
        <v>3021</v>
      </c>
      <c r="P37" s="454">
        <f t="shared" si="3"/>
        <v>0.11104984561093957</v>
      </c>
    </row>
    <row r="38" spans="1:16" s="69" customFormat="1" ht="20.25" x14ac:dyDescent="0.2">
      <c r="A38" s="68"/>
      <c r="B38" s="68"/>
      <c r="C38" s="80" t="s">
        <v>110</v>
      </c>
      <c r="D38" s="80"/>
      <c r="E38" s="80"/>
      <c r="F38" s="80"/>
      <c r="G38" s="235">
        <v>150176</v>
      </c>
      <c r="H38" s="280">
        <v>47700.27</v>
      </c>
      <c r="I38" s="280"/>
      <c r="J38" s="763">
        <f>J21</f>
        <v>9315</v>
      </c>
      <c r="K38" s="763">
        <f>K21</f>
        <v>9315</v>
      </c>
      <c r="L38" s="763"/>
      <c r="M38" s="763">
        <f>M21</f>
        <v>9315</v>
      </c>
      <c r="O38" s="529">
        <f t="shared" si="2"/>
        <v>0</v>
      </c>
      <c r="P38" s="454">
        <f t="shared" si="3"/>
        <v>0</v>
      </c>
    </row>
    <row r="39" spans="1:16" s="69" customFormat="1" ht="20.25" x14ac:dyDescent="0.2">
      <c r="A39" s="68"/>
      <c r="B39" s="68"/>
      <c r="C39" s="80" t="s">
        <v>337</v>
      </c>
      <c r="D39" s="80"/>
      <c r="E39" s="80"/>
      <c r="F39" s="80"/>
      <c r="G39" s="235"/>
      <c r="H39" s="280"/>
      <c r="I39" s="280"/>
      <c r="J39" s="763">
        <f>2845+(332.08+24.92)*4</f>
        <v>4273</v>
      </c>
      <c r="K39" s="763">
        <v>4075</v>
      </c>
      <c r="L39" s="763"/>
      <c r="M39" s="763">
        <f>360*12</f>
        <v>4320</v>
      </c>
      <c r="O39" s="529">
        <f t="shared" si="2"/>
        <v>47</v>
      </c>
      <c r="P39" s="454">
        <f t="shared" si="3"/>
        <v>1.087962962962963E-2</v>
      </c>
    </row>
    <row r="40" spans="1:16" s="69" customFormat="1" ht="20.25" x14ac:dyDescent="0.2">
      <c r="A40" s="68"/>
      <c r="B40" s="68"/>
      <c r="C40" s="80" t="s">
        <v>238</v>
      </c>
      <c r="D40" s="80"/>
      <c r="E40" s="80"/>
      <c r="F40" s="80"/>
      <c r="G40" s="235"/>
      <c r="H40" s="280"/>
      <c r="I40" s="280"/>
      <c r="J40" s="763">
        <f>393+75</f>
        <v>468</v>
      </c>
      <c r="K40" s="763">
        <v>1496.32</v>
      </c>
      <c r="L40" s="763"/>
      <c r="M40" s="763">
        <v>500</v>
      </c>
      <c r="O40" s="529">
        <f t="shared" si="2"/>
        <v>32</v>
      </c>
      <c r="P40" s="454">
        <f t="shared" si="3"/>
        <v>6.4000000000000001E-2</v>
      </c>
    </row>
    <row r="41" spans="1:16" s="69" customFormat="1" ht="20.25" x14ac:dyDescent="0.2">
      <c r="A41" s="68"/>
      <c r="B41" s="68"/>
      <c r="C41" s="80" t="s">
        <v>442</v>
      </c>
      <c r="D41" s="80"/>
      <c r="E41" s="80"/>
      <c r="F41" s="80"/>
      <c r="G41" s="235">
        <v>10993.12</v>
      </c>
      <c r="H41" s="280">
        <v>4904.57</v>
      </c>
      <c r="I41" s="280"/>
      <c r="J41" s="763">
        <f>2414+307*4</f>
        <v>3642</v>
      </c>
      <c r="K41" s="763">
        <v>3429.9</v>
      </c>
      <c r="L41" s="763"/>
      <c r="M41" s="763">
        <f>307*12</f>
        <v>3684</v>
      </c>
      <c r="O41" s="529">
        <f t="shared" si="2"/>
        <v>42</v>
      </c>
      <c r="P41" s="454">
        <f>O41/M41</f>
        <v>1.1400651465798045E-2</v>
      </c>
    </row>
    <row r="42" spans="1:16" s="69" customFormat="1" ht="20.25" x14ac:dyDescent="0.2">
      <c r="A42" s="68"/>
      <c r="B42" s="68"/>
      <c r="C42" s="80" t="s">
        <v>239</v>
      </c>
      <c r="D42" s="80"/>
      <c r="E42" s="80"/>
      <c r="F42" s="80"/>
      <c r="G42" s="235">
        <v>10250.949999999999</v>
      </c>
      <c r="H42" s="280">
        <v>3982.99</v>
      </c>
      <c r="I42" s="280"/>
      <c r="J42" s="763">
        <v>600</v>
      </c>
      <c r="K42" s="763">
        <f>56.6+402.81</f>
        <v>459.41</v>
      </c>
      <c r="L42" s="763"/>
      <c r="M42" s="763">
        <v>600</v>
      </c>
      <c r="O42" s="529">
        <f t="shared" si="2"/>
        <v>0</v>
      </c>
      <c r="P42" s="454">
        <f>O42/M42</f>
        <v>0</v>
      </c>
    </row>
    <row r="43" spans="1:16" s="69" customFormat="1" ht="20.25" x14ac:dyDescent="0.2">
      <c r="A43" s="68"/>
      <c r="B43" s="68"/>
      <c r="C43" s="80" t="s">
        <v>128</v>
      </c>
      <c r="D43" s="80"/>
      <c r="E43" s="80"/>
      <c r="F43" s="80"/>
      <c r="G43" s="235">
        <v>4412.53</v>
      </c>
      <c r="H43" s="281">
        <v>5667</v>
      </c>
      <c r="I43" s="281"/>
      <c r="J43" s="763">
        <f>122.96+1237.38+391.65</f>
        <v>1751.9900000000002</v>
      </c>
      <c r="K43" s="763">
        <v>1040.8800000000001</v>
      </c>
      <c r="L43" s="765"/>
      <c r="M43" s="765">
        <f>394*4</f>
        <v>1576</v>
      </c>
      <c r="O43" s="529">
        <f t="shared" si="2"/>
        <v>-175.99000000000024</v>
      </c>
      <c r="P43" s="454">
        <f>O43/M43</f>
        <v>-0.11166878172588847</v>
      </c>
    </row>
    <row r="44" spans="1:16" s="69" customFormat="1" ht="20.25" x14ac:dyDescent="0.2">
      <c r="A44" s="68"/>
      <c r="B44" s="68"/>
      <c r="C44" s="80" t="s">
        <v>126</v>
      </c>
      <c r="D44" s="80"/>
      <c r="E44" s="80"/>
      <c r="F44" s="80"/>
      <c r="G44" s="235">
        <v>7901</v>
      </c>
      <c r="H44" s="280">
        <v>4149.6000000000004</v>
      </c>
      <c r="I44" s="280"/>
      <c r="J44" s="763">
        <f>367.55/8*12</f>
        <v>551.32500000000005</v>
      </c>
      <c r="K44" s="763">
        <v>436.35</v>
      </c>
      <c r="L44" s="763"/>
      <c r="M44" s="763">
        <v>600</v>
      </c>
      <c r="O44" s="529">
        <f t="shared" si="2"/>
        <v>48.674999999999955</v>
      </c>
      <c r="P44" s="454">
        <f>O44/M44</f>
        <v>8.1124999999999919E-2</v>
      </c>
    </row>
    <row r="45" spans="1:16" s="69" customFormat="1" ht="20.25" hidden="1" x14ac:dyDescent="0.2">
      <c r="A45" s="68"/>
      <c r="B45" s="68"/>
      <c r="C45" s="80" t="s">
        <v>240</v>
      </c>
      <c r="D45" s="80"/>
      <c r="E45" s="80"/>
      <c r="F45" s="80"/>
      <c r="G45" s="235"/>
      <c r="H45" s="280"/>
      <c r="I45" s="280"/>
      <c r="J45" s="763"/>
      <c r="K45" s="763"/>
      <c r="L45" s="763"/>
      <c r="M45" s="763">
        <v>0</v>
      </c>
      <c r="O45" s="529">
        <f t="shared" si="2"/>
        <v>0</v>
      </c>
      <c r="P45" s="454"/>
    </row>
    <row r="46" spans="1:16" s="77" customFormat="1" ht="20.25" x14ac:dyDescent="0.2">
      <c r="A46" s="80"/>
      <c r="B46" s="80"/>
      <c r="C46" s="80" t="s">
        <v>122</v>
      </c>
      <c r="D46" s="80"/>
      <c r="E46" s="80"/>
      <c r="F46" s="80"/>
      <c r="G46" s="235">
        <v>5428.37</v>
      </c>
      <c r="H46" s="280">
        <v>2024.52</v>
      </c>
      <c r="I46" s="280"/>
      <c r="J46" s="763">
        <f>208.6/8*12</f>
        <v>312.89999999999998</v>
      </c>
      <c r="K46" s="763">
        <v>205.44</v>
      </c>
      <c r="L46" s="763"/>
      <c r="M46" s="763">
        <v>320</v>
      </c>
      <c r="O46" s="529">
        <f t="shared" si="2"/>
        <v>7.1000000000000227</v>
      </c>
      <c r="P46" s="454">
        <f>O46/M46</f>
        <v>2.2187500000000072E-2</v>
      </c>
    </row>
    <row r="47" spans="1:16" s="77" customFormat="1" ht="20.25" x14ac:dyDescent="0.2">
      <c r="A47" s="80"/>
      <c r="B47" s="80"/>
      <c r="C47" s="80" t="s">
        <v>241</v>
      </c>
      <c r="D47" s="80"/>
      <c r="E47" s="80"/>
      <c r="F47" s="80"/>
      <c r="G47" s="235">
        <v>83462.91</v>
      </c>
      <c r="H47" s="235">
        <v>18995.71</v>
      </c>
      <c r="I47" s="235"/>
      <c r="J47" s="766">
        <v>200</v>
      </c>
      <c r="K47" s="766">
        <f>201.52+30+216.21+94.56</f>
        <v>542.29</v>
      </c>
      <c r="L47" s="763"/>
      <c r="M47" s="763">
        <v>225</v>
      </c>
      <c r="O47" s="529">
        <f t="shared" si="2"/>
        <v>25</v>
      </c>
      <c r="P47" s="531">
        <f>O47/M47</f>
        <v>0.1111111111111111</v>
      </c>
    </row>
    <row r="48" spans="1:16" s="69" customFormat="1" ht="21" thickBot="1" x14ac:dyDescent="0.25">
      <c r="A48" s="68"/>
      <c r="B48" s="68"/>
      <c r="C48" s="68"/>
      <c r="D48" s="74" t="s">
        <v>134</v>
      </c>
      <c r="E48" s="68"/>
      <c r="F48" s="68"/>
      <c r="G48" s="245">
        <v>1078317.8599999999</v>
      </c>
      <c r="H48" s="245">
        <v>481701.87000000005</v>
      </c>
      <c r="I48" s="235"/>
      <c r="J48" s="484">
        <f>SUM(J29:J47)</f>
        <v>377353.23290000006</v>
      </c>
      <c r="K48" s="484">
        <f>SUM(K29:K47)</f>
        <v>347674.59807999997</v>
      </c>
      <c r="L48" s="333"/>
      <c r="M48" s="484">
        <f>SUM(M29:M47)</f>
        <v>390571.19</v>
      </c>
      <c r="O48" s="484">
        <f>J48-M48</f>
        <v>-13217.957099999941</v>
      </c>
      <c r="P48" s="482">
        <f>O48/M48</f>
        <v>-3.384263212040791E-2</v>
      </c>
    </row>
    <row r="49" spans="1:19" s="69" customFormat="1" ht="21" thickBot="1" x14ac:dyDescent="0.25">
      <c r="A49" s="68"/>
      <c r="B49" s="68"/>
      <c r="C49" s="68"/>
      <c r="D49" s="68" t="s">
        <v>135</v>
      </c>
      <c r="E49" s="68"/>
      <c r="F49" s="68"/>
      <c r="G49" s="245">
        <v>233082.39000000013</v>
      </c>
      <c r="H49" s="245">
        <v>82291.709999999905</v>
      </c>
      <c r="I49" s="235"/>
      <c r="J49" s="485">
        <f>J25-J48</f>
        <v>-20538.272900000098</v>
      </c>
      <c r="K49" s="485">
        <f>K25-K48</f>
        <v>-17969.47947999998</v>
      </c>
      <c r="L49" s="333"/>
      <c r="M49" s="485">
        <f>M25-M48</f>
        <v>-27756.190000000002</v>
      </c>
      <c r="O49" s="391">
        <f>M49-J49</f>
        <v>-7217.9170999999042</v>
      </c>
      <c r="P49" s="482">
        <f>O49/M49</f>
        <v>0.26004711381496898</v>
      </c>
    </row>
    <row r="50" spans="1:19" s="69" customFormat="1" ht="20.25" x14ac:dyDescent="0.2">
      <c r="A50" s="68"/>
      <c r="B50" s="68"/>
      <c r="C50" s="68"/>
      <c r="D50" s="68"/>
      <c r="E50" s="68"/>
      <c r="F50" s="68"/>
      <c r="G50" s="235"/>
      <c r="H50" s="235"/>
      <c r="I50" s="235"/>
      <c r="J50" s="333"/>
      <c r="K50" s="333"/>
      <c r="L50" s="333"/>
      <c r="M50" s="333"/>
    </row>
    <row r="51" spans="1:19" s="66" customFormat="1" ht="26.25" x14ac:dyDescent="0.2">
      <c r="A51" s="273"/>
      <c r="B51" s="273"/>
      <c r="C51" s="80" t="s">
        <v>280</v>
      </c>
      <c r="E51" s="80"/>
      <c r="F51" s="80"/>
      <c r="G51" s="275"/>
      <c r="H51" s="235"/>
      <c r="I51" s="235"/>
      <c r="J51" s="333">
        <f>-23415.22-24000</f>
        <v>-47415.22</v>
      </c>
      <c r="K51" s="333">
        <v>-44886</v>
      </c>
      <c r="L51" s="333"/>
      <c r="M51" s="333"/>
      <c r="O51" s="280">
        <f>M51-J51</f>
        <v>47415.22</v>
      </c>
      <c r="P51" s="428"/>
      <c r="S51" s="762"/>
    </row>
    <row r="52" spans="1:19" s="69" customFormat="1" ht="20.25" x14ac:dyDescent="0.2">
      <c r="A52" s="68"/>
      <c r="B52" s="68"/>
      <c r="C52" s="80" t="s">
        <v>242</v>
      </c>
      <c r="E52" s="68"/>
      <c r="G52" s="235"/>
      <c r="H52" s="235"/>
      <c r="I52" s="235"/>
      <c r="J52" s="333">
        <f>J37</f>
        <v>24183</v>
      </c>
      <c r="K52" s="333">
        <f>K37</f>
        <v>25080</v>
      </c>
      <c r="L52" s="333"/>
      <c r="M52" s="333">
        <f>M37</f>
        <v>27204</v>
      </c>
      <c r="O52" s="280">
        <f>M52-J52</f>
        <v>3021</v>
      </c>
      <c r="P52" s="428">
        <v>3.5414486921529216E-2</v>
      </c>
    </row>
    <row r="53" spans="1:19" s="69" customFormat="1" ht="24" thickBot="1" x14ac:dyDescent="0.25">
      <c r="A53" s="68"/>
      <c r="B53" s="410"/>
      <c r="C53" s="68"/>
      <c r="D53" s="824" t="s">
        <v>243</v>
      </c>
      <c r="E53" s="824"/>
      <c r="F53" s="824"/>
      <c r="G53" s="235"/>
      <c r="H53" s="235"/>
      <c r="I53" s="235"/>
      <c r="J53" s="486">
        <f>J49+J51+J52</f>
        <v>-43770.492900000099</v>
      </c>
      <c r="K53" s="486">
        <f>K49+K51+K52</f>
        <v>-37775.47947999998</v>
      </c>
      <c r="L53" s="337"/>
      <c r="M53" s="486">
        <f>M49+M51+M52</f>
        <v>-552.19000000000233</v>
      </c>
      <c r="N53" s="401"/>
      <c r="O53" s="483">
        <f>M53-J53</f>
        <v>43218.302900000097</v>
      </c>
      <c r="P53" s="521">
        <v>2.1062768618503362E-2</v>
      </c>
    </row>
    <row r="54" spans="1:19" s="69" customFormat="1" ht="42" customHeight="1" thickTop="1" x14ac:dyDescent="0.2">
      <c r="A54" s="68"/>
      <c r="B54" s="68"/>
      <c r="C54" s="68"/>
      <c r="D54" s="68"/>
      <c r="E54" s="68"/>
      <c r="F54" s="68"/>
      <c r="G54" s="235"/>
      <c r="H54" s="235"/>
      <c r="I54" s="235"/>
      <c r="J54" s="333"/>
      <c r="K54" s="333"/>
      <c r="L54" s="333"/>
      <c r="M54" s="333"/>
    </row>
    <row r="55" spans="1:19" s="77" customFormat="1" ht="20.25" x14ac:dyDescent="0.2">
      <c r="A55" s="80"/>
      <c r="B55" s="80"/>
      <c r="C55" s="80"/>
      <c r="D55" s="80"/>
      <c r="E55" s="80"/>
      <c r="F55" s="80"/>
      <c r="G55" s="235"/>
      <c r="H55" s="235"/>
      <c r="I55" s="235"/>
      <c r="J55" s="235"/>
      <c r="K55" s="235"/>
      <c r="L55" s="235"/>
      <c r="M55" s="235"/>
    </row>
    <row r="56" spans="1:19" s="77" customFormat="1" ht="20.25" x14ac:dyDescent="0.2">
      <c r="A56" s="80"/>
      <c r="B56" s="80"/>
      <c r="C56" s="80"/>
      <c r="D56" s="80"/>
      <c r="E56" s="80"/>
      <c r="F56" s="80"/>
      <c r="G56" s="235"/>
      <c r="H56" s="235"/>
      <c r="I56" s="235"/>
      <c r="J56" s="235"/>
      <c r="K56" s="235"/>
      <c r="L56" s="235"/>
      <c r="M56" s="235"/>
    </row>
    <row r="57" spans="1:19" s="77" customFormat="1" ht="20.25" x14ac:dyDescent="0.2">
      <c r="A57" s="80"/>
      <c r="B57" s="80"/>
      <c r="C57" s="68"/>
      <c r="D57" s="80"/>
      <c r="F57" s="80"/>
      <c r="G57" s="235"/>
      <c r="H57" s="235"/>
      <c r="I57" s="235"/>
      <c r="J57" s="235"/>
      <c r="K57" s="235"/>
      <c r="L57" s="235"/>
      <c r="M57" s="235"/>
    </row>
    <row r="58" spans="1:19" s="77" customFormat="1" ht="20.25" x14ac:dyDescent="0.2">
      <c r="A58" s="80"/>
      <c r="B58" s="80"/>
      <c r="C58" s="80"/>
      <c r="D58" s="80"/>
      <c r="E58" s="80"/>
      <c r="F58" s="80"/>
      <c r="G58" s="235"/>
      <c r="H58" s="235"/>
      <c r="I58" s="235"/>
      <c r="J58" s="235"/>
      <c r="K58" s="235"/>
      <c r="L58" s="235"/>
      <c r="M58" s="235"/>
    </row>
    <row r="59" spans="1:19" s="69" customFormat="1" ht="20.25" x14ac:dyDescent="0.2">
      <c r="A59" s="68"/>
      <c r="B59" s="68"/>
      <c r="C59" s="68"/>
      <c r="D59" s="68"/>
      <c r="E59" s="68"/>
      <c r="F59" s="68"/>
      <c r="G59" s="240"/>
      <c r="H59" s="240"/>
      <c r="I59" s="240"/>
      <c r="J59" s="240"/>
      <c r="K59" s="240"/>
      <c r="L59" s="240"/>
      <c r="M59" s="240"/>
    </row>
    <row r="60" spans="1:19" s="69" customFormat="1" ht="20.25" x14ac:dyDescent="0.2">
      <c r="A60" s="68"/>
      <c r="B60" s="68"/>
      <c r="C60" s="68"/>
      <c r="D60" s="68"/>
      <c r="E60" s="68"/>
      <c r="F60" s="68"/>
      <c r="G60" s="240"/>
      <c r="H60" s="240"/>
      <c r="I60" s="240"/>
      <c r="J60" s="240"/>
      <c r="K60" s="240"/>
      <c r="L60" s="240"/>
      <c r="M60" s="240"/>
    </row>
    <row r="61" spans="1:19" s="69" customFormat="1" ht="23.25" x14ac:dyDescent="0.2">
      <c r="A61" s="68"/>
      <c r="B61" s="276"/>
      <c r="C61" s="68"/>
      <c r="D61" s="68"/>
      <c r="E61" s="68"/>
      <c r="F61" s="68"/>
      <c r="G61" s="235"/>
      <c r="H61" s="235"/>
      <c r="I61" s="235"/>
      <c r="J61" s="235"/>
      <c r="K61" s="235"/>
      <c r="L61" s="235"/>
      <c r="M61" s="235"/>
    </row>
    <row r="62" spans="1:19" s="77" customFormat="1" ht="20.25" x14ac:dyDescent="0.2">
      <c r="A62" s="80"/>
      <c r="B62" s="80"/>
      <c r="D62" s="80"/>
      <c r="E62" s="80"/>
      <c r="F62" s="80"/>
      <c r="G62" s="235"/>
      <c r="H62" s="235"/>
      <c r="I62" s="235"/>
      <c r="J62" s="235"/>
      <c r="K62" s="235"/>
      <c r="L62" s="235"/>
      <c r="M62" s="235"/>
    </row>
    <row r="63" spans="1:19" s="77" customFormat="1" ht="20.25" x14ac:dyDescent="0.2">
      <c r="A63" s="80"/>
      <c r="B63" s="80"/>
      <c r="D63" s="80"/>
      <c r="E63" s="80"/>
      <c r="F63" s="80"/>
      <c r="G63" s="235"/>
      <c r="H63" s="235"/>
      <c r="I63" s="235"/>
      <c r="J63" s="235"/>
      <c r="K63" s="235"/>
      <c r="L63" s="235"/>
      <c r="M63" s="235"/>
    </row>
    <row r="64" spans="1:19" s="69" customFormat="1" ht="20.25" x14ac:dyDescent="0.2">
      <c r="A64" s="68"/>
      <c r="B64" s="68"/>
      <c r="D64" s="80"/>
      <c r="E64" s="68"/>
      <c r="F64" s="68"/>
      <c r="G64" s="235"/>
      <c r="H64" s="235"/>
      <c r="I64" s="235"/>
      <c r="J64" s="235"/>
      <c r="K64" s="235"/>
      <c r="L64" s="235"/>
      <c r="M64" s="235"/>
    </row>
    <row r="65" spans="1:13" s="69" customFormat="1" ht="23.25" x14ac:dyDescent="0.2">
      <c r="A65" s="68"/>
      <c r="B65" s="276"/>
      <c r="C65" s="68"/>
      <c r="D65" s="68"/>
      <c r="E65" s="68"/>
      <c r="F65" s="68"/>
      <c r="G65" s="240"/>
      <c r="H65" s="240"/>
      <c r="I65" s="240"/>
      <c r="J65" s="240"/>
      <c r="K65" s="240"/>
      <c r="L65" s="240"/>
      <c r="M65" s="240"/>
    </row>
    <row r="66" spans="1:13" s="69" customFormat="1" ht="20.25" x14ac:dyDescent="0.2">
      <c r="A66" s="68"/>
      <c r="B66" s="68"/>
      <c r="C66" s="68"/>
      <c r="D66" s="68"/>
      <c r="E66" s="68"/>
      <c r="F66" s="68"/>
      <c r="G66" s="235"/>
      <c r="H66" s="235"/>
      <c r="I66" s="235"/>
      <c r="J66" s="235"/>
      <c r="K66" s="235"/>
      <c r="L66" s="235"/>
      <c r="M66" s="235"/>
    </row>
    <row r="67" spans="1:13" s="83" customFormat="1" ht="26.25" x14ac:dyDescent="0.2">
      <c r="A67" s="273"/>
      <c r="B67" s="273"/>
      <c r="C67" s="273"/>
      <c r="D67" s="273"/>
      <c r="E67" s="273"/>
      <c r="F67" s="273"/>
      <c r="G67" s="274"/>
      <c r="H67" s="240"/>
      <c r="I67" s="240"/>
      <c r="J67" s="240"/>
      <c r="K67" s="240"/>
      <c r="L67" s="240"/>
      <c r="M67" s="240"/>
    </row>
    <row r="68" spans="1:13" s="18" customFormat="1" ht="20.25" x14ac:dyDescent="0.3">
      <c r="A68" s="123"/>
      <c r="B68" s="123"/>
      <c r="C68" s="123"/>
      <c r="D68" s="123"/>
      <c r="E68" s="123"/>
      <c r="F68" s="123"/>
      <c r="G68" s="277"/>
      <c r="H68" s="282"/>
      <c r="I68" s="282"/>
      <c r="J68" s="282"/>
      <c r="K68" s="282"/>
      <c r="L68" s="282"/>
      <c r="M68" s="282"/>
    </row>
    <row r="69" spans="1:13" ht="20.25" x14ac:dyDescent="0.3">
      <c r="H69" s="282"/>
      <c r="I69" s="282"/>
      <c r="J69" s="282"/>
      <c r="K69" s="282"/>
      <c r="L69" s="282"/>
      <c r="M69" s="282"/>
    </row>
    <row r="70" spans="1:13" ht="20.25" x14ac:dyDescent="0.3">
      <c r="H70" s="282"/>
      <c r="I70" s="282"/>
      <c r="J70" s="282"/>
      <c r="K70" s="282"/>
      <c r="L70" s="282"/>
      <c r="M70" s="282"/>
    </row>
    <row r="71" spans="1:13" ht="20.25" x14ac:dyDescent="0.3">
      <c r="H71" s="279"/>
      <c r="I71" s="279"/>
      <c r="J71" s="279"/>
      <c r="K71" s="279"/>
      <c r="L71" s="279"/>
      <c r="M71" s="279"/>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100</v>
      </c>
      <c r="B1" s="60"/>
      <c r="C1" s="61"/>
      <c r="D1" s="61"/>
      <c r="E1" s="61"/>
      <c r="F1" s="60"/>
      <c r="G1" s="233"/>
    </row>
    <row r="2" spans="1:9" ht="26.25" x14ac:dyDescent="0.4">
      <c r="A2" s="59" t="s">
        <v>278</v>
      </c>
      <c r="B2" s="60"/>
      <c r="C2" s="61"/>
      <c r="D2" s="61"/>
      <c r="E2" s="61"/>
      <c r="F2" s="60"/>
      <c r="G2" s="233"/>
    </row>
    <row r="3" spans="1:9" ht="26.25" x14ac:dyDescent="0.4">
      <c r="A3" s="59" t="s">
        <v>342</v>
      </c>
      <c r="B3" s="60"/>
      <c r="C3" s="61"/>
      <c r="D3" s="61"/>
      <c r="E3" s="61"/>
      <c r="F3" s="60"/>
      <c r="G3" s="233"/>
    </row>
    <row r="4" spans="1:9" ht="21" thickBot="1" x14ac:dyDescent="0.25">
      <c r="A4" s="62"/>
      <c r="B4" s="62"/>
      <c r="C4" s="62"/>
      <c r="D4" s="62"/>
      <c r="E4" s="62"/>
      <c r="F4" s="62"/>
      <c r="G4" s="234"/>
    </row>
    <row r="5" spans="1:9" ht="27.75" thickTop="1" thickBot="1" x14ac:dyDescent="0.25">
      <c r="A5" s="65"/>
      <c r="B5" s="65"/>
      <c r="C5" s="65"/>
      <c r="D5" s="65"/>
      <c r="E5" s="65"/>
      <c r="F5" s="65"/>
      <c r="G5" s="648" t="s">
        <v>54</v>
      </c>
    </row>
    <row r="6" spans="1:9" ht="21" thickTop="1" x14ac:dyDescent="0.2">
      <c r="A6" s="68"/>
      <c r="B6" s="68"/>
      <c r="C6" s="68"/>
      <c r="D6" s="68"/>
      <c r="E6" s="68"/>
      <c r="F6" s="68"/>
      <c r="G6" s="235"/>
    </row>
    <row r="7" spans="1:9" ht="21" thickBot="1" x14ac:dyDescent="0.35">
      <c r="A7" s="70"/>
      <c r="B7" s="154" t="s">
        <v>106</v>
      </c>
      <c r="C7" s="154"/>
      <c r="D7" s="154"/>
      <c r="E7" s="154"/>
      <c r="F7" s="154"/>
      <c r="G7" s="287"/>
    </row>
    <row r="8" spans="1:9" ht="20.25" x14ac:dyDescent="0.2">
      <c r="A8" s="74"/>
      <c r="B8" s="74"/>
      <c r="C8" s="435" t="s">
        <v>107</v>
      </c>
      <c r="D8" s="435"/>
      <c r="E8" s="435"/>
      <c r="F8" s="74"/>
      <c r="G8" s="268">
        <v>791718</v>
      </c>
    </row>
    <row r="9" spans="1:9" ht="20.25" x14ac:dyDescent="0.2">
      <c r="A9" s="74"/>
      <c r="B9" s="74"/>
      <c r="C9" s="435" t="s">
        <v>343</v>
      </c>
      <c r="D9" s="435"/>
      <c r="E9" s="435"/>
      <c r="F9" s="74"/>
      <c r="G9" s="269">
        <v>25000</v>
      </c>
    </row>
    <row r="10" spans="1:9" ht="20.25" x14ac:dyDescent="0.2">
      <c r="A10" s="74"/>
      <c r="B10" s="406"/>
      <c r="C10" s="435" t="s">
        <v>157</v>
      </c>
      <c r="D10" s="435"/>
      <c r="E10" s="435"/>
      <c r="F10" s="74"/>
      <c r="G10" s="269">
        <v>147000</v>
      </c>
    </row>
    <row r="11" spans="1:9" ht="20.25" x14ac:dyDescent="0.2">
      <c r="A11" s="74"/>
      <c r="B11" s="406"/>
      <c r="C11" s="435" t="s">
        <v>187</v>
      </c>
      <c r="D11" s="435"/>
      <c r="E11" s="435"/>
      <c r="F11" s="74"/>
      <c r="G11" s="269">
        <v>43322</v>
      </c>
      <c r="I11" s="247"/>
    </row>
    <row r="12" spans="1:9" ht="20.25" x14ac:dyDescent="0.2">
      <c r="A12" s="74"/>
      <c r="B12" s="406"/>
      <c r="C12" s="435" t="s">
        <v>108</v>
      </c>
      <c r="D12" s="435"/>
      <c r="E12" s="435"/>
      <c r="F12" s="74"/>
      <c r="G12" s="269"/>
    </row>
    <row r="13" spans="1:9" ht="20.25" x14ac:dyDescent="0.2">
      <c r="A13" s="74"/>
      <c r="B13" s="406"/>
      <c r="C13" s="78"/>
      <c r="D13" s="435" t="s">
        <v>146</v>
      </c>
      <c r="E13" s="435"/>
      <c r="F13" s="74"/>
      <c r="G13" s="269">
        <f>43500+158022</f>
        <v>201522</v>
      </c>
    </row>
    <row r="14" spans="1:9" ht="20.25" x14ac:dyDescent="0.2">
      <c r="A14" s="74"/>
      <c r="B14" s="406"/>
      <c r="C14" s="78"/>
      <c r="D14" s="435" t="s">
        <v>166</v>
      </c>
      <c r="E14" s="435"/>
      <c r="F14" s="74"/>
      <c r="G14" s="269">
        <v>13000</v>
      </c>
    </row>
    <row r="15" spans="1:9" ht="20.25" x14ac:dyDescent="0.2">
      <c r="A15" s="74"/>
      <c r="B15" s="406"/>
      <c r="C15" s="435" t="s">
        <v>109</v>
      </c>
      <c r="D15" s="435"/>
      <c r="E15" s="435"/>
      <c r="F15" s="74"/>
      <c r="G15" s="269">
        <v>12500</v>
      </c>
    </row>
    <row r="16" spans="1:9" ht="20.25" x14ac:dyDescent="0.2">
      <c r="A16" s="74"/>
      <c r="B16" s="406"/>
      <c r="C16" s="435" t="s">
        <v>116</v>
      </c>
      <c r="D16" s="435"/>
      <c r="E16" s="435"/>
      <c r="F16" s="74"/>
      <c r="G16" s="269">
        <v>1200</v>
      </c>
    </row>
    <row r="17" spans="1:9" ht="20.25" x14ac:dyDescent="0.2">
      <c r="A17" s="74"/>
      <c r="B17" s="406"/>
      <c r="C17" s="435" t="s">
        <v>250</v>
      </c>
      <c r="D17" s="435"/>
      <c r="E17" s="435"/>
      <c r="F17" s="74"/>
      <c r="G17" s="269">
        <v>4200</v>
      </c>
    </row>
    <row r="18" spans="1:9" ht="20.25" x14ac:dyDescent="0.2">
      <c r="A18" s="74"/>
      <c r="B18" s="406"/>
      <c r="C18" s="435" t="s">
        <v>345</v>
      </c>
      <c r="D18" s="435"/>
      <c r="E18" s="435"/>
      <c r="F18" s="74"/>
      <c r="G18" s="269">
        <v>1500</v>
      </c>
    </row>
    <row r="19" spans="1:9" ht="20.25" x14ac:dyDescent="0.2">
      <c r="A19" s="74"/>
      <c r="B19" s="406"/>
      <c r="C19" s="435" t="s">
        <v>251</v>
      </c>
      <c r="D19" s="435"/>
      <c r="E19" s="435"/>
      <c r="F19" s="74"/>
      <c r="G19" s="269"/>
    </row>
    <row r="20" spans="1:9" ht="20.25" x14ac:dyDescent="0.2">
      <c r="A20" s="74"/>
      <c r="B20" s="406"/>
      <c r="C20" s="435"/>
      <c r="D20" s="435" t="s">
        <v>11</v>
      </c>
      <c r="E20" s="435"/>
      <c r="F20" s="74"/>
      <c r="G20" s="269">
        <f>73338-45000</f>
        <v>28338</v>
      </c>
    </row>
    <row r="21" spans="1:9" ht="20.25" x14ac:dyDescent="0.2">
      <c r="A21" s="74"/>
      <c r="B21" s="406"/>
      <c r="C21" s="435"/>
      <c r="D21" s="435" t="s">
        <v>17</v>
      </c>
      <c r="E21" s="435"/>
      <c r="F21" s="74"/>
      <c r="G21" s="269">
        <v>45000</v>
      </c>
    </row>
    <row r="22" spans="1:9" ht="20.25" x14ac:dyDescent="0.2">
      <c r="A22" s="74"/>
      <c r="B22" s="406"/>
      <c r="C22" s="435" t="s">
        <v>347</v>
      </c>
      <c r="D22" s="435"/>
      <c r="E22" s="435"/>
      <c r="F22" s="74"/>
      <c r="G22" s="269">
        <v>2500</v>
      </c>
    </row>
    <row r="23" spans="1:9" ht="20.25" x14ac:dyDescent="0.2">
      <c r="A23" s="74"/>
      <c r="B23" s="406"/>
      <c r="C23" s="435" t="s">
        <v>115</v>
      </c>
      <c r="D23" s="435"/>
      <c r="E23" s="435"/>
      <c r="F23" s="74"/>
      <c r="G23" s="333">
        <v>46575</v>
      </c>
    </row>
    <row r="24" spans="1:9" ht="20.25" x14ac:dyDescent="0.2">
      <c r="A24" s="74"/>
      <c r="B24" s="406"/>
      <c r="C24" s="435" t="s">
        <v>348</v>
      </c>
      <c r="D24" s="435"/>
      <c r="E24" s="435"/>
      <c r="F24" s="74"/>
      <c r="G24" s="333">
        <v>1531</v>
      </c>
    </row>
    <row r="25" spans="1:9" ht="20.25" x14ac:dyDescent="0.2">
      <c r="A25" s="74"/>
      <c r="B25" s="406"/>
      <c r="C25" s="435" t="s">
        <v>108</v>
      </c>
      <c r="D25" s="435"/>
      <c r="E25" s="435"/>
      <c r="F25" s="74"/>
      <c r="G25" s="333">
        <v>19000</v>
      </c>
    </row>
    <row r="26" spans="1:9" ht="20.25" x14ac:dyDescent="0.2">
      <c r="A26" s="74"/>
      <c r="B26" s="406"/>
      <c r="C26" s="435" t="s">
        <v>344</v>
      </c>
      <c r="D26" s="435"/>
      <c r="E26" s="435"/>
      <c r="F26" s="74"/>
      <c r="G26" s="333">
        <v>51000</v>
      </c>
    </row>
    <row r="27" spans="1:9" ht="20.25" x14ac:dyDescent="0.2">
      <c r="A27" s="74"/>
      <c r="B27" s="406"/>
      <c r="C27" s="435" t="s">
        <v>346</v>
      </c>
      <c r="D27" s="435"/>
      <c r="E27" s="435"/>
      <c r="F27" s="74"/>
      <c r="G27" s="333">
        <v>20655</v>
      </c>
    </row>
    <row r="28" spans="1:9" ht="20.25" x14ac:dyDescent="0.2">
      <c r="A28" s="74"/>
      <c r="B28" s="406"/>
      <c r="C28" s="435"/>
      <c r="D28" s="74" t="s">
        <v>111</v>
      </c>
      <c r="E28" s="435"/>
      <c r="F28" s="74"/>
      <c r="G28" s="246">
        <f>SUM(G8:G27)</f>
        <v>1455561</v>
      </c>
      <c r="I28" s="247"/>
    </row>
    <row r="29" spans="1:9" ht="20.25" x14ac:dyDescent="0.2">
      <c r="A29" s="74"/>
      <c r="B29" s="406"/>
      <c r="C29" s="435"/>
      <c r="D29" s="74"/>
      <c r="E29" s="435"/>
      <c r="F29" s="74"/>
      <c r="G29" s="237"/>
    </row>
    <row r="30" spans="1:9" ht="21" thickBot="1" x14ac:dyDescent="0.25">
      <c r="A30" s="74"/>
      <c r="B30" s="407" t="s">
        <v>117</v>
      </c>
      <c r="C30" s="88"/>
      <c r="D30" s="88"/>
      <c r="E30" s="88"/>
      <c r="F30" s="88"/>
      <c r="G30" s="245"/>
    </row>
    <row r="31" spans="1:9" ht="20.25" x14ac:dyDescent="0.2">
      <c r="A31" s="68"/>
      <c r="B31" s="408"/>
      <c r="C31" s="80" t="s">
        <v>118</v>
      </c>
      <c r="D31" s="80"/>
      <c r="E31" s="80"/>
      <c r="F31" s="80"/>
      <c r="G31" s="235">
        <v>889720</v>
      </c>
    </row>
    <row r="32" spans="1:9" ht="20.25" x14ac:dyDescent="0.2">
      <c r="A32" s="68"/>
      <c r="B32" s="408"/>
      <c r="C32" s="80" t="s">
        <v>119</v>
      </c>
      <c r="D32" s="80"/>
      <c r="E32" s="80"/>
      <c r="F32" s="80"/>
      <c r="G32" s="235">
        <v>192602</v>
      </c>
    </row>
    <row r="33" spans="1:7" ht="20.25" x14ac:dyDescent="0.2">
      <c r="A33" s="68"/>
      <c r="B33" s="408"/>
      <c r="C33" s="80" t="s">
        <v>120</v>
      </c>
      <c r="D33" s="80"/>
      <c r="E33" s="80"/>
      <c r="F33" s="80"/>
      <c r="G33" s="235">
        <v>3600</v>
      </c>
    </row>
    <row r="34" spans="1:7" ht="20.25" x14ac:dyDescent="0.2">
      <c r="A34" s="68"/>
      <c r="B34" s="408"/>
      <c r="C34" s="80" t="s">
        <v>110</v>
      </c>
      <c r="D34" s="80"/>
      <c r="E34" s="80"/>
      <c r="F34" s="80"/>
      <c r="G34" s="235">
        <f>G23</f>
        <v>46575</v>
      </c>
    </row>
    <row r="35" spans="1:7" ht="20.25" x14ac:dyDescent="0.2">
      <c r="A35" s="68"/>
      <c r="B35" s="408"/>
      <c r="C35" s="80" t="s">
        <v>121</v>
      </c>
      <c r="D35" s="80"/>
      <c r="E35" s="80"/>
      <c r="F35" s="80"/>
      <c r="G35" s="235">
        <v>17595</v>
      </c>
    </row>
    <row r="36" spans="1:7" ht="20.25" x14ac:dyDescent="0.2">
      <c r="A36" s="68"/>
      <c r="B36" s="408"/>
      <c r="C36" s="80" t="s">
        <v>122</v>
      </c>
      <c r="D36" s="80"/>
      <c r="E36" s="80"/>
      <c r="F36" s="80"/>
      <c r="G36" s="235">
        <v>2821</v>
      </c>
    </row>
    <row r="37" spans="1:7" ht="20.25" x14ac:dyDescent="0.2">
      <c r="A37" s="68"/>
      <c r="B37" s="408"/>
      <c r="C37" s="80" t="s">
        <v>123</v>
      </c>
      <c r="D37" s="80"/>
      <c r="E37" s="80"/>
      <c r="F37" s="80"/>
      <c r="G37" s="235">
        <v>5032</v>
      </c>
    </row>
    <row r="38" spans="1:7" ht="20.25" x14ac:dyDescent="0.2">
      <c r="A38" s="68"/>
      <c r="B38" s="408"/>
      <c r="C38" s="80" t="s">
        <v>124</v>
      </c>
      <c r="D38" s="80"/>
      <c r="E38" s="80"/>
      <c r="F38" s="80"/>
      <c r="G38" s="235">
        <v>12216</v>
      </c>
    </row>
    <row r="39" spans="1:7" ht="20.25" x14ac:dyDescent="0.2">
      <c r="A39" s="68"/>
      <c r="B39" s="408"/>
      <c r="C39" s="80" t="s">
        <v>125</v>
      </c>
      <c r="D39" s="80"/>
      <c r="E39" s="80"/>
      <c r="F39" s="80"/>
      <c r="G39" s="235">
        <v>39500</v>
      </c>
    </row>
    <row r="40" spans="1:7" ht="20.25" x14ac:dyDescent="0.2">
      <c r="A40" s="68"/>
      <c r="B40" s="408"/>
      <c r="C40" s="80" t="s">
        <v>126</v>
      </c>
      <c r="D40" s="80"/>
      <c r="E40" s="80"/>
      <c r="F40" s="80"/>
      <c r="G40" s="235">
        <v>4840</v>
      </c>
    </row>
    <row r="41" spans="1:7" ht="20.25" x14ac:dyDescent="0.2">
      <c r="A41" s="68"/>
      <c r="B41" s="408"/>
      <c r="C41" s="80" t="s">
        <v>127</v>
      </c>
      <c r="D41" s="80"/>
      <c r="E41" s="80"/>
      <c r="F41" s="80"/>
      <c r="G41" s="235">
        <v>1735</v>
      </c>
    </row>
    <row r="42" spans="1:7" ht="20.25" x14ac:dyDescent="0.2">
      <c r="A42" s="68"/>
      <c r="B42" s="408"/>
      <c r="C42" s="80" t="s">
        <v>174</v>
      </c>
      <c r="D42" s="80"/>
      <c r="E42" s="80"/>
      <c r="F42" s="80"/>
      <c r="G42" s="235">
        <v>12125</v>
      </c>
    </row>
    <row r="43" spans="1:7" ht="20.25" x14ac:dyDescent="0.2">
      <c r="A43" s="80"/>
      <c r="B43" s="404"/>
      <c r="C43" s="80" t="s">
        <v>128</v>
      </c>
      <c r="D43" s="80"/>
      <c r="E43" s="80"/>
      <c r="F43" s="80"/>
      <c r="G43" s="333">
        <v>12252</v>
      </c>
    </row>
    <row r="44" spans="1:7" ht="20.25" x14ac:dyDescent="0.2">
      <c r="A44" s="80"/>
      <c r="B44" s="404"/>
      <c r="C44" s="80" t="s">
        <v>129</v>
      </c>
      <c r="D44" s="80"/>
      <c r="E44" s="80"/>
      <c r="F44" s="80"/>
      <c r="G44" s="235">
        <v>13564</v>
      </c>
    </row>
    <row r="45" spans="1:7" ht="20.25" x14ac:dyDescent="0.2">
      <c r="A45" s="80"/>
      <c r="B45" s="404"/>
      <c r="C45" s="80" t="s">
        <v>136</v>
      </c>
      <c r="D45" s="80"/>
      <c r="E45" s="80"/>
      <c r="F45" s="80"/>
      <c r="G45" s="235">
        <v>875</v>
      </c>
    </row>
    <row r="46" spans="1:7" ht="20.25" x14ac:dyDescent="0.2">
      <c r="A46" s="80"/>
      <c r="B46" s="404"/>
      <c r="C46" s="80" t="s">
        <v>130</v>
      </c>
      <c r="D46" s="80"/>
      <c r="E46" s="80"/>
      <c r="F46" s="80"/>
      <c r="G46" s="333">
        <f>10039+1500</f>
        <v>11539</v>
      </c>
    </row>
    <row r="47" spans="1:7" ht="20.25" x14ac:dyDescent="0.2">
      <c r="A47" s="68"/>
      <c r="B47" s="408"/>
      <c r="C47" s="80" t="s">
        <v>209</v>
      </c>
      <c r="D47" s="80"/>
      <c r="E47" s="80"/>
      <c r="F47" s="80"/>
      <c r="G47" s="235">
        <f>12623+2660</f>
        <v>15283</v>
      </c>
    </row>
    <row r="48" spans="1:7" ht="20.25" x14ac:dyDescent="0.2">
      <c r="A48" s="80"/>
      <c r="B48" s="404"/>
      <c r="C48" s="80" t="s">
        <v>131</v>
      </c>
      <c r="D48" s="80"/>
      <c r="E48" s="80"/>
      <c r="F48" s="80"/>
      <c r="G48" s="333">
        <v>39977</v>
      </c>
    </row>
    <row r="49" spans="1:7" ht="20.25" x14ac:dyDescent="0.2">
      <c r="A49" s="80"/>
      <c r="B49" s="404"/>
      <c r="C49" s="80" t="s">
        <v>132</v>
      </c>
      <c r="D49" s="80"/>
      <c r="E49" s="80"/>
      <c r="F49" s="80"/>
      <c r="G49" s="333">
        <v>19556</v>
      </c>
    </row>
    <row r="50" spans="1:7" ht="20.25" x14ac:dyDescent="0.2">
      <c r="A50" s="80"/>
      <c r="B50" s="404"/>
      <c r="C50" s="80" t="s">
        <v>173</v>
      </c>
      <c r="D50" s="80"/>
      <c r="E50" s="80"/>
      <c r="F50" s="80"/>
      <c r="G50" s="235">
        <v>56100</v>
      </c>
    </row>
    <row r="51" spans="1:7" ht="20.25" x14ac:dyDescent="0.2">
      <c r="A51" s="80"/>
      <c r="B51" s="404"/>
      <c r="C51" s="80" t="s">
        <v>133</v>
      </c>
      <c r="D51" s="80"/>
      <c r="E51" s="80"/>
      <c r="F51" s="80"/>
      <c r="G51" s="235">
        <f>750+86095</f>
        <v>86845</v>
      </c>
    </row>
    <row r="52" spans="1:7" ht="21" thickBot="1" x14ac:dyDescent="0.25">
      <c r="A52" s="80"/>
      <c r="B52" s="404"/>
      <c r="C52" s="80"/>
      <c r="D52" s="80"/>
      <c r="E52" s="80"/>
      <c r="F52" s="80"/>
      <c r="G52" s="245"/>
    </row>
    <row r="53" spans="1:7" ht="20.25" x14ac:dyDescent="0.2">
      <c r="A53" s="68"/>
      <c r="B53" s="408"/>
      <c r="C53" s="68"/>
      <c r="D53" s="74" t="s">
        <v>134</v>
      </c>
      <c r="E53" s="68"/>
      <c r="F53" s="68"/>
      <c r="G53" s="240">
        <f>SUM(G31:G51)</f>
        <v>1484352</v>
      </c>
    </row>
    <row r="54" spans="1:7" ht="21" thickBot="1" x14ac:dyDescent="0.25">
      <c r="A54" s="68"/>
      <c r="B54" s="408"/>
      <c r="C54" s="68"/>
      <c r="D54" s="74"/>
      <c r="E54" s="68"/>
      <c r="F54" s="68"/>
      <c r="G54" s="245"/>
    </row>
    <row r="55" spans="1:7" ht="21" thickBot="1" x14ac:dyDescent="0.25">
      <c r="A55" s="68"/>
      <c r="B55" s="408"/>
      <c r="C55" s="68"/>
      <c r="D55" s="68" t="s">
        <v>135</v>
      </c>
      <c r="E55" s="68"/>
      <c r="F55" s="68"/>
      <c r="G55" s="245">
        <f>G28-G53</f>
        <v>-28791</v>
      </c>
    </row>
    <row r="56" spans="1:7" ht="20.25" x14ac:dyDescent="0.2">
      <c r="A56" s="68"/>
      <c r="B56" s="408"/>
      <c r="C56" s="68"/>
      <c r="D56" s="68"/>
      <c r="E56" s="68"/>
      <c r="F56" s="68"/>
      <c r="G56" s="235"/>
    </row>
  </sheetData>
  <pageMargins left="1.2" right="0" top="0.5" bottom="0.5" header="0.3" footer="0.3"/>
  <pageSetup scale="6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579" hidden="1" customWidth="1"/>
    <col min="4" max="7" width="15" customWidth="1"/>
    <col min="8" max="8" width="14.625" customWidth="1"/>
  </cols>
  <sheetData>
    <row r="1" spans="1:130" ht="21" x14ac:dyDescent="0.35">
      <c r="A1" s="617" t="s">
        <v>100</v>
      </c>
      <c r="B1" s="60"/>
      <c r="C1" s="61"/>
      <c r="D1" s="61"/>
      <c r="E1" s="61"/>
      <c r="F1" s="60"/>
      <c r="G1" s="233"/>
      <c r="H1" s="60"/>
      <c r="I1" s="60"/>
      <c r="J1" s="60"/>
      <c r="K1" s="60"/>
      <c r="L1" s="481"/>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17" t="s">
        <v>319</v>
      </c>
      <c r="B2" s="60"/>
      <c r="C2" s="61"/>
      <c r="D2" s="61"/>
      <c r="E2" s="61"/>
      <c r="F2" s="60"/>
      <c r="G2" s="233"/>
      <c r="H2" s="60"/>
      <c r="I2" s="60"/>
      <c r="J2" s="60"/>
      <c r="K2" s="60"/>
      <c r="L2" s="48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17" t="str">
        <f>'December''19 State of Activities'!A3</f>
        <v>Ten Months Ended October 31, 2019 and 2018</v>
      </c>
      <c r="B3" s="60"/>
      <c r="C3" s="61"/>
      <c r="D3" s="61"/>
      <c r="E3" s="61"/>
      <c r="F3" s="60"/>
      <c r="G3" s="233"/>
      <c r="H3" s="60"/>
      <c r="I3" s="60"/>
      <c r="J3" s="60"/>
      <c r="K3" s="60"/>
      <c r="L3" s="481"/>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826" t="s">
        <v>299</v>
      </c>
      <c r="B5" s="827"/>
      <c r="C5" s="827"/>
      <c r="D5" s="827"/>
      <c r="E5" s="827"/>
      <c r="F5" s="827"/>
      <c r="G5" s="827"/>
      <c r="H5" s="828"/>
    </row>
    <row r="6" spans="1:130" ht="7.5" customHeight="1" thickBot="1" x14ac:dyDescent="0.25">
      <c r="E6" s="580"/>
      <c r="F6" s="580"/>
      <c r="G6" s="580"/>
    </row>
    <row r="7" spans="1:130" ht="15.75" x14ac:dyDescent="0.25">
      <c r="A7" s="581" t="s">
        <v>300</v>
      </c>
      <c r="B7" s="582" t="s">
        <v>301</v>
      </c>
      <c r="C7" s="582" t="s">
        <v>302</v>
      </c>
      <c r="D7" s="582" t="s">
        <v>303</v>
      </c>
      <c r="E7" s="582" t="s">
        <v>304</v>
      </c>
      <c r="F7" s="582" t="s">
        <v>305</v>
      </c>
      <c r="G7" s="582" t="s">
        <v>306</v>
      </c>
      <c r="H7" s="581" t="s">
        <v>307</v>
      </c>
    </row>
    <row r="8" spans="1:130" ht="16.5" thickBot="1" x14ac:dyDescent="0.3">
      <c r="A8" s="583"/>
      <c r="B8" s="584" t="s">
        <v>308</v>
      </c>
      <c r="C8" s="584" t="s">
        <v>308</v>
      </c>
      <c r="D8" s="584" t="s">
        <v>308</v>
      </c>
      <c r="E8" s="584" t="s">
        <v>308</v>
      </c>
      <c r="F8" s="584" t="s">
        <v>308</v>
      </c>
      <c r="G8" s="584" t="s">
        <v>308</v>
      </c>
      <c r="H8" s="585" t="s">
        <v>309</v>
      </c>
    </row>
    <row r="9" spans="1:130" x14ac:dyDescent="0.2">
      <c r="A9" s="586">
        <v>42741</v>
      </c>
      <c r="B9" s="587">
        <v>1059.72</v>
      </c>
      <c r="C9" s="588">
        <f>6123.86-3246.88</f>
        <v>2876.9799999999996</v>
      </c>
      <c r="D9" s="587">
        <f>160.4+1401.46</f>
        <v>1561.8600000000001</v>
      </c>
      <c r="E9" s="587">
        <f>2007.36+883.16</f>
        <v>2890.52</v>
      </c>
      <c r="F9" s="587">
        <v>4174.08</v>
      </c>
      <c r="G9" s="587">
        <v>3187.95</v>
      </c>
      <c r="H9" s="587">
        <f>G9-F9</f>
        <v>-986.13000000000011</v>
      </c>
    </row>
    <row r="10" spans="1:130" x14ac:dyDescent="0.2">
      <c r="A10" s="589">
        <v>42748</v>
      </c>
      <c r="B10" s="590">
        <v>1351.72</v>
      </c>
      <c r="C10" s="591">
        <f>7232.22-3246.88</f>
        <v>3985.34</v>
      </c>
      <c r="D10" s="590">
        <v>3927.82</v>
      </c>
      <c r="E10" s="590">
        <v>3364.16</v>
      </c>
      <c r="F10" s="587">
        <v>4643.2299999999996</v>
      </c>
      <c r="G10" s="587">
        <v>3858.57</v>
      </c>
      <c r="H10" s="587">
        <f t="shared" ref="H10:H21" si="0">G10-F10</f>
        <v>-784.6599999999994</v>
      </c>
    </row>
    <row r="11" spans="1:130" x14ac:dyDescent="0.2">
      <c r="A11" s="589">
        <v>42755</v>
      </c>
      <c r="B11" s="590">
        <v>1237.58</v>
      </c>
      <c r="C11" s="592">
        <f>5493.18-2496.78</f>
        <v>2996.4</v>
      </c>
      <c r="D11" s="590">
        <v>3463.28</v>
      </c>
      <c r="E11" s="590">
        <v>3723.22</v>
      </c>
      <c r="F11" s="587">
        <v>3257.98</v>
      </c>
      <c r="G11" s="587">
        <v>2816.13</v>
      </c>
      <c r="H11" s="587">
        <f t="shared" si="0"/>
        <v>-441.84999999999991</v>
      </c>
    </row>
    <row r="12" spans="1:130" x14ac:dyDescent="0.2">
      <c r="A12" s="589">
        <v>42762</v>
      </c>
      <c r="B12" s="590">
        <v>1829.66</v>
      </c>
      <c r="C12" s="592">
        <f>6125.18-2535</f>
        <v>3590.1800000000003</v>
      </c>
      <c r="D12" s="590">
        <v>2947.54</v>
      </c>
      <c r="E12" s="590">
        <v>3026.63</v>
      </c>
      <c r="F12" s="587">
        <v>3503.82</v>
      </c>
      <c r="G12" s="587">
        <v>2957.14</v>
      </c>
      <c r="H12" s="587">
        <f t="shared" si="0"/>
        <v>-546.68000000000029</v>
      </c>
    </row>
    <row r="13" spans="1:130" x14ac:dyDescent="0.2">
      <c r="A13" s="589">
        <v>42769</v>
      </c>
      <c r="B13" s="590">
        <v>2363.12</v>
      </c>
      <c r="C13" s="592">
        <f>-3488.68+8424.94</f>
        <v>4936.26</v>
      </c>
      <c r="D13" s="590">
        <v>3434.46</v>
      </c>
      <c r="E13" s="590">
        <v>2986.58</v>
      </c>
      <c r="F13" s="587">
        <v>4063.43</v>
      </c>
      <c r="G13" s="587">
        <v>3878.62</v>
      </c>
      <c r="H13" s="587">
        <f t="shared" si="0"/>
        <v>-184.80999999999995</v>
      </c>
    </row>
    <row r="14" spans="1:130" x14ac:dyDescent="0.2">
      <c r="A14" s="589">
        <v>42776</v>
      </c>
      <c r="B14" s="590">
        <v>1902.16</v>
      </c>
      <c r="C14" s="592">
        <f>-2931.5+7254.06</f>
        <v>4322.5600000000004</v>
      </c>
      <c r="D14" s="590">
        <v>2818.82</v>
      </c>
      <c r="E14" s="590">
        <f>2800.67</f>
        <v>2800.67</v>
      </c>
      <c r="F14" s="587">
        <v>4002.46</v>
      </c>
      <c r="G14" s="587">
        <v>2987.96</v>
      </c>
      <c r="H14" s="587">
        <f t="shared" si="0"/>
        <v>-1014.5</v>
      </c>
    </row>
    <row r="15" spans="1:130" x14ac:dyDescent="0.2">
      <c r="A15" s="589">
        <v>42783</v>
      </c>
      <c r="B15" s="590">
        <v>2134.56</v>
      </c>
      <c r="C15" s="592">
        <f>-3653.28+8329.5-700</f>
        <v>3976.2199999999993</v>
      </c>
      <c r="D15" s="590">
        <v>2157.96</v>
      </c>
      <c r="E15" s="590">
        <v>2584.04</v>
      </c>
      <c r="F15" s="587">
        <v>2886.61</v>
      </c>
      <c r="G15" s="587">
        <v>3373.08</v>
      </c>
      <c r="H15" s="587">
        <f t="shared" si="0"/>
        <v>486.4699999999998</v>
      </c>
    </row>
    <row r="16" spans="1:130" x14ac:dyDescent="0.2">
      <c r="A16" s="589">
        <v>42790</v>
      </c>
      <c r="B16" s="590">
        <v>1676.08</v>
      </c>
      <c r="C16" s="592">
        <f>-2869.88+6693.6</f>
        <v>3823.7200000000003</v>
      </c>
      <c r="D16" s="590">
        <v>3063.52</v>
      </c>
      <c r="E16" s="590">
        <v>3161.19</v>
      </c>
      <c r="F16" s="587">
        <v>3994.7</v>
      </c>
      <c r="G16" s="587">
        <v>3335.8</v>
      </c>
      <c r="H16" s="587">
        <f t="shared" si="0"/>
        <v>-658.89999999999964</v>
      </c>
    </row>
    <row r="17" spans="1:8" x14ac:dyDescent="0.2">
      <c r="A17" s="589">
        <v>42797</v>
      </c>
      <c r="B17" s="590">
        <v>1418.9</v>
      </c>
      <c r="C17" s="592">
        <f>-3427.32+8141.08</f>
        <v>4713.76</v>
      </c>
      <c r="D17" s="590">
        <v>4534.3</v>
      </c>
      <c r="E17" s="590">
        <v>3860.23</v>
      </c>
      <c r="F17" s="587">
        <v>4172.5600000000004</v>
      </c>
      <c r="G17" s="587">
        <v>2335.96</v>
      </c>
      <c r="H17" s="587">
        <f t="shared" si="0"/>
        <v>-1836.6000000000004</v>
      </c>
    </row>
    <row r="18" spans="1:8" x14ac:dyDescent="0.2">
      <c r="A18" s="589">
        <v>42804</v>
      </c>
      <c r="B18" s="590">
        <v>1013.74</v>
      </c>
      <c r="C18" s="592">
        <f>-2919.8+6449.26</f>
        <v>3529.46</v>
      </c>
      <c r="D18" s="590">
        <v>3673.88</v>
      </c>
      <c r="E18" s="590">
        <v>4004</v>
      </c>
      <c r="F18" s="587">
        <v>3762.8</v>
      </c>
      <c r="G18" s="587">
        <v>1711.94</v>
      </c>
      <c r="H18" s="587">
        <f t="shared" si="0"/>
        <v>-2050.86</v>
      </c>
    </row>
    <row r="19" spans="1:8" x14ac:dyDescent="0.2">
      <c r="A19" s="589">
        <v>42811</v>
      </c>
      <c r="B19" s="593">
        <v>3629.96</v>
      </c>
      <c r="C19" s="592">
        <f>-3708.38+7621.78</f>
        <v>3913.3999999999996</v>
      </c>
      <c r="D19" s="590">
        <v>4030.4</v>
      </c>
      <c r="E19" s="590">
        <v>3222.03</v>
      </c>
      <c r="F19" s="587">
        <v>4340.3</v>
      </c>
      <c r="G19" s="587">
        <v>942.16</v>
      </c>
      <c r="H19" s="587">
        <f t="shared" si="0"/>
        <v>-3398.1400000000003</v>
      </c>
    </row>
    <row r="20" spans="1:8" x14ac:dyDescent="0.2">
      <c r="A20" s="589">
        <v>42818</v>
      </c>
      <c r="B20" s="593">
        <v>3364</v>
      </c>
      <c r="C20" s="592">
        <f>-3726.84+7846.28</f>
        <v>4119.4399999999996</v>
      </c>
      <c r="D20" s="590">
        <v>3975.2</v>
      </c>
      <c r="E20" s="590">
        <v>3684.17</v>
      </c>
      <c r="F20" s="587">
        <v>3849.95</v>
      </c>
      <c r="G20" s="587">
        <v>1706.08</v>
      </c>
      <c r="H20" s="587">
        <f t="shared" si="0"/>
        <v>-2143.87</v>
      </c>
    </row>
    <row r="21" spans="1:8" ht="15" thickBot="1" x14ac:dyDescent="0.25">
      <c r="A21" s="589">
        <v>42825</v>
      </c>
      <c r="B21" s="593">
        <v>3587</v>
      </c>
      <c r="C21" s="592">
        <f>-3329.82+7562.9</f>
        <v>4233.08</v>
      </c>
      <c r="D21" s="590">
        <v>4280.8</v>
      </c>
      <c r="E21" s="593">
        <v>4118.96</v>
      </c>
      <c r="F21" s="594">
        <v>4082.74</v>
      </c>
      <c r="G21" s="594">
        <v>2002.52</v>
      </c>
      <c r="H21" s="587">
        <f t="shared" si="0"/>
        <v>-2080.2199999999998</v>
      </c>
    </row>
    <row r="22" spans="1:8" ht="16.5" thickBot="1" x14ac:dyDescent="0.25">
      <c r="A22" s="595" t="s">
        <v>310</v>
      </c>
      <c r="B22" s="596">
        <f t="shared" ref="B22:H22" si="1">SUM(B9:B21)</f>
        <v>26568.2</v>
      </c>
      <c r="C22" s="596">
        <f t="shared" si="1"/>
        <v>51016.80000000001</v>
      </c>
      <c r="D22" s="596">
        <f t="shared" si="1"/>
        <v>43869.84</v>
      </c>
      <c r="E22" s="596">
        <f t="shared" si="1"/>
        <v>43426.399999999994</v>
      </c>
      <c r="F22" s="596">
        <f t="shared" si="1"/>
        <v>50734.659999999996</v>
      </c>
      <c r="G22" s="596">
        <f t="shared" si="1"/>
        <v>35093.909999999989</v>
      </c>
      <c r="H22" s="596">
        <f t="shared" si="1"/>
        <v>-15640.749999999998</v>
      </c>
    </row>
    <row r="23" spans="1:8" x14ac:dyDescent="0.2">
      <c r="A23" s="597">
        <v>42832</v>
      </c>
      <c r="B23" s="590">
        <v>3525.02</v>
      </c>
      <c r="C23" s="587">
        <v>4517.8999999999996</v>
      </c>
      <c r="D23" s="587">
        <v>4162.12</v>
      </c>
      <c r="E23" s="587">
        <v>4043.7</v>
      </c>
      <c r="F23" s="587">
        <v>3768.69</v>
      </c>
      <c r="G23" s="587">
        <v>2018.44</v>
      </c>
      <c r="H23" s="587">
        <f>G23-F23</f>
        <v>-1750.25</v>
      </c>
    </row>
    <row r="24" spans="1:8" x14ac:dyDescent="0.2">
      <c r="A24" s="597">
        <v>42839</v>
      </c>
      <c r="B24" s="590">
        <v>3842.84</v>
      </c>
      <c r="C24" s="587">
        <v>4554.42</v>
      </c>
      <c r="D24" s="590">
        <v>4616</v>
      </c>
      <c r="E24" s="590">
        <v>4136.18</v>
      </c>
      <c r="F24" s="587">
        <v>4345.16</v>
      </c>
      <c r="G24" s="587">
        <v>5284.52</v>
      </c>
      <c r="H24" s="587">
        <f t="shared" ref="H24:H63" si="2">G24-F24</f>
        <v>939.36000000000058</v>
      </c>
    </row>
    <row r="25" spans="1:8" x14ac:dyDescent="0.2">
      <c r="A25" s="597">
        <v>42846</v>
      </c>
      <c r="B25" s="590">
        <v>5337.82</v>
      </c>
      <c r="C25" s="590">
        <v>4041.14</v>
      </c>
      <c r="D25" s="590">
        <v>3729.1</v>
      </c>
      <c r="E25" s="590">
        <v>4132.83</v>
      </c>
      <c r="F25" s="587">
        <v>4267.46</v>
      </c>
      <c r="G25" s="587">
        <v>4715.9799999999996</v>
      </c>
      <c r="H25" s="587">
        <f t="shared" si="2"/>
        <v>448.51999999999953</v>
      </c>
    </row>
    <row r="26" spans="1:8" x14ac:dyDescent="0.2">
      <c r="A26" s="597">
        <v>42853</v>
      </c>
      <c r="B26" s="590">
        <v>4973.68</v>
      </c>
      <c r="C26" s="590">
        <v>4321.8599999999997</v>
      </c>
      <c r="D26" s="590">
        <v>3706.08</v>
      </c>
      <c r="E26" s="590">
        <v>4536.74</v>
      </c>
      <c r="F26" s="587">
        <v>3953.61</v>
      </c>
      <c r="G26" s="587">
        <v>4499.7</v>
      </c>
      <c r="H26" s="587">
        <f t="shared" si="2"/>
        <v>546.08999999999969</v>
      </c>
    </row>
    <row r="27" spans="1:8" x14ac:dyDescent="0.2">
      <c r="A27" s="597">
        <v>42860</v>
      </c>
      <c r="B27" s="590">
        <v>3187.22</v>
      </c>
      <c r="C27" s="590">
        <v>4732.8999999999996</v>
      </c>
      <c r="D27" s="590">
        <v>3421.72</v>
      </c>
      <c r="E27" s="590">
        <f>3478.64+72+758.56</f>
        <v>4309.2</v>
      </c>
      <c r="F27" s="587">
        <v>4192.32</v>
      </c>
      <c r="G27" s="587">
        <v>4204.16</v>
      </c>
      <c r="H27" s="587">
        <f t="shared" si="2"/>
        <v>11.840000000000146</v>
      </c>
    </row>
    <row r="28" spans="1:8" x14ac:dyDescent="0.2">
      <c r="A28" s="597">
        <v>42867</v>
      </c>
      <c r="B28" s="590">
        <v>2237.2399999999998</v>
      </c>
      <c r="C28" s="590">
        <v>4138.8999999999996</v>
      </c>
      <c r="D28" s="590">
        <v>3907.94</v>
      </c>
      <c r="E28" s="590">
        <f>4050.94+212.76</f>
        <v>4263.7</v>
      </c>
      <c r="F28" s="587">
        <v>4361.47</v>
      </c>
      <c r="G28" s="587">
        <v>4571.82</v>
      </c>
      <c r="H28" s="587">
        <f t="shared" si="2"/>
        <v>210.34999999999945</v>
      </c>
    </row>
    <row r="29" spans="1:8" x14ac:dyDescent="0.2">
      <c r="A29" s="597">
        <v>42874</v>
      </c>
      <c r="B29" s="590">
        <v>3446.22</v>
      </c>
      <c r="C29" s="590">
        <v>5447.82</v>
      </c>
      <c r="D29" s="590">
        <f>3359.74+70.28</f>
        <v>3430.02</v>
      </c>
      <c r="E29" s="590">
        <v>3958.56</v>
      </c>
      <c r="F29" s="587">
        <v>3957.78</v>
      </c>
      <c r="G29" s="587">
        <v>4089.18</v>
      </c>
      <c r="H29" s="587">
        <f t="shared" si="2"/>
        <v>131.39999999999964</v>
      </c>
    </row>
    <row r="30" spans="1:8" x14ac:dyDescent="0.2">
      <c r="A30" s="597">
        <v>42881</v>
      </c>
      <c r="B30" s="590">
        <v>3507.94</v>
      </c>
      <c r="C30" s="590">
        <v>4315.03</v>
      </c>
      <c r="D30" s="590">
        <v>3880.8</v>
      </c>
      <c r="E30" s="590">
        <v>4314.9799999999996</v>
      </c>
      <c r="F30" s="587">
        <v>3634.01</v>
      </c>
      <c r="G30" s="587">
        <v>3993.63</v>
      </c>
      <c r="H30" s="587">
        <f t="shared" si="2"/>
        <v>359.61999999999989</v>
      </c>
    </row>
    <row r="31" spans="1:8" x14ac:dyDescent="0.2">
      <c r="A31" s="597">
        <v>42888</v>
      </c>
      <c r="B31" s="590">
        <v>3609.72</v>
      </c>
      <c r="C31" s="590">
        <v>3053.8</v>
      </c>
      <c r="D31" s="590">
        <v>2686.82</v>
      </c>
      <c r="E31" s="590">
        <v>2987.04</v>
      </c>
      <c r="F31" s="587">
        <v>2684.24</v>
      </c>
      <c r="G31" s="587">
        <v>2384.3200000000002</v>
      </c>
      <c r="H31" s="587">
        <f t="shared" si="2"/>
        <v>-299.91999999999962</v>
      </c>
    </row>
    <row r="32" spans="1:8" x14ac:dyDescent="0.2">
      <c r="A32" s="597">
        <v>42895</v>
      </c>
      <c r="B32" s="590">
        <v>2033.76</v>
      </c>
      <c r="C32" s="590">
        <v>4194.8599999999997</v>
      </c>
      <c r="D32" s="590">
        <v>3006.14</v>
      </c>
      <c r="E32" s="590">
        <v>3675.8</v>
      </c>
      <c r="F32" s="587">
        <v>3674.42</v>
      </c>
      <c r="G32" s="587">
        <v>3297.66</v>
      </c>
      <c r="H32" s="587">
        <f t="shared" si="2"/>
        <v>-376.76000000000022</v>
      </c>
    </row>
    <row r="33" spans="1:8" x14ac:dyDescent="0.2">
      <c r="A33" s="597">
        <v>42902</v>
      </c>
      <c r="B33" s="590">
        <v>2786.98</v>
      </c>
      <c r="C33" s="590">
        <v>3980.08</v>
      </c>
      <c r="D33" s="590">
        <v>3579.53</v>
      </c>
      <c r="E33" s="590">
        <v>4147.8999999999996</v>
      </c>
      <c r="F33" s="587">
        <v>4182.5200000000004</v>
      </c>
      <c r="G33" s="587">
        <v>3252.16</v>
      </c>
      <c r="H33" s="587">
        <f t="shared" si="2"/>
        <v>-930.36000000000058</v>
      </c>
    </row>
    <row r="34" spans="1:8" x14ac:dyDescent="0.2">
      <c r="A34" s="597">
        <v>42909</v>
      </c>
      <c r="B34" s="593">
        <v>2436.9</v>
      </c>
      <c r="C34" s="590">
        <v>4001.26</v>
      </c>
      <c r="D34" s="590">
        <v>3401.21</v>
      </c>
      <c r="E34" s="590">
        <v>3774.82</v>
      </c>
      <c r="F34" s="587">
        <v>3596.56</v>
      </c>
      <c r="G34" s="587">
        <v>3139.68</v>
      </c>
      <c r="H34" s="587">
        <f t="shared" si="2"/>
        <v>-456.88000000000011</v>
      </c>
    </row>
    <row r="35" spans="1:8" ht="15" thickBot="1" x14ac:dyDescent="0.25">
      <c r="A35" s="597">
        <v>42916</v>
      </c>
      <c r="B35" s="593">
        <v>2410.56</v>
      </c>
      <c r="C35" s="590">
        <v>3928.74</v>
      </c>
      <c r="D35" s="593">
        <v>3288.01</v>
      </c>
      <c r="E35" s="593">
        <v>3466.07</v>
      </c>
      <c r="F35" s="594">
        <v>3867.92</v>
      </c>
      <c r="G35" s="594">
        <v>3368.72</v>
      </c>
      <c r="H35" s="587">
        <f t="shared" si="2"/>
        <v>-499.20000000000027</v>
      </c>
    </row>
    <row r="36" spans="1:8" ht="16.5" thickBot="1" x14ac:dyDescent="0.25">
      <c r="A36" s="595" t="s">
        <v>311</v>
      </c>
      <c r="B36" s="596">
        <f t="shared" ref="B36:H36" si="3">SUM(B23:B35)</f>
        <v>43335.9</v>
      </c>
      <c r="C36" s="596">
        <f t="shared" si="3"/>
        <v>55228.710000000006</v>
      </c>
      <c r="D36" s="596">
        <f t="shared" si="3"/>
        <v>46815.49</v>
      </c>
      <c r="E36" s="596">
        <f t="shared" si="3"/>
        <v>51747.520000000004</v>
      </c>
      <c r="F36" s="596">
        <f t="shared" si="3"/>
        <v>50486.159999999989</v>
      </c>
      <c r="G36" s="596">
        <f t="shared" si="3"/>
        <v>48819.970000000008</v>
      </c>
      <c r="H36" s="596">
        <f t="shared" si="3"/>
        <v>-1666.1900000000019</v>
      </c>
    </row>
    <row r="37" spans="1:8" x14ac:dyDescent="0.2">
      <c r="A37" s="597">
        <v>42923</v>
      </c>
      <c r="B37" s="587">
        <f>899.92+2410.56</f>
        <v>3310.48</v>
      </c>
      <c r="C37" s="587">
        <v>3059.59</v>
      </c>
      <c r="D37" s="587">
        <f>952.56+2445.69</f>
        <v>3398.25</v>
      </c>
      <c r="E37" s="587">
        <f>1313.52+1315.48</f>
        <v>2629</v>
      </c>
      <c r="F37" s="587">
        <v>3092.18</v>
      </c>
      <c r="G37" s="587">
        <v>2501.6799999999998</v>
      </c>
      <c r="H37" s="587">
        <f t="shared" si="2"/>
        <v>-590.5</v>
      </c>
    </row>
    <row r="38" spans="1:8" x14ac:dyDescent="0.2">
      <c r="A38" s="589">
        <v>42930</v>
      </c>
      <c r="B38" s="587">
        <v>2613.8200000000002</v>
      </c>
      <c r="C38" s="587">
        <v>4164.28</v>
      </c>
      <c r="D38" s="590">
        <v>3621.49</v>
      </c>
      <c r="E38" s="590">
        <v>3328.78</v>
      </c>
      <c r="F38" s="587">
        <v>4363</v>
      </c>
      <c r="G38" s="587">
        <v>3463.97</v>
      </c>
      <c r="H38" s="587">
        <f t="shared" si="2"/>
        <v>-899.0300000000002</v>
      </c>
    </row>
    <row r="39" spans="1:8" x14ac:dyDescent="0.2">
      <c r="A39" s="589">
        <v>42937</v>
      </c>
      <c r="B39" s="590">
        <v>2285.09</v>
      </c>
      <c r="C39" s="590">
        <v>3698.36</v>
      </c>
      <c r="D39" s="590">
        <v>3478.53</v>
      </c>
      <c r="E39" s="590">
        <v>4114.08</v>
      </c>
      <c r="F39" s="587">
        <v>3936.33</v>
      </c>
      <c r="G39" s="587">
        <v>3416.66</v>
      </c>
      <c r="H39" s="587">
        <f t="shared" si="2"/>
        <v>-519.67000000000007</v>
      </c>
    </row>
    <row r="40" spans="1:8" x14ac:dyDescent="0.2">
      <c r="A40" s="589">
        <v>42944</v>
      </c>
      <c r="B40" s="590">
        <v>1982.06</v>
      </c>
      <c r="C40" s="590">
        <v>3907.78</v>
      </c>
      <c r="D40" s="590">
        <v>3713.11</v>
      </c>
      <c r="E40" s="590">
        <v>4010.57</v>
      </c>
      <c r="F40" s="587">
        <v>3962.85</v>
      </c>
      <c r="G40" s="587">
        <v>3139.68</v>
      </c>
      <c r="H40" s="587">
        <f t="shared" si="2"/>
        <v>-823.17000000000007</v>
      </c>
    </row>
    <row r="41" spans="1:8" x14ac:dyDescent="0.2">
      <c r="A41" s="589">
        <v>42951</v>
      </c>
      <c r="B41" s="590">
        <v>2442</v>
      </c>
      <c r="C41" s="590">
        <v>3807.12</v>
      </c>
      <c r="D41" s="590">
        <v>3318.21</v>
      </c>
      <c r="E41" s="590">
        <v>3520.16</v>
      </c>
      <c r="F41" s="587">
        <v>3810.8</v>
      </c>
      <c r="G41" s="587">
        <v>3171.9</v>
      </c>
      <c r="H41" s="587">
        <f t="shared" si="2"/>
        <v>-638.90000000000009</v>
      </c>
    </row>
    <row r="42" spans="1:8" x14ac:dyDescent="0.2">
      <c r="A42" s="589">
        <v>42958</v>
      </c>
      <c r="B42" s="590">
        <v>2003.68</v>
      </c>
      <c r="C42" s="590">
        <v>3636.64</v>
      </c>
      <c r="D42" s="590">
        <v>2999.63</v>
      </c>
      <c r="E42" s="590">
        <v>3150.64</v>
      </c>
      <c r="F42" s="587">
        <v>3905.08</v>
      </c>
      <c r="G42" s="587">
        <v>3339.76</v>
      </c>
      <c r="H42" s="587">
        <f t="shared" si="2"/>
        <v>-565.31999999999971</v>
      </c>
    </row>
    <row r="43" spans="1:8" x14ac:dyDescent="0.2">
      <c r="A43" s="589">
        <v>42965</v>
      </c>
      <c r="B43" s="590">
        <v>1971.38</v>
      </c>
      <c r="C43" s="590">
        <v>3658.28</v>
      </c>
      <c r="D43" s="590">
        <v>4080.16</v>
      </c>
      <c r="E43" s="590">
        <v>3780.2</v>
      </c>
      <c r="F43" s="587">
        <v>3747.05</v>
      </c>
      <c r="G43" s="587">
        <v>3333.42</v>
      </c>
      <c r="H43" s="587">
        <f t="shared" si="2"/>
        <v>-413.63000000000011</v>
      </c>
    </row>
    <row r="44" spans="1:8" x14ac:dyDescent="0.2">
      <c r="A44" s="589">
        <v>42972</v>
      </c>
      <c r="B44" s="590">
        <v>2725.14</v>
      </c>
      <c r="C44" s="590">
        <v>4096.0200000000004</v>
      </c>
      <c r="D44" s="590">
        <v>4309.82</v>
      </c>
      <c r="E44" s="590">
        <v>3361.86</v>
      </c>
      <c r="F44" s="587">
        <v>3788.4</v>
      </c>
      <c r="G44" s="587">
        <v>3772.14</v>
      </c>
      <c r="H44" s="587">
        <f t="shared" si="2"/>
        <v>-16.260000000000218</v>
      </c>
    </row>
    <row r="45" spans="1:8" x14ac:dyDescent="0.2">
      <c r="A45" s="589">
        <v>42979</v>
      </c>
      <c r="B45" s="590">
        <v>2749.96</v>
      </c>
      <c r="C45" s="590">
        <v>3825.18</v>
      </c>
      <c r="D45" s="590">
        <v>3712.48</v>
      </c>
      <c r="E45" s="590">
        <v>3605.07</v>
      </c>
      <c r="F45" s="587">
        <v>3858.34</v>
      </c>
      <c r="G45" s="587">
        <v>3206</v>
      </c>
      <c r="H45" s="587">
        <f t="shared" si="2"/>
        <v>-652.34000000000015</v>
      </c>
    </row>
    <row r="46" spans="1:8" x14ac:dyDescent="0.2">
      <c r="A46" s="589">
        <v>42986</v>
      </c>
      <c r="B46" s="590">
        <v>2323.9</v>
      </c>
      <c r="C46" s="590">
        <v>2717.46</v>
      </c>
      <c r="D46" s="590">
        <v>3072.96</v>
      </c>
      <c r="E46" s="590">
        <f>753.86+2730.15</f>
        <v>3484.01</v>
      </c>
      <c r="F46" s="587">
        <v>3265.99</v>
      </c>
      <c r="G46" s="587">
        <v>2271.2199999999998</v>
      </c>
      <c r="H46" s="587">
        <f t="shared" si="2"/>
        <v>-994.77</v>
      </c>
    </row>
    <row r="47" spans="1:8" x14ac:dyDescent="0.2">
      <c r="A47" s="589">
        <v>42993</v>
      </c>
      <c r="B47" s="590">
        <v>2621.61</v>
      </c>
      <c r="C47" s="590">
        <v>3748.38</v>
      </c>
      <c r="D47" s="590">
        <v>3926.25</v>
      </c>
      <c r="E47" s="590">
        <v>3212.96</v>
      </c>
      <c r="F47" s="587">
        <v>3712.16</v>
      </c>
      <c r="G47" s="587">
        <v>2688.36</v>
      </c>
      <c r="H47" s="587">
        <f t="shared" si="2"/>
        <v>-1023.7999999999997</v>
      </c>
    </row>
    <row r="48" spans="1:8" x14ac:dyDescent="0.2">
      <c r="A48" s="589">
        <v>43000</v>
      </c>
      <c r="B48" s="590">
        <v>2394.14</v>
      </c>
      <c r="C48" s="590">
        <v>3766.8</v>
      </c>
      <c r="D48" s="590">
        <v>4164.1899999999996</v>
      </c>
      <c r="E48" s="590">
        <v>4004.92</v>
      </c>
      <c r="F48" s="587">
        <v>3509.17</v>
      </c>
      <c r="G48" s="587">
        <v>3180.04</v>
      </c>
      <c r="H48" s="587">
        <f t="shared" si="2"/>
        <v>-329.13000000000011</v>
      </c>
    </row>
    <row r="49" spans="1:8" ht="15" thickBot="1" x14ac:dyDescent="0.25">
      <c r="A49" s="589">
        <v>43007</v>
      </c>
      <c r="B49" s="593">
        <v>2669.64</v>
      </c>
      <c r="C49" s="593">
        <v>4136.58</v>
      </c>
      <c r="D49" s="593">
        <v>3566.31</v>
      </c>
      <c r="E49" s="593">
        <v>3837.41</v>
      </c>
      <c r="F49" s="594">
        <v>3803.3</v>
      </c>
      <c r="G49" s="594">
        <v>2437.88</v>
      </c>
      <c r="H49" s="587">
        <f t="shared" si="2"/>
        <v>-1365.42</v>
      </c>
    </row>
    <row r="50" spans="1:8" ht="16.5" thickBot="1" x14ac:dyDescent="0.25">
      <c r="A50" s="595" t="s">
        <v>312</v>
      </c>
      <c r="B50" s="596">
        <f>SUM(B37:B49)</f>
        <v>32092.899999999998</v>
      </c>
      <c r="C50" s="596">
        <f>SUM(C37:C49)</f>
        <v>48222.47</v>
      </c>
      <c r="D50" s="596">
        <f>SUM(D37:D49)</f>
        <v>47361.39</v>
      </c>
      <c r="E50" s="596">
        <f>SUM(E37:E49)</f>
        <v>46039.66</v>
      </c>
      <c r="F50" s="596">
        <f t="shared" ref="F50:H50" si="4">SUM(F37:F49)</f>
        <v>48754.649999999994</v>
      </c>
      <c r="G50" s="596">
        <f t="shared" si="4"/>
        <v>39922.71</v>
      </c>
      <c r="H50" s="596">
        <f t="shared" si="4"/>
        <v>-8831.9399999999987</v>
      </c>
    </row>
    <row r="51" spans="1:8" x14ac:dyDescent="0.2">
      <c r="A51" s="597">
        <v>43014</v>
      </c>
      <c r="B51" s="587">
        <v>3051.16</v>
      </c>
      <c r="C51" s="587">
        <v>4721</v>
      </c>
      <c r="D51" s="587">
        <f>1531.24+2227.04</f>
        <v>3758.2799999999997</v>
      </c>
      <c r="E51" s="587">
        <v>3921.83</v>
      </c>
      <c r="F51" s="587">
        <v>3911.96</v>
      </c>
      <c r="G51" s="587">
        <v>3047.82</v>
      </c>
      <c r="H51" s="587">
        <f t="shared" si="2"/>
        <v>-864.13999999999987</v>
      </c>
    </row>
    <row r="52" spans="1:8" x14ac:dyDescent="0.2">
      <c r="A52" s="589">
        <v>43021</v>
      </c>
      <c r="B52" s="590">
        <v>2579.96</v>
      </c>
      <c r="C52" s="590">
        <v>4035.24</v>
      </c>
      <c r="D52" s="590">
        <v>4232.92</v>
      </c>
      <c r="E52" s="590">
        <v>3403.46</v>
      </c>
      <c r="F52" s="587">
        <v>3093.5</v>
      </c>
      <c r="G52" s="587">
        <v>2010.94</v>
      </c>
      <c r="H52" s="587">
        <f t="shared" si="2"/>
        <v>-1082.56</v>
      </c>
    </row>
    <row r="53" spans="1:8" x14ac:dyDescent="0.2">
      <c r="A53" s="589">
        <v>43028</v>
      </c>
      <c r="B53" s="590">
        <v>3119.16</v>
      </c>
      <c r="C53" s="590">
        <v>2972.08</v>
      </c>
      <c r="D53" s="590">
        <v>3057.22</v>
      </c>
      <c r="E53" s="590">
        <v>3116.16</v>
      </c>
      <c r="F53" s="587">
        <v>4261.32</v>
      </c>
      <c r="G53" s="587">
        <v>3314.5</v>
      </c>
      <c r="H53" s="587">
        <f t="shared" si="2"/>
        <v>-946.81999999999971</v>
      </c>
    </row>
    <row r="54" spans="1:8" x14ac:dyDescent="0.2">
      <c r="A54" s="589">
        <v>43035</v>
      </c>
      <c r="B54" s="590">
        <v>2378.1999999999998</v>
      </c>
      <c r="C54" s="590">
        <v>3341.66</v>
      </c>
      <c r="D54" s="590">
        <v>3745.65</v>
      </c>
      <c r="E54" s="590">
        <v>3664.58</v>
      </c>
      <c r="F54" s="587">
        <v>3860.55</v>
      </c>
      <c r="G54" s="587">
        <v>2905</v>
      </c>
      <c r="H54" s="587">
        <f t="shared" si="2"/>
        <v>-955.55000000000018</v>
      </c>
    </row>
    <row r="55" spans="1:8" x14ac:dyDescent="0.2">
      <c r="A55" s="589">
        <v>43042</v>
      </c>
      <c r="B55" s="590">
        <v>2153.36</v>
      </c>
      <c r="C55" s="590">
        <v>3165.08</v>
      </c>
      <c r="D55" s="590">
        <f>3171.04+47.44+30.24</f>
        <v>3248.72</v>
      </c>
      <c r="E55" s="590">
        <v>3792.71</v>
      </c>
      <c r="F55" s="587">
        <v>3942.48</v>
      </c>
      <c r="G55" s="587">
        <v>3169.18</v>
      </c>
      <c r="H55" s="587">
        <f t="shared" si="2"/>
        <v>-773.30000000000018</v>
      </c>
    </row>
    <row r="56" spans="1:8" x14ac:dyDescent="0.2">
      <c r="A56" s="589">
        <v>43049</v>
      </c>
      <c r="B56" s="590">
        <v>1549.7</v>
      </c>
      <c r="C56" s="590">
        <v>3024.18</v>
      </c>
      <c r="D56" s="590">
        <v>3967.37</v>
      </c>
      <c r="E56" s="590">
        <v>3804.52</v>
      </c>
      <c r="F56" s="587">
        <v>3933.48</v>
      </c>
      <c r="G56" s="587">
        <v>2670.04</v>
      </c>
      <c r="H56" s="587">
        <f t="shared" si="2"/>
        <v>-1263.44</v>
      </c>
    </row>
    <row r="57" spans="1:8" x14ac:dyDescent="0.2">
      <c r="A57" s="589">
        <v>43056</v>
      </c>
      <c r="B57" s="590">
        <f>(5311.2-178.1)*0.5</f>
        <v>2566.5499999999997</v>
      </c>
      <c r="C57" s="590">
        <v>3500.86</v>
      </c>
      <c r="D57" s="590">
        <v>4007.55</v>
      </c>
      <c r="E57" s="590">
        <v>3693.64</v>
      </c>
      <c r="F57" s="587">
        <v>3860.4</v>
      </c>
      <c r="G57" s="587">
        <v>2400.7199999999998</v>
      </c>
      <c r="H57" s="587">
        <f t="shared" si="2"/>
        <v>-1459.6800000000003</v>
      </c>
    </row>
    <row r="58" spans="1:8" x14ac:dyDescent="0.2">
      <c r="A58" s="589">
        <v>43063</v>
      </c>
      <c r="B58" s="590">
        <f>(5311.2-178.1)*0.5</f>
        <v>2566.5499999999997</v>
      </c>
      <c r="C58" s="590">
        <v>4015.8</v>
      </c>
      <c r="D58" s="590">
        <v>4445.62</v>
      </c>
      <c r="E58" s="590">
        <v>3499.88</v>
      </c>
      <c r="F58" s="587">
        <v>1675.8</v>
      </c>
      <c r="G58" s="587">
        <v>1268.44</v>
      </c>
      <c r="H58" s="587">
        <f t="shared" si="2"/>
        <v>-407.3599999999999</v>
      </c>
    </row>
    <row r="59" spans="1:8" x14ac:dyDescent="0.2">
      <c r="A59" s="589">
        <v>43070</v>
      </c>
      <c r="B59" s="590">
        <v>3577.34</v>
      </c>
      <c r="C59" s="590">
        <v>2434.3200000000002</v>
      </c>
      <c r="D59" s="590">
        <v>1953.09</v>
      </c>
      <c r="E59" s="590">
        <v>2000.54</v>
      </c>
      <c r="F59" s="587">
        <v>3669.06</v>
      </c>
      <c r="G59" s="587">
        <v>2816.72</v>
      </c>
      <c r="H59" s="587">
        <f t="shared" si="2"/>
        <v>-852.34000000000015</v>
      </c>
    </row>
    <row r="60" spans="1:8" x14ac:dyDescent="0.2">
      <c r="A60" s="589">
        <v>43077</v>
      </c>
      <c r="B60" s="590">
        <v>3486.12</v>
      </c>
      <c r="C60" s="590">
        <v>3291.9</v>
      </c>
      <c r="D60" s="590">
        <v>3710.06</v>
      </c>
      <c r="E60" s="590">
        <f>2372.46+627.88</f>
        <v>3000.34</v>
      </c>
      <c r="F60" s="587">
        <v>3225.52</v>
      </c>
      <c r="G60" s="587">
        <v>2427</v>
      </c>
      <c r="H60" s="587">
        <f t="shared" si="2"/>
        <v>-798.52</v>
      </c>
    </row>
    <row r="61" spans="1:8" x14ac:dyDescent="0.2">
      <c r="A61" s="589">
        <v>43084</v>
      </c>
      <c r="B61" s="590">
        <v>3539.16</v>
      </c>
      <c r="C61" s="590">
        <v>4047.94</v>
      </c>
      <c r="D61" s="590">
        <v>3873.59</v>
      </c>
      <c r="E61" s="590">
        <v>4104.09</v>
      </c>
      <c r="F61" s="587">
        <v>2933.78</v>
      </c>
      <c r="G61" s="587">
        <v>2427</v>
      </c>
      <c r="H61" s="587">
        <f t="shared" si="2"/>
        <v>-506.7800000000002</v>
      </c>
    </row>
    <row r="62" spans="1:8" x14ac:dyDescent="0.2">
      <c r="A62" s="589">
        <v>43091</v>
      </c>
      <c r="B62" s="590">
        <v>1609.64</v>
      </c>
      <c r="C62" s="590">
        <v>3903.54</v>
      </c>
      <c r="D62" s="590">
        <v>3580.24</v>
      </c>
      <c r="E62" s="590">
        <v>3625.1</v>
      </c>
      <c r="F62" s="587">
        <v>3555.5</v>
      </c>
      <c r="G62" s="587">
        <v>2649.12</v>
      </c>
      <c r="H62" s="587">
        <f t="shared" si="2"/>
        <v>-906.38000000000011</v>
      </c>
    </row>
    <row r="63" spans="1:8" ht="15" thickBot="1" x14ac:dyDescent="0.25">
      <c r="A63" s="598">
        <v>43098</v>
      </c>
      <c r="B63" s="599">
        <v>5154.84</v>
      </c>
      <c r="C63" s="599">
        <v>2331.48</v>
      </c>
      <c r="D63" s="599">
        <v>2383.63</v>
      </c>
      <c r="E63" s="599">
        <v>2256.69</v>
      </c>
      <c r="F63" s="600">
        <v>2486.06</v>
      </c>
      <c r="G63" s="600">
        <v>2088.3000000000002</v>
      </c>
      <c r="H63" s="587">
        <f t="shared" si="2"/>
        <v>-397.75999999999976</v>
      </c>
    </row>
    <row r="64" spans="1:8" ht="16.5" thickBot="1" x14ac:dyDescent="0.25">
      <c r="A64" s="595" t="s">
        <v>313</v>
      </c>
      <c r="B64" s="596">
        <f>SUM(B51:B63)</f>
        <v>37331.74</v>
      </c>
      <c r="C64" s="596">
        <f>SUM(C51:C63)</f>
        <v>44785.08</v>
      </c>
      <c r="D64" s="596">
        <f>SUM(D51:D63)</f>
        <v>45963.939999999988</v>
      </c>
      <c r="E64" s="596">
        <f>SUM(E51:E63)</f>
        <v>43883.54</v>
      </c>
      <c r="F64" s="596">
        <f>SUM(F51:F63)</f>
        <v>44409.409999999996</v>
      </c>
      <c r="G64" s="596">
        <f t="shared" ref="G64" si="5">SUM(G51:G63)</f>
        <v>33194.78</v>
      </c>
      <c r="H64" s="596">
        <f>SUM(H51:H63)</f>
        <v>-11214.63</v>
      </c>
    </row>
    <row r="65" spans="1:8" ht="15.75" x14ac:dyDescent="0.25">
      <c r="A65" s="601" t="s">
        <v>314</v>
      </c>
      <c r="B65" s="602">
        <f t="shared" ref="B65:H65" si="6">SUM(B9:B63)-B22-B36-B50</f>
        <v>139328.74</v>
      </c>
      <c r="C65" s="602">
        <f t="shared" si="6"/>
        <v>199253.05999999985</v>
      </c>
      <c r="D65" s="602">
        <f t="shared" si="6"/>
        <v>184010.66000000003</v>
      </c>
      <c r="E65" s="602">
        <f t="shared" si="6"/>
        <v>185097.12000000014</v>
      </c>
      <c r="F65" s="602">
        <f t="shared" si="6"/>
        <v>194384.88000000003</v>
      </c>
      <c r="G65" s="602">
        <f t="shared" si="6"/>
        <v>157031.36999999994</v>
      </c>
      <c r="H65" s="602">
        <f t="shared" si="6"/>
        <v>-37353.509999999995</v>
      </c>
    </row>
    <row r="66" spans="1:8" x14ac:dyDescent="0.2">
      <c r="A66" s="57" t="s">
        <v>315</v>
      </c>
      <c r="B66" s="603">
        <f t="shared" ref="B66:G66" si="7">AVERAGE(B9:B21)</f>
        <v>2043.7076923076925</v>
      </c>
      <c r="C66" s="604">
        <f t="shared" si="7"/>
        <v>3924.3692307692318</v>
      </c>
      <c r="D66" s="604">
        <f t="shared" si="7"/>
        <v>3374.6030769230765</v>
      </c>
      <c r="E66" s="604">
        <f t="shared" si="7"/>
        <v>3340.4923076923073</v>
      </c>
      <c r="F66" s="604">
        <f t="shared" si="7"/>
        <v>3902.6661538461535</v>
      </c>
      <c r="G66" s="603">
        <f t="shared" si="7"/>
        <v>2699.5315384615378</v>
      </c>
      <c r="H66" s="605">
        <f>G66-F66</f>
        <v>-1203.1346153846157</v>
      </c>
    </row>
    <row r="67" spans="1:8" x14ac:dyDescent="0.2">
      <c r="A67" s="57" t="s">
        <v>316</v>
      </c>
      <c r="B67" s="606">
        <f t="shared" ref="B67:G67" si="8">AVERAGE(B23:B35)</f>
        <v>3333.5307692307692</v>
      </c>
      <c r="C67" s="607">
        <f t="shared" si="8"/>
        <v>4248.3623076923086</v>
      </c>
      <c r="D67" s="607">
        <f t="shared" si="8"/>
        <v>3601.1915384615381</v>
      </c>
      <c r="E67" s="607">
        <f t="shared" si="8"/>
        <v>3980.5784615384619</v>
      </c>
      <c r="F67" s="607">
        <f t="shared" si="8"/>
        <v>3883.5507692307683</v>
      </c>
      <c r="G67" s="606">
        <f t="shared" si="8"/>
        <v>3755.3823076923081</v>
      </c>
      <c r="H67" s="608">
        <f>G67-F67</f>
        <v>-128.16846153846018</v>
      </c>
    </row>
    <row r="68" spans="1:8" x14ac:dyDescent="0.2">
      <c r="A68" s="57" t="s">
        <v>317</v>
      </c>
      <c r="B68" s="606">
        <f t="shared" ref="B68:F68" si="9">AVERAGE(B37:B49)</f>
        <v>2468.6846153846154</v>
      </c>
      <c r="C68" s="607">
        <f t="shared" si="9"/>
        <v>3709.4207692307691</v>
      </c>
      <c r="D68" s="607">
        <f t="shared" si="9"/>
        <v>3643.1838461538459</v>
      </c>
      <c r="E68" s="607">
        <f t="shared" si="9"/>
        <v>3541.5123076923078</v>
      </c>
      <c r="F68" s="607">
        <f t="shared" si="9"/>
        <v>3750.3576923076917</v>
      </c>
      <c r="G68" s="607">
        <f>AVERAGE(G37:G49)</f>
        <v>3070.9776923076925</v>
      </c>
      <c r="H68" s="608">
        <f>G68-F68</f>
        <v>-679.3799999999992</v>
      </c>
    </row>
    <row r="69" spans="1:8" x14ac:dyDescent="0.2">
      <c r="A69" s="57" t="s">
        <v>318</v>
      </c>
      <c r="B69" s="609">
        <f t="shared" ref="B69:G69" si="10">AVERAGE(B51:B63)</f>
        <v>2871.6723076923076</v>
      </c>
      <c r="C69" s="610">
        <f t="shared" si="10"/>
        <v>3445.0061538461541</v>
      </c>
      <c r="D69" s="610">
        <f t="shared" si="10"/>
        <v>3535.6876923076916</v>
      </c>
      <c r="E69" s="611">
        <f t="shared" si="10"/>
        <v>3375.6569230769232</v>
      </c>
      <c r="F69" s="611">
        <f t="shared" si="10"/>
        <v>3416.1084615384611</v>
      </c>
      <c r="G69" s="611">
        <f t="shared" si="10"/>
        <v>2553.4446153846152</v>
      </c>
      <c r="H69" s="612">
        <f>G69-F69</f>
        <v>-862.66384615384595</v>
      </c>
    </row>
    <row r="71" spans="1:8" x14ac:dyDescent="0.2">
      <c r="H71" s="579"/>
    </row>
    <row r="74" spans="1:8" x14ac:dyDescent="0.2">
      <c r="C74" s="580"/>
    </row>
    <row r="75" spans="1:8" x14ac:dyDescent="0.2">
      <c r="C75" s="580"/>
    </row>
  </sheetData>
  <mergeCells count="1">
    <mergeCell ref="A5:H5"/>
  </mergeCells>
  <pageMargins left="1.2" right="0.2" top="0.25" bottom="0.5" header="0.3" footer="0.3"/>
  <pageSetup scale="7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100</v>
      </c>
      <c r="B1" s="60"/>
      <c r="C1" s="61"/>
      <c r="D1" s="61"/>
      <c r="E1" s="61"/>
      <c r="F1" s="60"/>
      <c r="G1" s="233"/>
      <c r="H1" s="522"/>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278</v>
      </c>
      <c r="B2" s="60"/>
      <c r="C2" s="61"/>
      <c r="D2" s="61"/>
      <c r="E2" s="61"/>
      <c r="F2" s="60"/>
      <c r="G2" s="233"/>
      <c r="H2" s="522"/>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272</v>
      </c>
      <c r="B3" s="60"/>
      <c r="C3" s="61"/>
      <c r="D3" s="61"/>
      <c r="E3" s="61"/>
      <c r="F3" s="60"/>
      <c r="G3" s="233"/>
      <c r="H3" s="522"/>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279</v>
      </c>
      <c r="B4" s="60"/>
      <c r="C4" s="61"/>
      <c r="D4" s="61"/>
      <c r="E4" s="61"/>
      <c r="F4" s="60"/>
      <c r="G4" s="233"/>
      <c r="H4" s="522"/>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34"/>
      <c r="H5" s="52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19" t="s">
        <v>54</v>
      </c>
      <c r="H6" s="508"/>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35"/>
      <c r="H7" s="381"/>
    </row>
    <row r="8" spans="1:143" s="73" customFormat="1" ht="21" thickBot="1" x14ac:dyDescent="0.35">
      <c r="A8" s="70"/>
      <c r="B8" s="154" t="s">
        <v>106</v>
      </c>
      <c r="C8" s="154"/>
      <c r="D8" s="154"/>
      <c r="E8" s="154"/>
      <c r="F8" s="154"/>
      <c r="G8" s="287"/>
      <c r="H8" s="524"/>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35" t="s">
        <v>107</v>
      </c>
      <c r="D9" s="435"/>
      <c r="E9" s="435"/>
      <c r="F9" s="74"/>
      <c r="G9" s="268">
        <v>1015000</v>
      </c>
      <c r="H9" s="381"/>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35" t="s">
        <v>181</v>
      </c>
      <c r="D10" s="435"/>
      <c r="E10" s="435"/>
      <c r="F10" s="74"/>
      <c r="G10" s="269">
        <v>13000</v>
      </c>
      <c r="H10" s="381"/>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06"/>
      <c r="C11" s="435" t="s">
        <v>157</v>
      </c>
      <c r="D11" s="435"/>
      <c r="E11" s="435"/>
      <c r="F11" s="74"/>
      <c r="G11" s="269">
        <v>195000</v>
      </c>
      <c r="H11" s="381"/>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06"/>
      <c r="C12" s="435" t="s">
        <v>187</v>
      </c>
      <c r="D12" s="435"/>
      <c r="E12" s="435"/>
      <c r="F12" s="74"/>
      <c r="G12" s="269">
        <v>40000</v>
      </c>
      <c r="H12" s="381"/>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06"/>
      <c r="C13" s="435" t="s">
        <v>108</v>
      </c>
      <c r="D13" s="435"/>
      <c r="E13" s="435"/>
      <c r="F13" s="74"/>
      <c r="G13" s="269"/>
      <c r="H13" s="381"/>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06"/>
      <c r="C14" s="78"/>
      <c r="D14" s="435" t="s">
        <v>146</v>
      </c>
      <c r="E14" s="435"/>
      <c r="F14" s="74"/>
      <c r="G14" s="269">
        <f>43900+41500+122000</f>
        <v>207400</v>
      </c>
      <c r="H14" s="381"/>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06"/>
      <c r="C15" s="78"/>
      <c r="D15" s="435" t="s">
        <v>166</v>
      </c>
      <c r="E15" s="435"/>
      <c r="F15" s="74"/>
      <c r="G15" s="269">
        <v>11000</v>
      </c>
      <c r="H15" s="381"/>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06"/>
      <c r="C16" s="435" t="s">
        <v>109</v>
      </c>
      <c r="D16" s="435"/>
      <c r="E16" s="435"/>
      <c r="F16" s="74"/>
      <c r="G16" s="269">
        <v>9500</v>
      </c>
      <c r="H16" s="381"/>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06"/>
      <c r="C17" s="435" t="s">
        <v>116</v>
      </c>
      <c r="D17" s="435"/>
      <c r="E17" s="435"/>
      <c r="F17" s="74"/>
      <c r="G17" s="269">
        <v>1000</v>
      </c>
      <c r="H17" s="381"/>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06"/>
      <c r="C18" s="435" t="s">
        <v>250</v>
      </c>
      <c r="D18" s="435"/>
      <c r="E18" s="435"/>
      <c r="F18" s="74"/>
      <c r="G18" s="269">
        <v>3000</v>
      </c>
      <c r="H18" s="381"/>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06"/>
      <c r="C19" s="435" t="s">
        <v>251</v>
      </c>
      <c r="D19" s="435"/>
      <c r="E19" s="435"/>
      <c r="F19" s="74"/>
      <c r="G19" s="269">
        <f>25000+8000+20000</f>
        <v>53000</v>
      </c>
      <c r="H19" s="381"/>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06"/>
      <c r="C20" s="435" t="s">
        <v>152</v>
      </c>
      <c r="D20" s="435"/>
      <c r="E20" s="435"/>
      <c r="F20" s="74"/>
      <c r="G20" s="269">
        <v>500</v>
      </c>
      <c r="H20" s="381"/>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06"/>
      <c r="C21" s="435" t="s">
        <v>172</v>
      </c>
      <c r="D21" s="435"/>
      <c r="E21" s="435"/>
      <c r="F21" s="74"/>
      <c r="G21" s="269"/>
      <c r="H21" s="381"/>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06"/>
      <c r="C22" s="435" t="s">
        <v>115</v>
      </c>
      <c r="D22" s="435"/>
      <c r="E22" s="435"/>
      <c r="F22" s="74"/>
      <c r="G22" s="270">
        <v>46575</v>
      </c>
      <c r="H22" s="381"/>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06"/>
      <c r="C23" s="435"/>
      <c r="D23" s="74" t="s">
        <v>111</v>
      </c>
      <c r="E23" s="435"/>
      <c r="F23" s="74"/>
      <c r="G23" s="237">
        <f>SUM(G9:G22)</f>
        <v>1594975</v>
      </c>
      <c r="H23" s="381"/>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06"/>
      <c r="C24" s="74" t="s">
        <v>112</v>
      </c>
      <c r="D24" s="435"/>
      <c r="E24" s="435"/>
      <c r="F24" s="74"/>
      <c r="G24" s="245">
        <f>68000+18000</f>
        <v>86000</v>
      </c>
      <c r="H24" s="381"/>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06"/>
      <c r="C25" s="435"/>
      <c r="D25" s="74" t="s">
        <v>113</v>
      </c>
      <c r="E25" s="435"/>
      <c r="F25" s="74"/>
      <c r="G25" s="237">
        <f>SUM(G23:G24)</f>
        <v>1680975</v>
      </c>
      <c r="H25" s="381"/>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06"/>
      <c r="C26" s="435"/>
      <c r="D26" s="74"/>
      <c r="E26" s="435"/>
      <c r="F26" s="74"/>
      <c r="G26" s="237"/>
      <c r="H26" s="381"/>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07" t="s">
        <v>117</v>
      </c>
      <c r="C27" s="88"/>
      <c r="D27" s="88"/>
      <c r="E27" s="88"/>
      <c r="F27" s="88"/>
      <c r="G27" s="245"/>
      <c r="H27" s="381"/>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08"/>
      <c r="C28" s="80" t="s">
        <v>118</v>
      </c>
      <c r="D28" s="80"/>
      <c r="E28" s="80"/>
      <c r="F28" s="80"/>
      <c r="G28" s="235">
        <f>ROUND((898643.55+40000)*1.02,-2)</f>
        <v>957400</v>
      </c>
      <c r="H28" s="381"/>
    </row>
    <row r="29" spans="1:143" s="69" customFormat="1" ht="20.25" x14ac:dyDescent="0.2">
      <c r="A29" s="68"/>
      <c r="B29" s="408"/>
      <c r="C29" s="80" t="s">
        <v>119</v>
      </c>
      <c r="D29" s="80"/>
      <c r="E29" s="80"/>
      <c r="F29" s="80"/>
      <c r="G29" s="235">
        <f>ROUNDUP(G28*0.195,-2)</f>
        <v>186700</v>
      </c>
      <c r="H29" s="381"/>
    </row>
    <row r="30" spans="1:143" s="69" customFormat="1" ht="20.25" x14ac:dyDescent="0.2">
      <c r="A30" s="68"/>
      <c r="B30" s="408"/>
      <c r="C30" s="80" t="s">
        <v>120</v>
      </c>
      <c r="D30" s="80"/>
      <c r="E30" s="80"/>
      <c r="F30" s="80"/>
      <c r="G30" s="235">
        <f>48831-G22</f>
        <v>2256</v>
      </c>
      <c r="H30" s="381"/>
    </row>
    <row r="31" spans="1:143" s="69" customFormat="1" ht="20.25" x14ac:dyDescent="0.2">
      <c r="A31" s="68"/>
      <c r="B31" s="408"/>
      <c r="C31" s="80" t="s">
        <v>110</v>
      </c>
      <c r="D31" s="80"/>
      <c r="E31" s="80"/>
      <c r="F31" s="80"/>
      <c r="G31" s="235">
        <f>G22</f>
        <v>46575</v>
      </c>
      <c r="H31" s="381"/>
    </row>
    <row r="32" spans="1:143" s="69" customFormat="1" ht="20.25" x14ac:dyDescent="0.2">
      <c r="A32" s="68"/>
      <c r="B32" s="408"/>
      <c r="C32" s="80" t="s">
        <v>121</v>
      </c>
      <c r="D32" s="80"/>
      <c r="E32" s="80"/>
      <c r="F32" s="80"/>
      <c r="G32" s="235">
        <v>14000</v>
      </c>
      <c r="H32" s="381"/>
    </row>
    <row r="33" spans="1:8" s="69" customFormat="1" ht="20.25" x14ac:dyDescent="0.2">
      <c r="A33" s="68"/>
      <c r="B33" s="408"/>
      <c r="C33" s="80" t="s">
        <v>122</v>
      </c>
      <c r="D33" s="80"/>
      <c r="E33" s="80"/>
      <c r="F33" s="80"/>
      <c r="G33" s="235">
        <v>3500</v>
      </c>
      <c r="H33" s="381"/>
    </row>
    <row r="34" spans="1:8" s="69" customFormat="1" ht="20.25" x14ac:dyDescent="0.2">
      <c r="A34" s="68"/>
      <c r="B34" s="408"/>
      <c r="C34" s="80" t="s">
        <v>123</v>
      </c>
      <c r="D34" s="80"/>
      <c r="E34" s="80"/>
      <c r="F34" s="80"/>
      <c r="G34" s="235">
        <v>7000</v>
      </c>
      <c r="H34" s="381"/>
    </row>
    <row r="35" spans="1:8" s="69" customFormat="1" ht="20.25" x14ac:dyDescent="0.2">
      <c r="A35" s="68"/>
      <c r="B35" s="408"/>
      <c r="C35" s="80" t="s">
        <v>124</v>
      </c>
      <c r="D35" s="80"/>
      <c r="E35" s="80"/>
      <c r="F35" s="80"/>
      <c r="G35" s="235">
        <v>13500</v>
      </c>
      <c r="H35" s="381"/>
    </row>
    <row r="36" spans="1:8" s="69" customFormat="1" ht="20.25" x14ac:dyDescent="0.2">
      <c r="A36" s="68"/>
      <c r="B36" s="408"/>
      <c r="C36" s="80" t="s">
        <v>125</v>
      </c>
      <c r="D36" s="80"/>
      <c r="E36" s="80"/>
      <c r="F36" s="80"/>
      <c r="G36" s="235">
        <v>40000</v>
      </c>
      <c r="H36" s="381"/>
    </row>
    <row r="37" spans="1:8" s="69" customFormat="1" ht="20.25" x14ac:dyDescent="0.2">
      <c r="A37" s="68"/>
      <c r="B37" s="408"/>
      <c r="C37" s="80" t="s">
        <v>126</v>
      </c>
      <c r="D37" s="80"/>
      <c r="E37" s="80"/>
      <c r="F37" s="80"/>
      <c r="G37" s="235">
        <v>6600</v>
      </c>
      <c r="H37" s="381"/>
    </row>
    <row r="38" spans="1:8" s="69" customFormat="1" ht="20.25" x14ac:dyDescent="0.2">
      <c r="A38" s="68"/>
      <c r="B38" s="408"/>
      <c r="C38" s="80" t="s">
        <v>127</v>
      </c>
      <c r="D38" s="80"/>
      <c r="E38" s="80"/>
      <c r="F38" s="80"/>
      <c r="G38" s="235">
        <v>1500</v>
      </c>
      <c r="H38" s="381"/>
    </row>
    <row r="39" spans="1:8" s="69" customFormat="1" ht="20.25" x14ac:dyDescent="0.2">
      <c r="A39" s="68"/>
      <c r="B39" s="408"/>
      <c r="C39" s="80" t="s">
        <v>174</v>
      </c>
      <c r="D39" s="80"/>
      <c r="E39" s="80"/>
      <c r="F39" s="80"/>
      <c r="G39" s="235">
        <v>13700</v>
      </c>
      <c r="H39" s="381"/>
    </row>
    <row r="40" spans="1:8" s="77" customFormat="1" ht="20.25" x14ac:dyDescent="0.2">
      <c r="A40" s="80"/>
      <c r="B40" s="404"/>
      <c r="C40" s="80" t="s">
        <v>128</v>
      </c>
      <c r="D40" s="80"/>
      <c r="E40" s="80"/>
      <c r="F40" s="80"/>
      <c r="G40" s="333">
        <f>ROUNDUP(13248.87*1.05,-2)</f>
        <v>14000</v>
      </c>
      <c r="H40" s="380"/>
    </row>
    <row r="41" spans="1:8" s="77" customFormat="1" ht="20.25" x14ac:dyDescent="0.2">
      <c r="A41" s="80"/>
      <c r="B41" s="404"/>
      <c r="C41" s="80" t="s">
        <v>129</v>
      </c>
      <c r="D41" s="80"/>
      <c r="E41" s="80"/>
      <c r="F41" s="80"/>
      <c r="G41" s="235">
        <f>ROUNDUP(12343.85*1.03,-2)</f>
        <v>12800</v>
      </c>
      <c r="H41" s="380"/>
    </row>
    <row r="42" spans="1:8" s="77" customFormat="1" ht="20.25" x14ac:dyDescent="0.2">
      <c r="A42" s="80"/>
      <c r="B42" s="404"/>
      <c r="C42" s="80" t="s">
        <v>136</v>
      </c>
      <c r="D42" s="80"/>
      <c r="E42" s="80"/>
      <c r="F42" s="80"/>
      <c r="G42" s="235">
        <v>3000</v>
      </c>
      <c r="H42" s="380"/>
    </row>
    <row r="43" spans="1:8" s="77" customFormat="1" ht="20.25" x14ac:dyDescent="0.2">
      <c r="A43" s="80"/>
      <c r="B43" s="404"/>
      <c r="C43" s="80" t="s">
        <v>130</v>
      </c>
      <c r="D43" s="80"/>
      <c r="E43" s="80"/>
      <c r="F43" s="80"/>
      <c r="G43" s="333">
        <f>ROUNDUP((3067.88+8008.83)*1.05,-2)</f>
        <v>11700</v>
      </c>
      <c r="H43" s="380"/>
    </row>
    <row r="44" spans="1:8" s="69" customFormat="1" ht="20.25" x14ac:dyDescent="0.2">
      <c r="A44" s="68"/>
      <c r="B44" s="408"/>
      <c r="C44" s="80" t="s">
        <v>209</v>
      </c>
      <c r="D44" s="80"/>
      <c r="E44" s="80"/>
      <c r="F44" s="80"/>
      <c r="G44" s="235">
        <v>17000</v>
      </c>
      <c r="H44" s="381"/>
    </row>
    <row r="45" spans="1:8" s="77" customFormat="1" ht="20.25" x14ac:dyDescent="0.2">
      <c r="A45" s="80"/>
      <c r="B45" s="404"/>
      <c r="C45" s="80" t="s">
        <v>131</v>
      </c>
      <c r="D45" s="80"/>
      <c r="E45" s="80"/>
      <c r="F45" s="80"/>
      <c r="G45" s="333">
        <v>41000</v>
      </c>
      <c r="H45" s="380"/>
    </row>
    <row r="46" spans="1:8" s="77" customFormat="1" ht="20.25" x14ac:dyDescent="0.2">
      <c r="A46" s="80"/>
      <c r="B46" s="404"/>
      <c r="C46" s="80" t="s">
        <v>132</v>
      </c>
      <c r="D46" s="80"/>
      <c r="E46" s="80"/>
      <c r="F46" s="80"/>
      <c r="G46" s="333">
        <f>ROUNDUP((1800+4675.64+34905.29+1033.01-10000-2673-17150-1033+14000)*1.01,-2)</f>
        <v>25900</v>
      </c>
      <c r="H46" s="380"/>
    </row>
    <row r="47" spans="1:8" s="77" customFormat="1" ht="20.25" x14ac:dyDescent="0.2">
      <c r="A47" s="80"/>
      <c r="B47" s="404"/>
      <c r="C47" s="80" t="s">
        <v>175</v>
      </c>
      <c r="D47" s="80"/>
      <c r="E47" s="80"/>
      <c r="F47" s="80"/>
      <c r="G47" s="235">
        <v>36000</v>
      </c>
      <c r="H47" s="380"/>
    </row>
    <row r="48" spans="1:8" s="77" customFormat="1" ht="20.25" x14ac:dyDescent="0.2">
      <c r="A48" s="80"/>
      <c r="B48" s="404"/>
      <c r="C48" s="80" t="s">
        <v>173</v>
      </c>
      <c r="D48" s="80"/>
      <c r="E48" s="80"/>
      <c r="F48" s="80"/>
      <c r="G48" s="235">
        <f>ROUNDUP(46266.27*1.02,-2)</f>
        <v>47200</v>
      </c>
      <c r="H48" s="380"/>
    </row>
    <row r="49" spans="1:8" s="77" customFormat="1" ht="20.25" x14ac:dyDescent="0.2">
      <c r="A49" s="80"/>
      <c r="B49" s="404"/>
      <c r="C49" s="80" t="s">
        <v>133</v>
      </c>
      <c r="D49" s="80"/>
      <c r="E49" s="80"/>
      <c r="F49" s="80"/>
      <c r="G49" s="235">
        <f>ROUND((2604.31+166143.24-12000)*1.01,-2)</f>
        <v>158300</v>
      </c>
      <c r="H49" s="380"/>
    </row>
    <row r="50" spans="1:8" s="77" customFormat="1" ht="20.25" hidden="1" x14ac:dyDescent="0.2">
      <c r="A50" s="80"/>
      <c r="B50" s="404"/>
      <c r="C50" s="80" t="s">
        <v>274</v>
      </c>
      <c r="D50" s="80"/>
      <c r="E50" s="80"/>
      <c r="F50" s="80"/>
      <c r="G50" s="235"/>
      <c r="H50" s="380"/>
    </row>
    <row r="51" spans="1:8" s="69" customFormat="1" ht="20.25" x14ac:dyDescent="0.2">
      <c r="A51" s="68"/>
      <c r="B51" s="408"/>
      <c r="C51" s="68"/>
      <c r="D51" s="74" t="s">
        <v>134</v>
      </c>
      <c r="E51" s="68"/>
      <c r="F51" s="68"/>
      <c r="G51" s="240">
        <f>SUM(G28:G50)</f>
        <v>1659631</v>
      </c>
      <c r="H51" s="381"/>
    </row>
    <row r="52" spans="1:8" s="69" customFormat="1" ht="10.5" customHeight="1" thickBot="1" x14ac:dyDescent="0.25">
      <c r="A52" s="68"/>
      <c r="B52" s="408"/>
      <c r="C52" s="68"/>
      <c r="D52" s="74"/>
      <c r="E52" s="68"/>
      <c r="F52" s="68"/>
      <c r="G52" s="245"/>
      <c r="H52" s="381"/>
    </row>
    <row r="53" spans="1:8" s="69" customFormat="1" ht="21" thickBot="1" x14ac:dyDescent="0.25">
      <c r="A53" s="68"/>
      <c r="B53" s="408"/>
      <c r="C53" s="68"/>
      <c r="D53" s="68" t="s">
        <v>135</v>
      </c>
      <c r="E53" s="68"/>
      <c r="F53" s="68"/>
      <c r="G53" s="245">
        <f>G25-G51</f>
        <v>21344</v>
      </c>
      <c r="H53" s="381"/>
    </row>
    <row r="54" spans="1:8" s="69" customFormat="1" ht="11.25" customHeight="1" x14ac:dyDescent="0.2">
      <c r="A54" s="68"/>
      <c r="B54" s="408"/>
      <c r="C54" s="68"/>
      <c r="D54" s="68"/>
      <c r="E54" s="68"/>
      <c r="F54" s="68"/>
      <c r="G54" s="235"/>
      <c r="H54" s="381"/>
    </row>
    <row r="55" spans="1:8" s="77" customFormat="1" ht="20.25" x14ac:dyDescent="0.2">
      <c r="A55" s="80"/>
      <c r="B55" s="404"/>
      <c r="C55" s="80"/>
      <c r="D55" s="80"/>
      <c r="F55" s="80"/>
      <c r="G55" s="250"/>
      <c r="H55" s="380"/>
    </row>
    <row r="56" spans="1:8" s="77" customFormat="1" ht="20.25" x14ac:dyDescent="0.2">
      <c r="A56" s="80"/>
      <c r="B56" s="404"/>
      <c r="C56" s="80"/>
      <c r="D56" s="80"/>
      <c r="F56" s="80"/>
      <c r="G56" s="235"/>
      <c r="H56" s="380"/>
    </row>
    <row r="57" spans="1:8" s="77" customFormat="1" ht="20.25" x14ac:dyDescent="0.2">
      <c r="A57" s="80"/>
      <c r="B57" s="404"/>
      <c r="C57" s="80"/>
      <c r="D57" s="80"/>
      <c r="F57" s="80"/>
      <c r="G57" s="235"/>
      <c r="H57" s="380"/>
    </row>
    <row r="58" spans="1:8" s="77" customFormat="1" ht="20.25" x14ac:dyDescent="0.2">
      <c r="A58" s="80"/>
      <c r="B58" s="80"/>
      <c r="C58" s="80"/>
      <c r="D58" s="80"/>
      <c r="F58" s="80"/>
      <c r="G58" s="235"/>
      <c r="H58" s="380"/>
    </row>
    <row r="59" spans="1:8" s="77" customFormat="1" ht="20.25" x14ac:dyDescent="0.2">
      <c r="A59" s="80"/>
      <c r="B59" s="80"/>
      <c r="C59" s="80"/>
      <c r="D59" s="80"/>
      <c r="F59" s="80"/>
      <c r="G59" s="235"/>
      <c r="H59" s="380"/>
    </row>
    <row r="60" spans="1:8" s="77" customFormat="1" ht="20.25" x14ac:dyDescent="0.2">
      <c r="A60" s="80"/>
      <c r="B60" s="80"/>
      <c r="C60" s="80"/>
      <c r="D60" s="80"/>
      <c r="F60" s="80"/>
      <c r="G60" s="235"/>
      <c r="H60" s="380"/>
    </row>
    <row r="61" spans="1:8" s="77" customFormat="1" ht="20.25" x14ac:dyDescent="0.2">
      <c r="A61" s="80"/>
      <c r="B61" s="80"/>
      <c r="C61" s="68"/>
      <c r="D61" s="80"/>
      <c r="F61" s="80"/>
      <c r="G61" s="235"/>
      <c r="H61" s="380"/>
    </row>
    <row r="62" spans="1:8" s="77" customFormat="1" ht="20.25" x14ac:dyDescent="0.2">
      <c r="A62" s="80"/>
      <c r="B62" s="80"/>
      <c r="C62" s="80"/>
      <c r="D62" s="80"/>
      <c r="E62" s="80"/>
      <c r="F62" s="80"/>
      <c r="G62" s="235"/>
      <c r="H62" s="380"/>
    </row>
    <row r="63" spans="1:8" s="77" customFormat="1" ht="20.25" x14ac:dyDescent="0.2">
      <c r="A63" s="80"/>
      <c r="B63" s="80"/>
      <c r="C63" s="68"/>
      <c r="D63" s="68"/>
      <c r="G63" s="235"/>
      <c r="H63" s="380"/>
    </row>
    <row r="64" spans="1:8" s="77" customFormat="1" ht="20.25" x14ac:dyDescent="0.2">
      <c r="A64" s="80"/>
      <c r="B64" s="80"/>
      <c r="C64" s="80"/>
      <c r="D64" s="80"/>
      <c r="E64" s="80"/>
      <c r="F64" s="80"/>
      <c r="G64" s="235"/>
      <c r="H64" s="380"/>
    </row>
    <row r="65" spans="1:8" s="77" customFormat="1" ht="20.25" x14ac:dyDescent="0.2">
      <c r="A65" s="80"/>
      <c r="B65" s="80"/>
      <c r="C65" s="80"/>
      <c r="D65" s="80"/>
      <c r="E65" s="80"/>
      <c r="F65" s="80"/>
      <c r="G65" s="235"/>
      <c r="H65" s="380"/>
    </row>
    <row r="66" spans="1:8" s="77" customFormat="1" ht="20.25" x14ac:dyDescent="0.2">
      <c r="A66" s="80"/>
      <c r="B66" s="80"/>
      <c r="C66" s="80"/>
      <c r="D66" s="80"/>
      <c r="E66" s="80"/>
      <c r="F66" s="80"/>
      <c r="G66" s="235"/>
      <c r="H66" s="380"/>
    </row>
    <row r="67" spans="1:8" s="77" customFormat="1" ht="20.25" x14ac:dyDescent="0.2">
      <c r="A67" s="80"/>
      <c r="B67" s="80"/>
      <c r="C67" s="80"/>
      <c r="D67" s="80"/>
      <c r="E67" s="80"/>
      <c r="F67" s="80"/>
      <c r="G67" s="235"/>
      <c r="H67" s="380"/>
    </row>
    <row r="68" spans="1:8" s="77" customFormat="1" ht="20.25" x14ac:dyDescent="0.2">
      <c r="A68" s="80"/>
      <c r="B68" s="80"/>
      <c r="C68" s="68"/>
      <c r="D68" s="80"/>
      <c r="F68" s="80"/>
      <c r="G68" s="235"/>
      <c r="H68" s="380"/>
    </row>
    <row r="69" spans="1:8" s="77" customFormat="1" ht="20.25" x14ac:dyDescent="0.2">
      <c r="A69" s="80"/>
      <c r="B69" s="80"/>
      <c r="C69" s="80"/>
      <c r="D69" s="80"/>
      <c r="E69" s="80"/>
      <c r="F69" s="80"/>
      <c r="G69" s="235"/>
      <c r="H69" s="380"/>
    </row>
    <row r="70" spans="1:8" s="69" customFormat="1" ht="20.25" x14ac:dyDescent="0.2">
      <c r="A70" s="68"/>
      <c r="B70" s="68"/>
      <c r="C70" s="68"/>
      <c r="D70" s="68"/>
      <c r="E70" s="68"/>
      <c r="F70" s="68"/>
      <c r="G70" s="240"/>
      <c r="H70" s="381"/>
    </row>
    <row r="71" spans="1:8" s="69" customFormat="1" ht="20.25" x14ac:dyDescent="0.2">
      <c r="A71" s="68"/>
      <c r="B71" s="68"/>
      <c r="C71" s="68"/>
      <c r="D71" s="68"/>
      <c r="E71" s="68"/>
      <c r="F71" s="68"/>
      <c r="G71" s="240"/>
      <c r="H71" s="381"/>
    </row>
    <row r="72" spans="1:8" s="69" customFormat="1" ht="23.25" x14ac:dyDescent="0.2">
      <c r="A72" s="68"/>
      <c r="B72" s="276"/>
      <c r="C72" s="68"/>
      <c r="D72" s="68"/>
      <c r="E72" s="68"/>
      <c r="F72" s="68"/>
      <c r="G72" s="235"/>
      <c r="H72" s="381"/>
    </row>
    <row r="73" spans="1:8" s="77" customFormat="1" ht="20.25" x14ac:dyDescent="0.2">
      <c r="A73" s="80"/>
      <c r="B73" s="80"/>
      <c r="D73" s="80"/>
      <c r="E73" s="80"/>
      <c r="F73" s="80"/>
      <c r="G73" s="235"/>
      <c r="H73" s="380"/>
    </row>
    <row r="74" spans="1:8" s="77" customFormat="1" ht="20.25" x14ac:dyDescent="0.2">
      <c r="A74" s="80"/>
      <c r="B74" s="80"/>
      <c r="D74" s="80"/>
      <c r="E74" s="80"/>
      <c r="F74" s="80"/>
      <c r="G74" s="235"/>
      <c r="H74" s="380"/>
    </row>
    <row r="75" spans="1:8" s="69" customFormat="1" ht="20.25" x14ac:dyDescent="0.2">
      <c r="A75" s="68"/>
      <c r="B75" s="68"/>
      <c r="D75" s="80"/>
      <c r="E75" s="68"/>
      <c r="F75" s="68"/>
      <c r="G75" s="235"/>
      <c r="H75" s="381"/>
    </row>
    <row r="76" spans="1:8" s="69" customFormat="1" ht="23.25" x14ac:dyDescent="0.2">
      <c r="A76" s="68"/>
      <c r="B76" s="276"/>
      <c r="C76" s="68"/>
      <c r="D76" s="68"/>
      <c r="E76" s="68"/>
      <c r="F76" s="68"/>
      <c r="G76" s="240"/>
      <c r="H76" s="381"/>
    </row>
    <row r="77" spans="1:8" s="69" customFormat="1" ht="20.25" x14ac:dyDescent="0.2">
      <c r="A77" s="68"/>
      <c r="B77" s="68"/>
      <c r="C77" s="68"/>
      <c r="D77" s="68"/>
      <c r="E77" s="68"/>
      <c r="F77" s="68"/>
      <c r="G77" s="235"/>
      <c r="H77" s="381"/>
    </row>
    <row r="78" spans="1:8" s="83" customFormat="1" ht="26.25" x14ac:dyDescent="0.2">
      <c r="A78" s="273"/>
      <c r="B78" s="273"/>
      <c r="C78" s="273"/>
      <c r="D78" s="273"/>
      <c r="E78" s="273"/>
      <c r="F78" s="273"/>
      <c r="G78" s="274"/>
      <c r="H78" s="525"/>
    </row>
    <row r="79" spans="1:8" s="18" customFormat="1" x14ac:dyDescent="0.2">
      <c r="A79" s="123"/>
      <c r="B79" s="123"/>
      <c r="C79" s="123"/>
      <c r="D79" s="123"/>
      <c r="E79" s="123"/>
      <c r="F79" s="123"/>
      <c r="G79" s="277"/>
      <c r="H79" s="1"/>
    </row>
  </sheetData>
  <pageMargins left="0.45" right="0.45" top="0.5" bottom="0.5" header="0.3" footer="0.3"/>
  <pageSetup scale="7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100</v>
      </c>
      <c r="B1" s="60"/>
      <c r="C1" s="61"/>
      <c r="D1" s="61"/>
      <c r="E1" s="61"/>
      <c r="F1" s="60"/>
      <c r="G1" s="60"/>
    </row>
    <row r="2" spans="1:23" ht="26.25" x14ac:dyDescent="0.4">
      <c r="A2" s="59" t="s">
        <v>190</v>
      </c>
      <c r="B2" s="60"/>
      <c r="C2" s="61"/>
      <c r="D2" s="61"/>
      <c r="E2" s="61"/>
      <c r="F2" s="60"/>
      <c r="G2" s="60"/>
    </row>
    <row r="3" spans="1:23" ht="11.25" customHeight="1" thickBot="1" x14ac:dyDescent="0.25">
      <c r="A3" s="62"/>
      <c r="B3" s="62"/>
      <c r="C3" s="62"/>
      <c r="D3" s="62"/>
      <c r="E3" s="62"/>
      <c r="F3" s="62"/>
      <c r="G3" s="331"/>
    </row>
    <row r="4" spans="1:23" ht="27.75" thickTop="1" thickBot="1" x14ac:dyDescent="0.25">
      <c r="A4" s="65"/>
      <c r="B4" s="65"/>
      <c r="C4" s="65"/>
      <c r="D4" s="65" t="s">
        <v>53</v>
      </c>
      <c r="E4" s="65"/>
      <c r="F4" s="65"/>
      <c r="G4" s="420" t="s">
        <v>54</v>
      </c>
      <c r="H4" s="420"/>
      <c r="I4" s="420"/>
      <c r="J4" s="420"/>
      <c r="K4" s="420"/>
      <c r="L4" s="420"/>
      <c r="M4" s="420"/>
      <c r="N4" s="420"/>
      <c r="O4" s="420"/>
      <c r="P4" s="420"/>
      <c r="Q4" s="420"/>
      <c r="R4" s="420"/>
      <c r="S4" s="420"/>
      <c r="T4" s="420"/>
      <c r="U4" s="420"/>
      <c r="V4" s="420"/>
      <c r="W4" s="420"/>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23"/>
      <c r="B6" s="829" t="s">
        <v>191</v>
      </c>
      <c r="C6" s="829"/>
      <c r="D6" s="829"/>
      <c r="E6" s="829"/>
      <c r="F6" s="829"/>
      <c r="G6" s="424">
        <v>42004</v>
      </c>
      <c r="H6" s="424">
        <v>41639</v>
      </c>
      <c r="I6" s="424">
        <v>41274</v>
      </c>
      <c r="J6" s="424">
        <v>41090</v>
      </c>
      <c r="K6" s="424">
        <v>40724</v>
      </c>
      <c r="L6" s="424">
        <v>40359</v>
      </c>
      <c r="M6" s="424">
        <v>39994</v>
      </c>
      <c r="N6" s="424">
        <v>39629</v>
      </c>
      <c r="O6" s="424">
        <v>39263</v>
      </c>
      <c r="P6" s="424">
        <v>38898</v>
      </c>
      <c r="Q6" s="424">
        <v>38533</v>
      </c>
      <c r="R6" s="424">
        <v>38168</v>
      </c>
      <c r="S6" s="424">
        <v>37802</v>
      </c>
      <c r="T6" s="424">
        <v>37437</v>
      </c>
      <c r="U6" s="424">
        <v>37072</v>
      </c>
      <c r="V6" s="424">
        <v>36707</v>
      </c>
      <c r="W6" s="424">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192</v>
      </c>
      <c r="D8" s="74"/>
      <c r="E8" s="74"/>
      <c r="F8" s="74"/>
      <c r="G8" s="248">
        <v>333525.67</v>
      </c>
      <c r="H8" s="248">
        <v>210919</v>
      </c>
      <c r="I8" s="248">
        <v>214148</v>
      </c>
      <c r="J8" s="248">
        <v>156809</v>
      </c>
      <c r="K8" s="248">
        <v>240314</v>
      </c>
      <c r="L8" s="248">
        <v>142815</v>
      </c>
      <c r="M8" s="248">
        <v>82502</v>
      </c>
      <c r="N8" s="248">
        <v>45758</v>
      </c>
      <c r="O8" s="248">
        <v>105458</v>
      </c>
      <c r="P8" s="248">
        <v>29475</v>
      </c>
      <c r="Q8" s="248">
        <v>22537</v>
      </c>
      <c r="R8" s="248">
        <v>42935</v>
      </c>
      <c r="S8" s="248">
        <v>144393</v>
      </c>
      <c r="T8" s="248">
        <v>42414</v>
      </c>
      <c r="U8" s="248">
        <f>69880+9123</f>
        <v>79003</v>
      </c>
      <c r="V8" s="248">
        <v>92767</v>
      </c>
      <c r="W8" s="248">
        <v>13150</v>
      </c>
    </row>
    <row r="9" spans="1:23" ht="20.25" x14ac:dyDescent="0.2">
      <c r="A9" s="421"/>
      <c r="B9" s="421"/>
      <c r="C9" s="74" t="s">
        <v>193</v>
      </c>
      <c r="D9" s="80"/>
      <c r="E9" s="80"/>
      <c r="F9" s="80"/>
      <c r="G9" s="286">
        <v>247907.12</v>
      </c>
      <c r="H9" s="286">
        <v>311775</v>
      </c>
      <c r="I9" s="286">
        <v>243797</v>
      </c>
      <c r="J9" s="286">
        <v>347870</v>
      </c>
      <c r="K9" s="286">
        <v>298266</v>
      </c>
      <c r="L9" s="286">
        <v>296605</v>
      </c>
      <c r="M9" s="286">
        <v>349918</v>
      </c>
      <c r="N9" s="286">
        <v>366842</v>
      </c>
      <c r="O9" s="286">
        <v>209667</v>
      </c>
      <c r="P9" s="286">
        <v>234735</v>
      </c>
      <c r="Q9" s="286">
        <v>254712</v>
      </c>
      <c r="R9" s="286">
        <v>250225</v>
      </c>
      <c r="S9" s="286">
        <v>85795</v>
      </c>
      <c r="T9" s="286">
        <v>185461</v>
      </c>
      <c r="U9" s="286">
        <v>99322</v>
      </c>
      <c r="V9" s="286">
        <v>80619</v>
      </c>
      <c r="W9" s="286">
        <v>49127</v>
      </c>
    </row>
    <row r="10" spans="1:23" ht="20.25" x14ac:dyDescent="0.2">
      <c r="A10" s="421"/>
      <c r="B10" s="421"/>
      <c r="C10" s="830" t="s">
        <v>168</v>
      </c>
      <c r="D10" s="830"/>
      <c r="E10" s="830"/>
      <c r="F10" s="830"/>
      <c r="G10" s="286">
        <v>0</v>
      </c>
      <c r="H10" s="286">
        <v>5142</v>
      </c>
      <c r="I10" s="286"/>
      <c r="J10" s="286"/>
      <c r="K10" s="286"/>
      <c r="L10" s="286"/>
      <c r="M10" s="286"/>
      <c r="N10" s="286"/>
      <c r="O10" s="286"/>
      <c r="P10" s="286"/>
      <c r="Q10" s="286"/>
      <c r="R10" s="286">
        <v>23</v>
      </c>
      <c r="S10" s="286">
        <v>4823</v>
      </c>
      <c r="T10" s="286">
        <v>6130</v>
      </c>
      <c r="U10" s="286">
        <v>19833</v>
      </c>
      <c r="V10" s="286"/>
      <c r="W10" s="286"/>
    </row>
    <row r="11" spans="1:23" ht="20.25" x14ac:dyDescent="0.2">
      <c r="A11" s="421"/>
      <c r="B11" s="421"/>
      <c r="C11" s="74" t="s">
        <v>194</v>
      </c>
      <c r="D11" s="421"/>
      <c r="E11" s="421"/>
      <c r="F11" s="421"/>
      <c r="G11" s="237">
        <v>31129.64</v>
      </c>
      <c r="H11" s="237">
        <v>30012</v>
      </c>
      <c r="I11" s="237">
        <v>30964</v>
      </c>
      <c r="J11" s="237">
        <v>30506</v>
      </c>
      <c r="K11" s="237">
        <v>28900</v>
      </c>
      <c r="L11" s="237">
        <v>28036</v>
      </c>
      <c r="M11" s="237"/>
      <c r="N11" s="237"/>
      <c r="O11" s="237"/>
      <c r="P11" s="237"/>
      <c r="Q11" s="237"/>
      <c r="R11" s="237"/>
      <c r="S11" s="237"/>
      <c r="T11" s="237"/>
      <c r="U11" s="237"/>
      <c r="V11" s="237"/>
      <c r="W11" s="237"/>
    </row>
    <row r="12" spans="1:23" ht="20.25" x14ac:dyDescent="0.2">
      <c r="A12" s="421"/>
      <c r="B12" s="421"/>
      <c r="C12" s="74" t="s">
        <v>164</v>
      </c>
      <c r="D12" s="79"/>
      <c r="E12" s="79"/>
      <c r="F12" s="79"/>
      <c r="G12" s="238">
        <v>5968.8799999999992</v>
      </c>
      <c r="H12" s="238">
        <v>4730</v>
      </c>
      <c r="I12" s="238">
        <v>3598</v>
      </c>
      <c r="J12" s="238">
        <f>1663+577</f>
        <v>2240</v>
      </c>
      <c r="K12" s="238">
        <f>5202</f>
        <v>5202</v>
      </c>
      <c r="L12" s="238">
        <v>1840</v>
      </c>
      <c r="M12" s="238">
        <v>1427</v>
      </c>
      <c r="N12" s="238">
        <v>360</v>
      </c>
      <c r="O12" s="238">
        <v>312</v>
      </c>
      <c r="P12" s="238"/>
      <c r="Q12" s="238">
        <v>5593</v>
      </c>
      <c r="R12" s="238">
        <v>3952</v>
      </c>
      <c r="S12" s="238">
        <v>13154</v>
      </c>
      <c r="T12" s="238">
        <v>2441</v>
      </c>
      <c r="U12" s="238"/>
      <c r="V12" s="238"/>
      <c r="W12" s="238"/>
    </row>
    <row r="13" spans="1:23" ht="20.25" x14ac:dyDescent="0.2">
      <c r="A13" s="74"/>
      <c r="B13" s="68"/>
      <c r="C13" s="68" t="s">
        <v>61</v>
      </c>
      <c r="D13" s="68"/>
      <c r="E13" s="68"/>
      <c r="F13" s="68"/>
      <c r="G13" s="240">
        <f>SUM(G8:G12)</f>
        <v>618531.31000000006</v>
      </c>
      <c r="H13" s="240">
        <f>SUM(H8:H12)</f>
        <v>562578</v>
      </c>
      <c r="I13" s="240">
        <f>SUM(I8:I12)</f>
        <v>492507</v>
      </c>
      <c r="J13" s="240">
        <f>SUM(J8:J12)</f>
        <v>537425</v>
      </c>
      <c r="K13" s="240">
        <f>SUM(K8:K12)</f>
        <v>572682</v>
      </c>
      <c r="L13" s="240">
        <f t="shared" ref="L13:W13" si="0">SUM(L8:L12)</f>
        <v>469296</v>
      </c>
      <c r="M13" s="240">
        <f t="shared" si="0"/>
        <v>433847</v>
      </c>
      <c r="N13" s="240">
        <f t="shared" si="0"/>
        <v>412960</v>
      </c>
      <c r="O13" s="240">
        <f t="shared" si="0"/>
        <v>315437</v>
      </c>
      <c r="P13" s="240">
        <f t="shared" si="0"/>
        <v>264210</v>
      </c>
      <c r="Q13" s="240">
        <f t="shared" si="0"/>
        <v>282842</v>
      </c>
      <c r="R13" s="240">
        <f t="shared" si="0"/>
        <v>297135</v>
      </c>
      <c r="S13" s="240">
        <f t="shared" si="0"/>
        <v>248165</v>
      </c>
      <c r="T13" s="240">
        <f t="shared" si="0"/>
        <v>236446</v>
      </c>
      <c r="U13" s="240">
        <f t="shared" si="0"/>
        <v>198158</v>
      </c>
      <c r="V13" s="240">
        <f t="shared" si="0"/>
        <v>173386</v>
      </c>
      <c r="W13" s="240">
        <f t="shared" si="0"/>
        <v>62277</v>
      </c>
    </row>
    <row r="14" spans="1:23" ht="20.25" x14ac:dyDescent="0.2">
      <c r="A14" s="74"/>
      <c r="B14" s="74"/>
      <c r="C14" s="74"/>
      <c r="D14" s="74"/>
      <c r="E14" s="74"/>
      <c r="F14" s="74"/>
      <c r="G14" s="239"/>
      <c r="H14" s="239"/>
      <c r="I14" s="239"/>
      <c r="J14" s="239"/>
      <c r="K14" s="239"/>
      <c r="L14" s="239"/>
      <c r="M14" s="239"/>
      <c r="N14" s="239"/>
      <c r="O14" s="239"/>
      <c r="P14" s="239"/>
      <c r="Q14" s="239"/>
      <c r="R14" s="239"/>
      <c r="S14" s="239"/>
      <c r="T14" s="239"/>
      <c r="U14" s="239"/>
      <c r="V14" s="239"/>
      <c r="W14" s="239"/>
    </row>
    <row r="15" spans="1:23" ht="20.25" x14ac:dyDescent="0.3">
      <c r="A15" s="70"/>
      <c r="B15" s="271" t="s">
        <v>195</v>
      </c>
      <c r="C15" s="271"/>
      <c r="D15" s="271"/>
      <c r="E15" s="271"/>
      <c r="F15" s="271"/>
      <c r="G15" s="272"/>
      <c r="H15" s="272"/>
      <c r="I15" s="272"/>
      <c r="J15" s="272"/>
      <c r="K15" s="272"/>
      <c r="L15" s="272"/>
      <c r="M15" s="272"/>
      <c r="N15" s="272"/>
      <c r="O15" s="272"/>
      <c r="P15" s="272"/>
      <c r="Q15" s="272"/>
      <c r="R15" s="272"/>
      <c r="S15" s="272"/>
      <c r="T15" s="272"/>
      <c r="U15" s="272"/>
      <c r="V15" s="272"/>
      <c r="W15" s="272"/>
    </row>
    <row r="16" spans="1:23" ht="20.25" x14ac:dyDescent="0.3">
      <c r="A16" s="70"/>
      <c r="B16" s="271"/>
      <c r="C16" s="271"/>
      <c r="D16" s="271"/>
      <c r="E16" s="271"/>
      <c r="F16" s="271"/>
      <c r="G16" s="272">
        <v>121148.45000000001</v>
      </c>
      <c r="H16" s="272">
        <v>88948</v>
      </c>
      <c r="I16" s="272">
        <v>81381</v>
      </c>
      <c r="J16" s="272">
        <v>85951</v>
      </c>
      <c r="K16" s="272">
        <v>75213</v>
      </c>
      <c r="L16" s="272">
        <v>103757</v>
      </c>
      <c r="M16" s="272">
        <v>72661</v>
      </c>
      <c r="N16" s="272">
        <v>91918</v>
      </c>
      <c r="O16" s="272">
        <v>80411</v>
      </c>
      <c r="P16" s="272">
        <v>57354</v>
      </c>
      <c r="Q16" s="272">
        <v>59451</v>
      </c>
      <c r="R16" s="272">
        <v>70947</v>
      </c>
      <c r="S16" s="272">
        <v>80279</v>
      </c>
      <c r="T16" s="272">
        <v>84266</v>
      </c>
      <c r="U16" s="272">
        <v>45164</v>
      </c>
      <c r="V16" s="272">
        <v>15210</v>
      </c>
      <c r="W16" s="272">
        <v>15599</v>
      </c>
    </row>
    <row r="17" spans="1:23" ht="20.25" hidden="1" x14ac:dyDescent="0.2">
      <c r="A17" s="74"/>
      <c r="B17" s="74"/>
      <c r="C17" s="74"/>
      <c r="D17" s="74"/>
      <c r="E17" s="74"/>
      <c r="F17" s="74"/>
      <c r="G17" s="239"/>
      <c r="H17" s="239"/>
      <c r="I17" s="239"/>
      <c r="J17" s="239"/>
      <c r="K17" s="239"/>
      <c r="L17" s="239"/>
      <c r="M17" s="239"/>
      <c r="N17" s="239"/>
      <c r="O17" s="239"/>
      <c r="P17" s="239"/>
      <c r="Q17" s="239"/>
      <c r="R17" s="239"/>
      <c r="S17" s="239"/>
      <c r="T17" s="239"/>
      <c r="U17" s="239"/>
      <c r="V17" s="239"/>
      <c r="W17" s="239"/>
    </row>
    <row r="18" spans="1:23" ht="20.25" hidden="1" x14ac:dyDescent="0.2">
      <c r="A18" s="74"/>
      <c r="B18" s="74"/>
      <c r="C18" s="74"/>
      <c r="D18" s="74"/>
      <c r="E18" s="74"/>
      <c r="F18" s="74"/>
      <c r="G18" s="235"/>
      <c r="H18" s="235"/>
      <c r="I18" s="235"/>
      <c r="J18" s="235"/>
      <c r="K18" s="235"/>
      <c r="L18" s="235"/>
      <c r="M18" s="235"/>
      <c r="N18" s="235"/>
      <c r="O18" s="235"/>
      <c r="P18" s="235"/>
      <c r="Q18" s="235"/>
      <c r="R18" s="235"/>
      <c r="S18" s="235"/>
      <c r="T18" s="235"/>
      <c r="U18" s="235"/>
      <c r="V18" s="235"/>
      <c r="W18" s="235"/>
    </row>
    <row r="19" spans="1:23" ht="27" thickBot="1" x14ac:dyDescent="0.25">
      <c r="A19" s="82" t="s">
        <v>63</v>
      </c>
      <c r="B19" s="82"/>
      <c r="C19" s="82"/>
      <c r="D19" s="82"/>
      <c r="E19" s="82"/>
      <c r="F19" s="82"/>
      <c r="G19" s="249">
        <f>G13+G16</f>
        <v>739679.76</v>
      </c>
      <c r="H19" s="249">
        <f>H13+H16</f>
        <v>651526</v>
      </c>
      <c r="I19" s="249">
        <f>I13+I16</f>
        <v>573888</v>
      </c>
      <c r="J19" s="249">
        <f>J13+J16</f>
        <v>623376</v>
      </c>
      <c r="K19" s="249">
        <f>K13+K16</f>
        <v>647895</v>
      </c>
      <c r="L19" s="249">
        <f t="shared" ref="L19:W19" si="1">L13+L16</f>
        <v>573053</v>
      </c>
      <c r="M19" s="249">
        <f t="shared" si="1"/>
        <v>506508</v>
      </c>
      <c r="N19" s="249">
        <f t="shared" si="1"/>
        <v>504878</v>
      </c>
      <c r="O19" s="249">
        <f t="shared" si="1"/>
        <v>395848</v>
      </c>
      <c r="P19" s="249">
        <f t="shared" si="1"/>
        <v>321564</v>
      </c>
      <c r="Q19" s="249">
        <f t="shared" si="1"/>
        <v>342293</v>
      </c>
      <c r="R19" s="249">
        <f t="shared" si="1"/>
        <v>368082</v>
      </c>
      <c r="S19" s="249">
        <f t="shared" si="1"/>
        <v>328444</v>
      </c>
      <c r="T19" s="249">
        <f t="shared" si="1"/>
        <v>320712</v>
      </c>
      <c r="U19" s="249">
        <f t="shared" si="1"/>
        <v>243322</v>
      </c>
      <c r="V19" s="249">
        <f t="shared" si="1"/>
        <v>188596</v>
      </c>
      <c r="W19" s="249">
        <f t="shared" si="1"/>
        <v>77876</v>
      </c>
    </row>
    <row r="20" spans="1:23" ht="21.75" thickTop="1" thickBot="1" x14ac:dyDescent="0.25">
      <c r="A20" s="74"/>
      <c r="B20" s="74"/>
      <c r="C20" s="74"/>
      <c r="D20" s="74"/>
      <c r="E20" s="74"/>
      <c r="F20" s="74"/>
      <c r="G20" s="336"/>
      <c r="H20" s="336"/>
      <c r="I20" s="336"/>
      <c r="J20" s="336"/>
      <c r="K20" s="336"/>
      <c r="L20" s="336"/>
      <c r="M20" s="336"/>
      <c r="N20" s="336"/>
      <c r="O20" s="336"/>
      <c r="P20" s="336"/>
      <c r="Q20" s="336"/>
      <c r="R20" s="336"/>
      <c r="S20" s="336"/>
      <c r="T20" s="336"/>
      <c r="U20" s="336"/>
      <c r="V20" s="336"/>
      <c r="W20" s="336"/>
    </row>
    <row r="21" spans="1:23" ht="27.75" thickTop="1" thickBot="1" x14ac:dyDescent="0.25">
      <c r="A21" s="65"/>
      <c r="B21" s="65"/>
      <c r="C21" s="65"/>
      <c r="D21" s="65" t="s">
        <v>64</v>
      </c>
      <c r="E21" s="65"/>
      <c r="F21" s="65"/>
      <c r="G21" s="244"/>
      <c r="H21" s="244"/>
      <c r="I21" s="244"/>
      <c r="J21" s="244"/>
      <c r="K21" s="244"/>
      <c r="L21" s="244"/>
      <c r="M21" s="244"/>
      <c r="N21" s="244"/>
      <c r="O21" s="244"/>
      <c r="P21" s="244"/>
      <c r="Q21" s="244"/>
      <c r="R21" s="244"/>
      <c r="S21" s="244"/>
      <c r="T21" s="244"/>
      <c r="U21" s="244"/>
      <c r="V21" s="244"/>
      <c r="W21" s="244"/>
    </row>
    <row r="22" spans="1:23" ht="21" thickTop="1" x14ac:dyDescent="0.2">
      <c r="A22" s="74"/>
      <c r="B22" s="74"/>
      <c r="C22" s="74"/>
      <c r="D22" s="74"/>
      <c r="E22" s="74"/>
      <c r="F22" s="74"/>
      <c r="G22" s="237"/>
      <c r="H22" s="237"/>
      <c r="I22" s="237"/>
      <c r="J22" s="237"/>
      <c r="K22" s="237"/>
      <c r="L22" s="237"/>
      <c r="M22" s="237"/>
      <c r="N22" s="237"/>
      <c r="O22" s="237"/>
      <c r="P22" s="237"/>
      <c r="Q22" s="237"/>
      <c r="R22" s="237"/>
      <c r="S22" s="237"/>
      <c r="T22" s="237"/>
      <c r="U22" s="237"/>
      <c r="V22" s="237"/>
      <c r="W22" s="237"/>
    </row>
    <row r="23" spans="1:23" ht="24" hidden="1" thickBot="1" x14ac:dyDescent="0.25">
      <c r="A23" s="74"/>
      <c r="B23" s="87" t="s">
        <v>65</v>
      </c>
      <c r="C23" s="88"/>
      <c r="D23" s="88"/>
      <c r="E23" s="88"/>
      <c r="F23" s="88"/>
      <c r="G23" s="245"/>
      <c r="H23" s="245"/>
      <c r="I23" s="245"/>
      <c r="J23" s="245"/>
      <c r="K23" s="245"/>
      <c r="L23" s="245"/>
      <c r="M23" s="245"/>
      <c r="N23" s="245"/>
      <c r="O23" s="245"/>
      <c r="P23" s="245"/>
      <c r="Q23" s="245"/>
      <c r="R23" s="245"/>
      <c r="S23" s="245"/>
      <c r="T23" s="245"/>
      <c r="U23" s="245"/>
      <c r="V23" s="245"/>
      <c r="W23" s="245"/>
    </row>
    <row r="24" spans="1:23" ht="20.25" hidden="1" x14ac:dyDescent="0.2">
      <c r="A24" s="74"/>
      <c r="B24" s="74"/>
      <c r="C24" s="74"/>
      <c r="D24" s="74"/>
      <c r="E24" s="74"/>
      <c r="F24" s="74"/>
      <c r="G24" s="237"/>
      <c r="H24" s="237"/>
      <c r="I24" s="237"/>
      <c r="J24" s="237"/>
      <c r="K24" s="237"/>
      <c r="L24" s="237"/>
      <c r="M24" s="237"/>
      <c r="N24" s="237"/>
      <c r="O24" s="237"/>
      <c r="P24" s="237"/>
      <c r="Q24" s="237"/>
      <c r="R24" s="237"/>
      <c r="S24" s="237"/>
      <c r="T24" s="237"/>
      <c r="U24" s="237"/>
      <c r="V24" s="237"/>
      <c r="W24" s="237"/>
    </row>
    <row r="25" spans="1:23" ht="21" thickBot="1" x14ac:dyDescent="0.35">
      <c r="A25" s="70"/>
      <c r="B25" s="154" t="s">
        <v>196</v>
      </c>
      <c r="C25" s="155"/>
      <c r="D25" s="154"/>
      <c r="E25" s="154"/>
      <c r="F25" s="154"/>
      <c r="G25" s="236"/>
      <c r="H25" s="236"/>
      <c r="I25" s="236"/>
      <c r="J25" s="236"/>
      <c r="K25" s="236"/>
      <c r="L25" s="236"/>
      <c r="M25" s="236"/>
      <c r="N25" s="236"/>
      <c r="O25" s="236"/>
      <c r="P25" s="236"/>
      <c r="Q25" s="236"/>
      <c r="R25" s="236"/>
      <c r="S25" s="236"/>
      <c r="T25" s="236"/>
      <c r="U25" s="236"/>
      <c r="V25" s="236"/>
      <c r="W25" s="236"/>
    </row>
    <row r="26" spans="1:23" ht="20.25" x14ac:dyDescent="0.2">
      <c r="A26" s="421"/>
      <c r="B26" s="421"/>
      <c r="C26" s="421"/>
      <c r="D26" s="421" t="s">
        <v>156</v>
      </c>
      <c r="E26" s="78"/>
      <c r="F26" s="421"/>
      <c r="G26" s="250">
        <v>31278.429999999997</v>
      </c>
      <c r="H26" s="250">
        <v>51714</v>
      </c>
      <c r="I26" s="250">
        <v>52083</v>
      </c>
      <c r="J26" s="250">
        <v>69820</v>
      </c>
      <c r="K26" s="250">
        <v>81032</v>
      </c>
      <c r="L26" s="250">
        <v>64928</v>
      </c>
      <c r="M26" s="250">
        <v>89064</v>
      </c>
      <c r="N26" s="250">
        <v>102814</v>
      </c>
      <c r="O26" s="250">
        <v>27734</v>
      </c>
      <c r="P26" s="250">
        <v>33537</v>
      </c>
      <c r="Q26" s="250">
        <v>47914</v>
      </c>
      <c r="R26" s="250">
        <v>42054</v>
      </c>
      <c r="S26" s="250">
        <v>32004</v>
      </c>
      <c r="T26" s="250">
        <v>28904</v>
      </c>
      <c r="U26" s="250">
        <v>2405</v>
      </c>
      <c r="V26" s="250">
        <v>7686</v>
      </c>
      <c r="W26" s="250">
        <v>0</v>
      </c>
    </row>
    <row r="27" spans="1:23" ht="20.25" x14ac:dyDescent="0.2">
      <c r="A27" s="421"/>
      <c r="B27" s="421"/>
      <c r="C27" s="421"/>
      <c r="D27" s="421" t="s">
        <v>197</v>
      </c>
      <c r="E27" s="78"/>
      <c r="F27" s="421"/>
      <c r="G27" s="235">
        <v>16019.88</v>
      </c>
      <c r="H27" s="235">
        <v>26466</v>
      </c>
      <c r="I27" s="235">
        <v>33722</v>
      </c>
      <c r="J27" s="235">
        <v>37279</v>
      </c>
      <c r="K27" s="235">
        <v>34130</v>
      </c>
      <c r="L27" s="235">
        <v>30917</v>
      </c>
      <c r="M27" s="235">
        <v>24891</v>
      </c>
      <c r="N27" s="235">
        <v>22167</v>
      </c>
      <c r="O27" s="235">
        <v>16739</v>
      </c>
      <c r="P27" s="235">
        <v>13502</v>
      </c>
      <c r="Q27" s="235">
        <v>10581</v>
      </c>
      <c r="R27" s="235">
        <v>28556</v>
      </c>
      <c r="S27" s="235">
        <v>22953</v>
      </c>
      <c r="T27" s="235">
        <v>13246</v>
      </c>
      <c r="U27" s="235">
        <v>10214</v>
      </c>
      <c r="V27" s="235">
        <v>5966</v>
      </c>
      <c r="W27" s="235">
        <v>2341</v>
      </c>
    </row>
    <row r="28" spans="1:23" ht="20.25" x14ac:dyDescent="0.2">
      <c r="A28" s="421"/>
      <c r="B28" s="421"/>
      <c r="C28" s="421"/>
      <c r="D28" s="421" t="s">
        <v>94</v>
      </c>
      <c r="E28" s="78"/>
      <c r="F28" s="421"/>
      <c r="G28" s="237">
        <v>19094</v>
      </c>
      <c r="H28" s="237">
        <v>21990</v>
      </c>
      <c r="I28" s="237">
        <v>17053</v>
      </c>
      <c r="J28" s="237">
        <v>23081</v>
      </c>
      <c r="K28" s="237">
        <v>20125</v>
      </c>
      <c r="L28" s="237">
        <v>23900</v>
      </c>
      <c r="M28" s="237">
        <v>25993</v>
      </c>
      <c r="N28" s="237">
        <v>25084</v>
      </c>
      <c r="O28" s="237">
        <v>17164</v>
      </c>
      <c r="P28" s="237">
        <v>23194</v>
      </c>
      <c r="Q28" s="237">
        <v>17986</v>
      </c>
      <c r="R28" s="237">
        <v>19684</v>
      </c>
      <c r="S28" s="237">
        <v>15461</v>
      </c>
      <c r="T28" s="237">
        <v>11736</v>
      </c>
      <c r="U28" s="237">
        <v>6552</v>
      </c>
      <c r="V28" s="237">
        <v>4625</v>
      </c>
      <c r="W28" s="237"/>
    </row>
    <row r="29" spans="1:23" ht="20.25" x14ac:dyDescent="0.2">
      <c r="A29" s="421"/>
      <c r="B29" s="421"/>
      <c r="C29" s="421"/>
      <c r="D29" s="421" t="s">
        <v>198</v>
      </c>
      <c r="E29" s="78"/>
      <c r="F29" s="421"/>
      <c r="G29" s="237"/>
      <c r="H29" s="237">
        <v>463</v>
      </c>
      <c r="I29" s="237">
        <f>1236+16400</f>
        <v>17636</v>
      </c>
      <c r="J29" s="237">
        <v>13302</v>
      </c>
      <c r="K29" s="237">
        <v>5311</v>
      </c>
      <c r="L29" s="237">
        <v>12315</v>
      </c>
      <c r="M29" s="237"/>
      <c r="N29" s="237"/>
      <c r="O29" s="237"/>
      <c r="P29" s="237">
        <v>20000</v>
      </c>
      <c r="Q29" s="237"/>
      <c r="R29" s="237">
        <v>25000</v>
      </c>
      <c r="S29" s="237"/>
      <c r="T29" s="237"/>
      <c r="U29" s="237"/>
      <c r="V29" s="237"/>
      <c r="W29" s="237">
        <v>48000</v>
      </c>
    </row>
    <row r="30" spans="1:23" ht="20.25" x14ac:dyDescent="0.2">
      <c r="A30" s="421"/>
      <c r="B30" s="421"/>
      <c r="C30" s="421"/>
      <c r="D30" s="80" t="s">
        <v>101</v>
      </c>
      <c r="E30" s="78"/>
      <c r="F30" s="421"/>
      <c r="G30" s="237">
        <v>136592.41</v>
      </c>
      <c r="H30" s="237">
        <v>101837</v>
      </c>
      <c r="I30" s="237">
        <v>31429</v>
      </c>
      <c r="J30" s="237">
        <v>21927</v>
      </c>
      <c r="K30" s="237">
        <v>24493</v>
      </c>
      <c r="L30" s="237">
        <v>23546</v>
      </c>
      <c r="M30" s="237">
        <v>29986</v>
      </c>
      <c r="N30" s="237">
        <v>97627</v>
      </c>
      <c r="O30" s="237">
        <v>91085</v>
      </c>
      <c r="P30" s="237">
        <v>6118</v>
      </c>
      <c r="Q30" s="237">
        <v>42621</v>
      </c>
      <c r="R30" s="237"/>
      <c r="S30" s="237">
        <v>13218</v>
      </c>
      <c r="T30" s="237">
        <v>36938</v>
      </c>
      <c r="U30" s="237">
        <v>40000</v>
      </c>
      <c r="V30" s="237">
        <v>38354</v>
      </c>
      <c r="W30" s="237">
        <v>11775</v>
      </c>
    </row>
    <row r="31" spans="1:23" ht="20.25" x14ac:dyDescent="0.2">
      <c r="A31" s="421"/>
      <c r="B31" s="421"/>
      <c r="C31" s="421"/>
      <c r="D31" s="79" t="s">
        <v>199</v>
      </c>
      <c r="E31" s="153"/>
      <c r="F31" s="79"/>
      <c r="G31" s="237"/>
      <c r="H31" s="237"/>
      <c r="I31" s="237"/>
      <c r="J31" s="237"/>
      <c r="K31" s="237"/>
      <c r="L31" s="237"/>
      <c r="M31" s="237"/>
      <c r="N31" s="237"/>
      <c r="O31" s="237"/>
      <c r="P31" s="237"/>
      <c r="Q31" s="237"/>
      <c r="R31" s="237"/>
      <c r="S31" s="237"/>
      <c r="T31" s="237"/>
      <c r="U31" s="237"/>
      <c r="V31" s="237"/>
      <c r="W31" s="237"/>
    </row>
    <row r="32" spans="1:23" ht="20.25" x14ac:dyDescent="0.2">
      <c r="A32" s="421"/>
      <c r="B32" s="421"/>
      <c r="C32" s="81" t="s">
        <v>77</v>
      </c>
      <c r="D32" s="421"/>
      <c r="E32" s="78"/>
      <c r="F32" s="421"/>
      <c r="G32" s="246">
        <f>SUM(G26:G31)</f>
        <v>202984.72</v>
      </c>
      <c r="H32" s="246">
        <f>SUM(H26:H31)</f>
        <v>202470</v>
      </c>
      <c r="I32" s="246">
        <f>SUM(I26:I31)</f>
        <v>151923</v>
      </c>
      <c r="J32" s="246">
        <f>SUM(J26:J31)</f>
        <v>165409</v>
      </c>
      <c r="K32" s="246">
        <f>SUM(K26:K31)</f>
        <v>165091</v>
      </c>
      <c r="L32" s="246">
        <f t="shared" ref="L32:W32" si="2">SUM(L26:L31)</f>
        <v>155606</v>
      </c>
      <c r="M32" s="246">
        <f t="shared" si="2"/>
        <v>169934</v>
      </c>
      <c r="N32" s="246">
        <f t="shared" si="2"/>
        <v>247692</v>
      </c>
      <c r="O32" s="246">
        <f t="shared" si="2"/>
        <v>152722</v>
      </c>
      <c r="P32" s="246">
        <f t="shared" si="2"/>
        <v>96351</v>
      </c>
      <c r="Q32" s="246">
        <f t="shared" si="2"/>
        <v>119102</v>
      </c>
      <c r="R32" s="246">
        <f t="shared" si="2"/>
        <v>115294</v>
      </c>
      <c r="S32" s="246">
        <f t="shared" si="2"/>
        <v>83636</v>
      </c>
      <c r="T32" s="246">
        <f t="shared" si="2"/>
        <v>90824</v>
      </c>
      <c r="U32" s="246">
        <f t="shared" si="2"/>
        <v>59171</v>
      </c>
      <c r="V32" s="246">
        <f t="shared" si="2"/>
        <v>56631</v>
      </c>
      <c r="W32" s="246">
        <f t="shared" si="2"/>
        <v>62116</v>
      </c>
    </row>
    <row r="33" spans="1:23" ht="20.25" x14ac:dyDescent="0.2">
      <c r="A33" s="421"/>
      <c r="B33" s="421"/>
      <c r="C33" s="421"/>
      <c r="D33" s="421"/>
      <c r="E33" s="421"/>
      <c r="F33" s="421"/>
      <c r="G33" s="237"/>
      <c r="H33" s="237"/>
      <c r="I33" s="237"/>
      <c r="J33" s="237"/>
      <c r="K33" s="237"/>
      <c r="L33" s="237"/>
      <c r="M33" s="237"/>
      <c r="N33" s="237"/>
      <c r="O33" s="237"/>
      <c r="P33" s="237"/>
      <c r="Q33" s="237"/>
      <c r="R33" s="237"/>
      <c r="S33" s="237"/>
      <c r="T33" s="237"/>
      <c r="U33" s="237"/>
      <c r="V33" s="237"/>
      <c r="W33" s="237"/>
    </row>
    <row r="34" spans="1:23" ht="20.25" x14ac:dyDescent="0.2">
      <c r="A34" s="74"/>
      <c r="B34" s="74"/>
      <c r="C34" s="74"/>
      <c r="D34" s="74"/>
      <c r="E34" s="74"/>
      <c r="F34" s="74"/>
      <c r="G34" s="426"/>
      <c r="H34" s="426"/>
      <c r="I34" s="426"/>
      <c r="J34" s="426"/>
      <c r="K34" s="426"/>
      <c r="L34" s="239"/>
      <c r="M34" s="239"/>
      <c r="N34" s="239"/>
      <c r="O34" s="239"/>
      <c r="P34" s="239"/>
      <c r="Q34" s="239"/>
      <c r="R34" s="239"/>
      <c r="S34" s="239"/>
      <c r="T34" s="239"/>
      <c r="U34" s="239"/>
      <c r="V34" s="239"/>
      <c r="W34" s="239"/>
    </row>
    <row r="35" spans="1:23" ht="24" thickBot="1" x14ac:dyDescent="0.25">
      <c r="A35" s="74"/>
      <c r="B35" s="87" t="s">
        <v>200</v>
      </c>
      <c r="C35" s="88"/>
      <c r="D35" s="88"/>
      <c r="E35" s="88"/>
      <c r="F35" s="88"/>
      <c r="G35" s="245"/>
      <c r="H35" s="245"/>
      <c r="I35" s="245"/>
      <c r="J35" s="245"/>
      <c r="K35" s="245"/>
      <c r="L35" s="245"/>
      <c r="M35" s="245"/>
      <c r="N35" s="245"/>
      <c r="O35" s="245"/>
      <c r="P35" s="245"/>
      <c r="Q35" s="245"/>
      <c r="R35" s="245"/>
      <c r="S35" s="245"/>
      <c r="T35" s="245"/>
      <c r="U35" s="245"/>
      <c r="V35" s="245"/>
      <c r="W35" s="245"/>
    </row>
    <row r="36" spans="1:23" ht="23.25" x14ac:dyDescent="0.2">
      <c r="A36" s="74"/>
      <c r="B36" s="276"/>
      <c r="C36" s="68"/>
      <c r="D36" s="421" t="s">
        <v>97</v>
      </c>
      <c r="E36" s="68"/>
      <c r="F36" s="68"/>
      <c r="G36" s="235">
        <v>55367.21</v>
      </c>
      <c r="H36" s="235">
        <v>52578</v>
      </c>
      <c r="I36" s="235">
        <v>54372</v>
      </c>
      <c r="J36" s="235">
        <v>74343</v>
      </c>
      <c r="K36" s="235">
        <v>140489</v>
      </c>
      <c r="L36" s="235">
        <v>85282</v>
      </c>
      <c r="M36" s="235">
        <v>9601</v>
      </c>
      <c r="N36" s="235">
        <v>9601</v>
      </c>
      <c r="O36" s="235">
        <v>5248</v>
      </c>
      <c r="P36" s="235">
        <v>4472</v>
      </c>
      <c r="Q36" s="235">
        <v>15207</v>
      </c>
      <c r="R36" s="235"/>
      <c r="S36" s="235"/>
      <c r="T36" s="235"/>
      <c r="U36" s="235"/>
      <c r="V36" s="235"/>
      <c r="W36" s="235"/>
    </row>
    <row r="37" spans="1:23" ht="21" thickBot="1" x14ac:dyDescent="0.25">
      <c r="A37" s="421"/>
      <c r="B37" s="421"/>
      <c r="C37" s="78"/>
      <c r="D37" s="421" t="s">
        <v>91</v>
      </c>
      <c r="E37" s="422"/>
      <c r="F37" s="422"/>
      <c r="G37" s="245">
        <v>481327.83000000013</v>
      </c>
      <c r="H37" s="245">
        <v>396478</v>
      </c>
      <c r="I37" s="245">
        <v>367593</v>
      </c>
      <c r="J37" s="245">
        <v>383624</v>
      </c>
      <c r="K37" s="245">
        <v>342315</v>
      </c>
      <c r="L37" s="245">
        <v>332165</v>
      </c>
      <c r="M37" s="245">
        <v>326973</v>
      </c>
      <c r="N37" s="245">
        <v>247585</v>
      </c>
      <c r="O37" s="245">
        <v>237878</v>
      </c>
      <c r="P37" s="245">
        <v>220741</v>
      </c>
      <c r="Q37" s="245">
        <v>207984</v>
      </c>
      <c r="R37" s="245">
        <v>252788</v>
      </c>
      <c r="S37" s="245">
        <v>244808</v>
      </c>
      <c r="T37" s="245">
        <v>229888</v>
      </c>
      <c r="U37" s="245">
        <v>184151</v>
      </c>
      <c r="V37" s="245">
        <v>131965</v>
      </c>
      <c r="W37" s="245">
        <v>15760</v>
      </c>
    </row>
    <row r="38" spans="1:23" ht="23.25" x14ac:dyDescent="0.2">
      <c r="A38" s="74"/>
      <c r="B38" s="90" t="s">
        <v>68</v>
      </c>
      <c r="C38" s="91"/>
      <c r="D38" s="91"/>
      <c r="E38" s="68"/>
      <c r="F38" s="68"/>
      <c r="G38" s="240">
        <f>G36+G37</f>
        <v>536695.04000000015</v>
      </c>
      <c r="H38" s="240">
        <f>H36+H37</f>
        <v>449056</v>
      </c>
      <c r="I38" s="240">
        <f>I36+I37</f>
        <v>421965</v>
      </c>
      <c r="J38" s="240">
        <f>J36+J37</f>
        <v>457967</v>
      </c>
      <c r="K38" s="240">
        <f>K36+K37</f>
        <v>482804</v>
      </c>
      <c r="L38" s="240">
        <f t="shared" ref="L38:W38" si="3">L36+L37</f>
        <v>417447</v>
      </c>
      <c r="M38" s="240">
        <f t="shared" si="3"/>
        <v>336574</v>
      </c>
      <c r="N38" s="240">
        <f t="shared" si="3"/>
        <v>257186</v>
      </c>
      <c r="O38" s="240">
        <f t="shared" si="3"/>
        <v>243126</v>
      </c>
      <c r="P38" s="240">
        <f t="shared" si="3"/>
        <v>225213</v>
      </c>
      <c r="Q38" s="240">
        <f t="shared" si="3"/>
        <v>223191</v>
      </c>
      <c r="R38" s="240">
        <f t="shared" si="3"/>
        <v>252788</v>
      </c>
      <c r="S38" s="240">
        <f t="shared" si="3"/>
        <v>244808</v>
      </c>
      <c r="T38" s="240">
        <f t="shared" si="3"/>
        <v>229888</v>
      </c>
      <c r="U38" s="240">
        <f t="shared" si="3"/>
        <v>184151</v>
      </c>
      <c r="V38" s="240">
        <f t="shared" si="3"/>
        <v>131965</v>
      </c>
      <c r="W38" s="240">
        <f t="shared" si="3"/>
        <v>15760</v>
      </c>
    </row>
    <row r="39" spans="1:23" ht="20.25" x14ac:dyDescent="0.2">
      <c r="A39" s="74"/>
      <c r="B39" s="74"/>
      <c r="C39" s="74"/>
      <c r="D39" s="74"/>
      <c r="E39" s="74"/>
      <c r="F39" s="74"/>
      <c r="G39" s="238"/>
      <c r="H39" s="238"/>
      <c r="I39" s="238"/>
      <c r="J39" s="238"/>
      <c r="K39" s="238"/>
      <c r="L39" s="238"/>
      <c r="M39" s="238"/>
      <c r="N39" s="238"/>
      <c r="O39" s="238"/>
      <c r="P39" s="238"/>
      <c r="Q39" s="238"/>
      <c r="R39" s="238"/>
      <c r="S39" s="238"/>
      <c r="T39" s="238"/>
      <c r="U39" s="238"/>
      <c r="V39" s="238"/>
      <c r="W39" s="238"/>
    </row>
    <row r="40" spans="1:23" ht="27" thickBot="1" x14ac:dyDescent="0.25">
      <c r="A40" s="82" t="s">
        <v>69</v>
      </c>
      <c r="B40" s="82"/>
      <c r="C40" s="82"/>
      <c r="D40" s="82"/>
      <c r="E40" s="82"/>
      <c r="F40" s="82"/>
      <c r="G40" s="366">
        <f>G32+G38</f>
        <v>739679.76000000013</v>
      </c>
      <c r="H40" s="366">
        <f>H32+H38</f>
        <v>651526</v>
      </c>
      <c r="I40" s="366">
        <f>I32+I38</f>
        <v>573888</v>
      </c>
      <c r="J40" s="366">
        <f>J32+J38</f>
        <v>623376</v>
      </c>
      <c r="K40" s="366">
        <f>K32+K38</f>
        <v>647895</v>
      </c>
      <c r="L40" s="366">
        <f t="shared" ref="L40:W40" si="4">L32+L38</f>
        <v>573053</v>
      </c>
      <c r="M40" s="366">
        <f t="shared" si="4"/>
        <v>506508</v>
      </c>
      <c r="N40" s="366">
        <f t="shared" si="4"/>
        <v>504878</v>
      </c>
      <c r="O40" s="366">
        <f t="shared" si="4"/>
        <v>395848</v>
      </c>
      <c r="P40" s="366">
        <f t="shared" si="4"/>
        <v>321564</v>
      </c>
      <c r="Q40" s="366">
        <f t="shared" si="4"/>
        <v>342293</v>
      </c>
      <c r="R40" s="366">
        <f t="shared" si="4"/>
        <v>368082</v>
      </c>
      <c r="S40" s="366">
        <f t="shared" si="4"/>
        <v>328444</v>
      </c>
      <c r="T40" s="366">
        <f t="shared" si="4"/>
        <v>320712</v>
      </c>
      <c r="U40" s="366">
        <f t="shared" si="4"/>
        <v>243322</v>
      </c>
      <c r="V40" s="366">
        <f t="shared" si="4"/>
        <v>188596</v>
      </c>
      <c r="W40" s="366">
        <f t="shared" si="4"/>
        <v>77876</v>
      </c>
    </row>
    <row r="41" spans="1:23" ht="15" thickTop="1" x14ac:dyDescent="0.2">
      <c r="D41" s="354"/>
      <c r="H41" s="18"/>
      <c r="I41" s="18"/>
      <c r="J41" s="18"/>
      <c r="K41" s="18"/>
      <c r="L41" s="18"/>
      <c r="M41" s="18"/>
      <c r="N41" s="18"/>
      <c r="O41" s="18"/>
      <c r="P41" s="18"/>
      <c r="Q41" s="18"/>
      <c r="R41" s="18"/>
      <c r="S41" s="18"/>
      <c r="T41" s="18"/>
      <c r="U41" s="18"/>
      <c r="V41" s="18"/>
      <c r="W41" s="18"/>
    </row>
    <row r="42" spans="1:23" s="247" customFormat="1" x14ac:dyDescent="0.2">
      <c r="A42" s="425"/>
      <c r="B42" s="425"/>
      <c r="C42" s="425"/>
      <c r="D42" s="425"/>
      <c r="E42" s="425"/>
      <c r="F42" s="425"/>
      <c r="G42" s="277"/>
    </row>
    <row r="43" spans="1:23" s="247" customFormat="1" x14ac:dyDescent="0.2">
      <c r="A43" s="425"/>
      <c r="B43" s="425"/>
      <c r="C43" s="425"/>
      <c r="D43" s="425"/>
      <c r="E43" s="425"/>
      <c r="F43" s="425"/>
      <c r="G43" s="277"/>
    </row>
    <row r="44" spans="1:23" s="247" customFormat="1" x14ac:dyDescent="0.2">
      <c r="A44" s="425"/>
      <c r="B44" s="425"/>
      <c r="C44" s="425"/>
      <c r="D44" s="425"/>
      <c r="E44" s="425"/>
      <c r="F44" s="425"/>
      <c r="G44" s="277"/>
    </row>
    <row r="45" spans="1:23" s="247" customFormat="1" x14ac:dyDescent="0.2">
      <c r="A45" s="425"/>
      <c r="B45" s="425"/>
      <c r="C45" s="425"/>
      <c r="D45" s="425"/>
      <c r="E45" s="425"/>
      <c r="F45" s="425"/>
      <c r="G45" s="277"/>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Notes</vt:lpstr>
      <vt:lpstr>Data</vt:lpstr>
      <vt:lpstr>December'19 Revenues &amp; Expenses</vt:lpstr>
      <vt:lpstr>December'19 AR Aging </vt:lpstr>
      <vt:lpstr>December'19 Financial Position</vt:lpstr>
      <vt:lpstr>December'19 State of Activities</vt:lpstr>
      <vt:lpstr>December'19 Transportation</vt:lpstr>
      <vt:lpstr>Transportation Projections</vt:lpstr>
      <vt:lpstr>2019 Budget</vt:lpstr>
      <vt:lpstr>2017 Medicaid Revenue</vt:lpstr>
      <vt:lpstr>Budget</vt:lpstr>
      <vt:lpstr>YE Historic Data</vt:lpstr>
      <vt:lpstr>'2017 Medicaid Revenue'!Print_Area</vt:lpstr>
      <vt:lpstr>Budget!Print_Area</vt:lpstr>
      <vt:lpstr>'December''19 AR Aging '!Print_Area</vt:lpstr>
      <vt:lpstr>'December''19 Financial Position'!Print_Area</vt:lpstr>
      <vt:lpstr>'December''19 Revenues &amp; Expenses'!Print_Area</vt:lpstr>
      <vt:lpstr>'December''19 State of Activities'!Print_Area</vt:lpstr>
      <vt:lpstr>'December''19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2020-01-28T19:41:59Z</cp:lastPrinted>
  <dcterms:created xsi:type="dcterms:W3CDTF">2011-11-03T17:20:29Z</dcterms:created>
  <dcterms:modified xsi:type="dcterms:W3CDTF">2020-01-28T19:42:32Z</dcterms:modified>
</cp:coreProperties>
</file>