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Board of Directors\Committees of the Board\Budget and Finance Committee\Meeting minutes 2020\"/>
    </mc:Choice>
  </mc:AlternateContent>
  <bookViews>
    <workbookView xWindow="90" yWindow="35820" windowWidth="14955" windowHeight="9060" tabRatio="787" activeTab="3"/>
  </bookViews>
  <sheets>
    <sheet name="Notes" sheetId="15" r:id="rId1"/>
    <sheet name="Data" sheetId="19" state="hidden" r:id="rId2"/>
    <sheet name="April 20 Revenues &amp; Expenses" sheetId="3" r:id="rId3"/>
    <sheet name="April'20 AR Aging " sheetId="6" r:id="rId4"/>
    <sheet name="April'20 Financial Position" sheetId="5" r:id="rId5"/>
    <sheet name="April'20 State of Activities" sheetId="12" r:id="rId6"/>
    <sheet name="April'20 Transportation" sheetId="18" r:id="rId7"/>
    <sheet name="Transportation Projections" sheetId="23" state="hidden" r:id="rId8"/>
    <sheet name="2019 Budget" sheetId="22" state="hidden" r:id="rId9"/>
    <sheet name="2017 Medicaid Revenue" sheetId="21" state="hidden" r:id="rId10"/>
    <sheet name="Budget" sheetId="20" state="hidden" r:id="rId11"/>
    <sheet name="YE Historic Data" sheetId="17" state="hidden" r:id="rId12"/>
  </sheets>
  <definedNames>
    <definedName name="_xlnm.Print_Area" localSheetId="9">'2017 Medicaid Revenue'!$A$1:$H$69</definedName>
    <definedName name="_xlnm.Print_Area" localSheetId="2">'April 20 Revenues &amp; Expenses'!$A$1:$L$67</definedName>
    <definedName name="_xlnm.Print_Area" localSheetId="3">'April''20 AR Aging '!$A$1:$G$120</definedName>
    <definedName name="_xlnm.Print_Area" localSheetId="4">'April''20 Financial Position'!$A$1:$L$67</definedName>
    <definedName name="_xlnm.Print_Area" localSheetId="5">'April''20 State of Activities'!$A$1:$O$70</definedName>
    <definedName name="_xlnm.Print_Area" localSheetId="6">'April''20 Transportation'!$A$1:$P$63</definedName>
    <definedName name="_xlnm.Print_Area" localSheetId="10">Budget!$A$1:$G$54</definedName>
    <definedName name="_xlnm.Print_Area" localSheetId="0">Notes!$A$4:$H$87</definedName>
    <definedName name="_xlnm.Print_Area" localSheetId="7">'Transportation Projections'!$A$1:$P$53</definedName>
    <definedName name="_xlnm.Print_Area" localSheetId="11">'YE Historic Data'!$A$1:$W$41</definedName>
    <definedName name="_xlnm.Print_Titles" localSheetId="0">Notes!$1:$3</definedName>
  </definedNames>
  <calcPr calcId="162913"/>
</workbook>
</file>

<file path=xl/calcChain.xml><?xml version="1.0" encoding="utf-8"?>
<calcChain xmlns="http://schemas.openxmlformats.org/spreadsheetml/2006/main">
  <c r="F79" i="15" l="1"/>
  <c r="F80" i="15"/>
  <c r="E79" i="15"/>
  <c r="F69" i="15"/>
  <c r="G71" i="15"/>
  <c r="D71" i="15"/>
  <c r="G69" i="15"/>
  <c r="D67" i="15"/>
  <c r="G66" i="15"/>
  <c r="E66" i="15"/>
  <c r="D66" i="15"/>
  <c r="N525" i="19"/>
  <c r="G577" i="19"/>
  <c r="G574" i="19"/>
  <c r="E15" i="15"/>
  <c r="B1340" i="19"/>
  <c r="B1339" i="19"/>
  <c r="B1132" i="19"/>
  <c r="B1129" i="19"/>
  <c r="B1125" i="19"/>
  <c r="B1126" i="19" s="1"/>
  <c r="B1127" i="19" s="1"/>
  <c r="B1123" i="19"/>
  <c r="B1119" i="19"/>
  <c r="B1120" i="19" s="1"/>
  <c r="B1121" i="19" s="1"/>
  <c r="B1116" i="19"/>
  <c r="B1117" i="19" s="1"/>
  <c r="B1115" i="19"/>
  <c r="B1110" i="19"/>
  <c r="B1111" i="19" s="1"/>
  <c r="B1106" i="19"/>
  <c r="B1107" i="19" s="1"/>
  <c r="B1108" i="19" s="1"/>
  <c r="B1104" i="19"/>
  <c r="B1097" i="19"/>
  <c r="B1095" i="19"/>
  <c r="B1092" i="19"/>
  <c r="J43" i="18" l="1"/>
  <c r="J42" i="18"/>
  <c r="J40" i="18"/>
  <c r="H42" i="5"/>
  <c r="G50" i="12"/>
  <c r="J38" i="18"/>
  <c r="G61" i="12"/>
  <c r="G52" i="12"/>
  <c r="G39" i="12"/>
  <c r="G11" i="12"/>
  <c r="H50" i="5"/>
  <c r="H22" i="5"/>
  <c r="F55" i="3"/>
  <c r="C77" i="6"/>
  <c r="C62" i="6"/>
  <c r="D62" i="6"/>
  <c r="C82" i="6"/>
  <c r="C80" i="6"/>
  <c r="C66" i="6"/>
  <c r="D7" i="6"/>
  <c r="L16" i="12" l="1"/>
  <c r="G12" i="12" l="1"/>
  <c r="J16" i="18" l="1"/>
  <c r="J48" i="18" l="1"/>
  <c r="J31" i="18"/>
  <c r="J24" i="18"/>
  <c r="J19" i="18"/>
  <c r="J13" i="18"/>
  <c r="J11" i="18"/>
  <c r="K48" i="18" l="1"/>
  <c r="K43" i="18"/>
  <c r="K41" i="18"/>
  <c r="K38" i="18"/>
  <c r="K31" i="18"/>
  <c r="K13" i="18"/>
  <c r="M45" i="18" l="1"/>
  <c r="M44" i="18"/>
  <c r="M43" i="18"/>
  <c r="M42" i="18"/>
  <c r="M41" i="18"/>
  <c r="M38" i="18"/>
  <c r="M31" i="18"/>
  <c r="M32" i="18" s="1"/>
  <c r="M19" i="18"/>
  <c r="M13" i="18"/>
  <c r="M9" i="18"/>
  <c r="D43" i="6"/>
  <c r="G10" i="12"/>
  <c r="G47" i="12" l="1"/>
  <c r="G46" i="12"/>
  <c r="G34" i="12"/>
  <c r="G33" i="12"/>
  <c r="G23" i="12"/>
  <c r="G17" i="12"/>
  <c r="J11" i="12"/>
  <c r="J23" i="12" s="1"/>
  <c r="J52" i="12" l="1"/>
  <c r="J50" i="12"/>
  <c r="J47" i="12"/>
  <c r="J46" i="12"/>
  <c r="J39" i="12"/>
  <c r="J34" i="12"/>
  <c r="J33" i="12"/>
  <c r="H47" i="12"/>
  <c r="H52" i="12"/>
  <c r="H39" i="12"/>
  <c r="H34" i="12"/>
  <c r="H33" i="12"/>
  <c r="H22" i="12"/>
  <c r="H11" i="12"/>
  <c r="H23" i="12" s="1"/>
  <c r="F31" i="6"/>
  <c r="F43" i="6"/>
  <c r="H16" i="5" l="1"/>
  <c r="J62" i="5"/>
  <c r="J50" i="5"/>
  <c r="J54" i="5" s="1"/>
  <c r="J47" i="5"/>
  <c r="J16" i="5"/>
  <c r="J25" i="5" s="1"/>
  <c r="J35" i="5" s="1"/>
  <c r="J23" i="5"/>
  <c r="I44" i="3"/>
  <c r="I41" i="3"/>
  <c r="K41" i="3" s="1"/>
  <c r="J56" i="3"/>
  <c r="K56" i="3" s="1"/>
  <c r="L56" i="3" s="1"/>
  <c r="J55" i="3"/>
  <c r="K55" i="3" s="1"/>
  <c r="L55" i="3" s="1"/>
  <c r="I37" i="3"/>
  <c r="J56" i="5" l="1"/>
  <c r="J64" i="5" s="1"/>
  <c r="J24" i="3"/>
  <c r="J20" i="3"/>
  <c r="I17" i="3"/>
  <c r="J17" i="3" s="1"/>
  <c r="J9" i="3"/>
  <c r="J8" i="3"/>
  <c r="J12" i="3"/>
  <c r="F26" i="3"/>
  <c r="L8" i="5"/>
  <c r="G68" i="6"/>
  <c r="H22" i="3" s="1"/>
  <c r="I22" i="3" s="1"/>
  <c r="D68" i="6"/>
  <c r="F41" i="6"/>
  <c r="C40" i="6"/>
  <c r="D40" i="6"/>
  <c r="F32" i="6"/>
  <c r="E14" i="6"/>
  <c r="D8" i="6"/>
  <c r="J22" i="3" l="1"/>
  <c r="G22" i="3"/>
  <c r="G44" i="15" l="1"/>
  <c r="G572" i="19" l="1"/>
  <c r="G594" i="19" s="1"/>
  <c r="G571" i="19"/>
  <c r="J18" i="18" l="1"/>
  <c r="O18" i="18" s="1"/>
  <c r="O11" i="18"/>
  <c r="M53" i="18"/>
  <c r="M22" i="18"/>
  <c r="M39" i="18" s="1"/>
  <c r="M21" i="18"/>
  <c r="M15" i="18"/>
  <c r="M63" i="18"/>
  <c r="J64" i="12"/>
  <c r="J65" i="12" s="1"/>
  <c r="J55" i="12"/>
  <c r="H58" i="3"/>
  <c r="J57" i="3"/>
  <c r="K44" i="3"/>
  <c r="F71" i="15" s="1"/>
  <c r="K37" i="3"/>
  <c r="G67" i="15" s="1"/>
  <c r="M23" i="18" l="1"/>
  <c r="M26" i="18" s="1"/>
  <c r="M49" i="18"/>
  <c r="J26" i="12"/>
  <c r="J28" i="12" s="1"/>
  <c r="J57" i="12" s="1"/>
  <c r="C94" i="6"/>
  <c r="G64" i="6"/>
  <c r="I57" i="3" s="1"/>
  <c r="F44" i="6"/>
  <c r="E32" i="6"/>
  <c r="C8" i="6"/>
  <c r="G6" i="6"/>
  <c r="H8" i="3" s="1"/>
  <c r="J67" i="12" l="1"/>
  <c r="J70" i="12" s="1"/>
  <c r="L61" i="5"/>
  <c r="G8" i="3"/>
  <c r="M60" i="18"/>
  <c r="M57" i="18"/>
  <c r="M50" i="18"/>
  <c r="M54" i="18" s="1"/>
  <c r="O17" i="18"/>
  <c r="J28" i="3" l="1"/>
  <c r="J15" i="3" l="1"/>
  <c r="E44" i="6"/>
  <c r="O47" i="23" l="1"/>
  <c r="O45" i="23"/>
  <c r="O42" i="23"/>
  <c r="O36" i="23"/>
  <c r="O32" i="23"/>
  <c r="M31" i="23"/>
  <c r="O24" i="23"/>
  <c r="O18" i="23"/>
  <c r="O17" i="23"/>
  <c r="O16" i="23"/>
  <c r="O15" i="23"/>
  <c r="O14" i="23"/>
  <c r="O13" i="23"/>
  <c r="O10" i="23"/>
  <c r="O9" i="23"/>
  <c r="J34" i="23"/>
  <c r="O34" i="23" s="1"/>
  <c r="M41" i="23"/>
  <c r="O41" i="23" s="1"/>
  <c r="J41" i="23"/>
  <c r="J43" i="23"/>
  <c r="M39" i="23"/>
  <c r="O39" i="23" s="1"/>
  <c r="J39" i="23"/>
  <c r="J35" i="23"/>
  <c r="O35" i="23" s="1"/>
  <c r="J33" i="23"/>
  <c r="O33" i="23" s="1"/>
  <c r="M30" i="23"/>
  <c r="O30" i="23" s="1"/>
  <c r="J29" i="23" l="1"/>
  <c r="O29" i="23" l="1"/>
  <c r="J31" i="23"/>
  <c r="O31" i="23" s="1"/>
  <c r="J46" i="23"/>
  <c r="O46" i="23" s="1"/>
  <c r="J44" i="23"/>
  <c r="O44" i="23" s="1"/>
  <c r="M43" i="23"/>
  <c r="O43" i="23" s="1"/>
  <c r="M37" i="23" l="1"/>
  <c r="J37" i="23"/>
  <c r="O37" i="23" l="1"/>
  <c r="M48" i="23"/>
  <c r="J51" i="23"/>
  <c r="O51" i="23" s="1"/>
  <c r="P24" i="23"/>
  <c r="P16" i="23"/>
  <c r="P14" i="23"/>
  <c r="J12" i="23"/>
  <c r="K52" i="23"/>
  <c r="K47" i="23"/>
  <c r="P47" i="23"/>
  <c r="P46" i="23"/>
  <c r="P44" i="23"/>
  <c r="P43" i="23"/>
  <c r="P42" i="23"/>
  <c r="K42" i="23"/>
  <c r="P41" i="23"/>
  <c r="J40" i="23"/>
  <c r="O40" i="23" s="1"/>
  <c r="P39" i="23"/>
  <c r="M52" i="23"/>
  <c r="O52" i="23" s="1"/>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O12" i="23" l="1"/>
  <c r="P12" i="23" s="1"/>
  <c r="O22" i="23"/>
  <c r="O38" i="23"/>
  <c r="P38" i="23"/>
  <c r="P31" i="23"/>
  <c r="P37" i="23"/>
  <c r="P40" i="23"/>
  <c r="J22" i="23"/>
  <c r="J25" i="23" s="1"/>
  <c r="K48" i="23"/>
  <c r="K22" i="23"/>
  <c r="K25" i="23" s="1"/>
  <c r="P13" i="23"/>
  <c r="P30" i="23"/>
  <c r="J48" i="23"/>
  <c r="O48" i="23" s="1"/>
  <c r="M22" i="23"/>
  <c r="M25" i="23" s="1"/>
  <c r="O21" i="23"/>
  <c r="K49" i="23" l="1"/>
  <c r="K53" i="23" s="1"/>
  <c r="O25" i="23"/>
  <c r="P25" i="23" s="1"/>
  <c r="J49" i="23"/>
  <c r="M49" i="23"/>
  <c r="M53" i="23" s="1"/>
  <c r="P9" i="23"/>
  <c r="P22" i="23"/>
  <c r="P48" i="23"/>
  <c r="O49" i="23" l="1"/>
  <c r="P49" i="23" s="1"/>
  <c r="J53" i="23"/>
  <c r="O53" i="23" s="1"/>
  <c r="J14" i="18" l="1"/>
  <c r="K39" i="3"/>
  <c r="G30" i="6" l="1"/>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G63" i="12" l="1"/>
  <c r="G64" i="12"/>
  <c r="L11" i="12" l="1"/>
  <c r="K59" i="3"/>
  <c r="E70" i="6" l="1"/>
  <c r="D51" i="6"/>
  <c r="G591" i="19" l="1"/>
  <c r="G592" i="19" l="1"/>
  <c r="G596" i="19" s="1"/>
  <c r="G599"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M23" i="12" s="1"/>
  <c r="L22" i="12"/>
  <c r="M22" i="12" s="1"/>
  <c r="L21" i="12"/>
  <c r="M21" i="12" s="1"/>
  <c r="L20" i="12"/>
  <c r="M20" i="12" s="1"/>
  <c r="L19" i="12"/>
  <c r="M19" i="12" s="1"/>
  <c r="L18" i="12"/>
  <c r="M18" i="12" s="1"/>
  <c r="L15" i="12"/>
  <c r="M15" i="12" s="1"/>
  <c r="L14" i="12"/>
  <c r="M14" i="12" s="1"/>
  <c r="L13" i="12"/>
  <c r="L12" i="12"/>
  <c r="M12" i="12" s="1"/>
  <c r="L10" i="12"/>
  <c r="M10" i="12" s="1"/>
  <c r="L9" i="12"/>
  <c r="M9" i="12" s="1"/>
  <c r="H64" i="12"/>
  <c r="H59" i="5"/>
  <c r="H65" i="12" l="1"/>
  <c r="O24" i="18"/>
  <c r="P24" i="18" s="1"/>
  <c r="O44" i="18"/>
  <c r="P44" i="18" s="1"/>
  <c r="O43" i="18"/>
  <c r="P43" i="18" s="1"/>
  <c r="O42" i="18"/>
  <c r="P42" i="18" s="1"/>
  <c r="L59" i="5" l="1"/>
  <c r="G66" i="6" l="1"/>
  <c r="I55" i="3" s="1"/>
  <c r="H57" i="3" l="1"/>
  <c r="H65" i="3" s="1"/>
  <c r="G40" i="6"/>
  <c r="H24" i="3" s="1"/>
  <c r="G41" i="6"/>
  <c r="E16" i="15" s="1"/>
  <c r="A4" i="18" l="1"/>
  <c r="G51" i="22" l="1"/>
  <c r="G47" i="22"/>
  <c r="G46" i="22"/>
  <c r="G28" i="22"/>
  <c r="G13" i="22"/>
  <c r="G20" i="22"/>
  <c r="G34" i="22" l="1"/>
  <c r="G53" i="22" l="1"/>
  <c r="G55" i="22" s="1"/>
  <c r="L31" i="5" l="1"/>
  <c r="C121" i="6" l="1"/>
  <c r="L63" i="12" l="1"/>
  <c r="M63" i="12" s="1"/>
  <c r="O32" i="18" l="1"/>
  <c r="P32" i="18" s="1"/>
  <c r="G50" i="15" l="1"/>
  <c r="D14" i="6" l="1"/>
  <c r="J22" i="18" l="1"/>
  <c r="K22" i="18"/>
  <c r="K39" i="18" s="1"/>
  <c r="K21" i="18"/>
  <c r="K63" i="18"/>
  <c r="K15" i="18"/>
  <c r="K8" i="18"/>
  <c r="K49" i="18" l="1"/>
  <c r="K53" i="18"/>
  <c r="J39" i="18"/>
  <c r="J49" i="18" s="1"/>
  <c r="K23" i="18"/>
  <c r="K57" i="18" l="1"/>
  <c r="K60" i="18"/>
  <c r="D44" i="6" l="1"/>
  <c r="G13" i="6"/>
  <c r="H12" i="3" s="1"/>
  <c r="G12" i="3" l="1"/>
  <c r="A3" i="21"/>
  <c r="I35" i="3" l="1"/>
  <c r="K35"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18" i="3" s="1"/>
  <c r="I18" i="3" s="1"/>
  <c r="J18" i="3" l="1"/>
  <c r="G18" i="3"/>
  <c r="E56" i="15"/>
  <c r="K58" i="3" l="1"/>
  <c r="K29" i="3" l="1"/>
  <c r="D32" i="6"/>
  <c r="D70" i="6" s="1"/>
  <c r="J21" i="18" l="1"/>
  <c r="O21" i="18" s="1"/>
  <c r="K60" i="3" l="1"/>
  <c r="L25" i="12" l="1"/>
  <c r="M25" i="12" s="1"/>
  <c r="G8" i="12"/>
  <c r="J8" i="12" s="1"/>
  <c r="E57" i="15" l="1"/>
  <c r="L33" i="12" l="1"/>
  <c r="M33" i="12" s="1"/>
  <c r="B323" i="19"/>
  <c r="K26" i="18" l="1"/>
  <c r="K50" i="18" s="1"/>
  <c r="K54" i="18" s="1"/>
  <c r="O22" i="18"/>
  <c r="J9" i="18" l="1"/>
  <c r="J63" i="18" s="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K61" i="3"/>
  <c r="K65" i="3" s="1"/>
  <c r="I43" i="3"/>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84"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1" i="3" s="1"/>
  <c r="I21" i="3" s="1"/>
  <c r="G21" i="3" l="1"/>
  <c r="J21" i="3"/>
  <c r="D75" i="15"/>
  <c r="E75" i="15"/>
  <c r="G73" i="15"/>
  <c r="F83" i="15"/>
  <c r="G58" i="6" l="1"/>
  <c r="C51" i="6"/>
  <c r="C44" i="6"/>
  <c r="G17" i="6"/>
  <c r="G18" i="6" l="1"/>
  <c r="F82" i="15"/>
  <c r="F81" i="15"/>
  <c r="D86" i="15"/>
  <c r="G84" i="15"/>
  <c r="G83" i="15"/>
  <c r="H55" i="12" l="1"/>
  <c r="G80" i="15"/>
  <c r="E81" i="15" l="1"/>
  <c r="F86" i="15"/>
  <c r="G79" i="15"/>
  <c r="G81" i="15" l="1"/>
  <c r="G62" i="6" l="1"/>
  <c r="H25" i="3" s="1"/>
  <c r="G25" i="3" l="1"/>
  <c r="J25" i="3"/>
  <c r="U8" i="17"/>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4" i="5" l="1"/>
  <c r="L47" i="5"/>
  <c r="L16" i="5"/>
  <c r="F67" i="15"/>
  <c r="L56" i="5" l="1"/>
  <c r="G43" i="6"/>
  <c r="E14" i="15" l="1"/>
  <c r="J69" i="3"/>
  <c r="G48" i="6" l="1"/>
  <c r="H20" i="3" s="1"/>
  <c r="G20" i="3" s="1"/>
  <c r="G69" i="3" l="1"/>
  <c r="L23" i="5" l="1"/>
  <c r="L25" i="5" s="1"/>
  <c r="L35" i="5" s="1"/>
  <c r="H54" i="5"/>
  <c r="L67" i="5" l="1"/>
  <c r="D195" i="6" l="1"/>
  <c r="D196" i="6"/>
  <c r="D197" i="6"/>
  <c r="L64" i="12" l="1"/>
  <c r="M64" i="12" s="1"/>
  <c r="F195" i="6" l="1"/>
  <c r="G31" i="6" l="1"/>
  <c r="G60" i="6"/>
  <c r="E17" i="15" s="1"/>
  <c r="G51" i="6"/>
  <c r="G50" i="6"/>
  <c r="H28" i="3" l="1"/>
  <c r="G28" i="3" s="1"/>
  <c r="H15" i="3"/>
  <c r="F43" i="3"/>
  <c r="F45" i="3" s="1"/>
  <c r="G15" i="3" l="1"/>
  <c r="N199" i="6"/>
  <c r="M199" i="6"/>
  <c r="L199" i="6"/>
  <c r="K199" i="6"/>
  <c r="J199" i="6"/>
  <c r="I199" i="6"/>
  <c r="H199" i="6"/>
  <c r="G199" i="6"/>
  <c r="C56" i="6" l="1"/>
  <c r="F27" i="6"/>
  <c r="F70" i="6" s="1"/>
  <c r="C32" i="6"/>
  <c r="C198" i="6" l="1"/>
  <c r="G54" i="6" l="1"/>
  <c r="G55" i="6"/>
  <c r="G56" i="6" l="1"/>
  <c r="G24" i="3" l="1"/>
  <c r="G20" i="6"/>
  <c r="C14" i="6"/>
  <c r="C70" i="6" s="1"/>
  <c r="G12" i="6"/>
  <c r="L26" i="12" l="1"/>
  <c r="M26" i="12" s="1"/>
  <c r="L28" i="12" l="1"/>
  <c r="M28" i="12" l="1"/>
  <c r="L55" i="12"/>
  <c r="M55" i="12" s="1"/>
  <c r="I34" i="3" l="1"/>
  <c r="K34" i="3" s="1"/>
  <c r="I69" i="3" l="1"/>
  <c r="G28" i="12" l="1"/>
  <c r="G57" i="12" l="1"/>
  <c r="H61" i="5" s="1"/>
  <c r="H57" i="12"/>
  <c r="J43" i="3"/>
  <c r="H67" i="12" l="1"/>
  <c r="H70" i="12" s="1"/>
  <c r="L62" i="5"/>
  <c r="J74" i="12" s="1"/>
  <c r="L57" i="12"/>
  <c r="M57" i="12" s="1"/>
  <c r="G69" i="12" l="1"/>
  <c r="H74" i="12"/>
  <c r="L64" i="5"/>
  <c r="L70" i="5" s="1"/>
  <c r="C196" i="6" l="1"/>
  <c r="G39" i="6"/>
  <c r="G32" i="6"/>
  <c r="G11" i="6"/>
  <c r="H17" i="3" l="1"/>
  <c r="G17" i="3" s="1"/>
  <c r="G44" i="6"/>
  <c r="E12" i="15"/>
  <c r="H69" i="3"/>
  <c r="K69" i="3" s="1"/>
  <c r="D199" i="6"/>
  <c r="G14" i="6"/>
  <c r="E13" i="15" s="1"/>
  <c r="G27" i="6"/>
  <c r="F199" i="6" l="1"/>
  <c r="M65" i="3" l="1"/>
  <c r="I65" i="3"/>
  <c r="J65" i="3"/>
  <c r="G65" i="3"/>
  <c r="F65" i="3"/>
  <c r="L60" i="3"/>
  <c r="L59" i="3"/>
  <c r="G45" i="3"/>
  <c r="J45" i="3"/>
  <c r="L61" i="3" l="1"/>
  <c r="L65" i="3" l="1"/>
  <c r="L67" i="3" s="1"/>
  <c r="G65" i="12"/>
  <c r="E82" i="15"/>
  <c r="J70" i="5" l="1"/>
  <c r="H60" i="5"/>
  <c r="H62" i="5" s="1"/>
  <c r="G67" i="12"/>
  <c r="G70" i="12" s="1"/>
  <c r="L65" i="12"/>
  <c r="M65" i="12" s="1"/>
  <c r="E86" i="15"/>
  <c r="G82" i="15"/>
  <c r="G86" i="15" s="1"/>
  <c r="L67" i="12" l="1"/>
  <c r="G7" i="6"/>
  <c r="H9" i="3" s="1"/>
  <c r="G9" i="3" l="1"/>
  <c r="H29" i="3"/>
  <c r="J73" i="3" s="1"/>
  <c r="C197" i="6"/>
  <c r="G8" i="6"/>
  <c r="G70" i="6" l="1"/>
  <c r="H19" i="5" s="1"/>
  <c r="I29" i="3"/>
  <c r="G29" i="3"/>
  <c r="E11" i="15"/>
  <c r="E18" i="15" s="1"/>
  <c r="C195" i="6"/>
  <c r="C199" i="6" s="1"/>
  <c r="E72" i="6" l="1"/>
  <c r="F72" i="6"/>
  <c r="D72" i="6"/>
  <c r="G72" i="6"/>
  <c r="C72" i="6"/>
  <c r="J29" i="3"/>
  <c r="F17" i="15"/>
  <c r="F15" i="15"/>
  <c r="F14" i="15"/>
  <c r="F13" i="15"/>
  <c r="F12" i="15"/>
  <c r="F11" i="15"/>
  <c r="F16" i="15"/>
  <c r="C96" i="6"/>
  <c r="H23" i="5"/>
  <c r="H25" i="5" s="1"/>
  <c r="H35" i="5" s="1"/>
  <c r="J74" i="3"/>
  <c r="J75" i="3" s="1"/>
  <c r="I38" i="3"/>
  <c r="K38" i="3" s="1"/>
  <c r="F18" i="15" l="1"/>
  <c r="H45" i="3"/>
  <c r="I45" i="3" l="1"/>
  <c r="K45" i="3" l="1"/>
  <c r="L45" i="3" s="1"/>
  <c r="G75" i="15" l="1"/>
  <c r="F66" i="15"/>
  <c r="F75" i="15" s="1"/>
  <c r="H46" i="5"/>
  <c r="H47" i="5" s="1"/>
  <c r="H56" i="5" s="1"/>
  <c r="H67" i="5" s="1"/>
  <c r="H64" i="5" l="1"/>
  <c r="H70" i="5" s="1"/>
</calcChain>
</file>

<file path=xl/comments1.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3.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<sst xmlns="http://schemas.openxmlformats.org/spreadsheetml/2006/main" count="744" uniqueCount="485">
  <si>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</si>
  <si>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</si>
  <si>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</si>
  <si>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</si>
  <si>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</si>
  <si>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</si>
  <si>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</si>
  <si>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</si>
  <si>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</si>
  <si>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</si>
  <si>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</si>
  <si>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</si>
  <si>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</si>
  <si>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</si>
  <si>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</si>
  <si>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</si>
  <si>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</si>
  <si>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</si>
  <si>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</si>
  <si>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</si>
  <si>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</si>
  <si>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</si>
  <si>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</si>
  <si>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</si>
  <si>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</si>
  <si>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</si>
  <si>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</si>
  <si>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</si>
  <si>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</si>
  <si>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</si>
  <si>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</si>
  <si>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</si>
  <si>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</si>
  <si>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</si>
  <si>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</si>
  <si>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</si>
  <si>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</si>
  <si>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</si>
  <si>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</si>
  <si>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</si>
  <si>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</si>
  <si>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</si>
  <si>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</si>
  <si>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</si>
  <si>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Actual Expenses FYTD</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</si>
  <si>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</si>
  <si>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</si>
  <si>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</si>
  <si>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</si>
  <si>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</si>
  <si>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</si>
  <si>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</si>
  <si>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</si>
  <si>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</si>
  <si>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</si>
  <si>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</si>
  <si>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</si>
  <si>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</si>
  <si>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</si>
  <si>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</si>
  <si>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</si>
  <si>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</si>
  <si>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</si>
  <si>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</si>
  <si>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</si>
  <si>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</si>
  <si>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</si>
  <si>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</si>
  <si>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</si>
  <si>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</si>
  <si>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</si>
  <si>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</si>
  <si>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</si>
  <si>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</si>
  <si>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</si>
  <si>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</si>
  <si>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</si>
  <si>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</si>
  <si>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</si>
  <si>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</si>
  <si>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</si>
  <si>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</si>
  <si>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</si>
  <si>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</si>
  <si>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</si>
  <si>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</si>
  <si>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</si>
  <si>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</si>
  <si>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</si>
  <si>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</si>
  <si>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</si>
  <si>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</si>
  <si>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</si>
  <si>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</si>
  <si>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</si>
  <si>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</si>
  <si>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</si>
  <si>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</si>
  <si>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</si>
  <si>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</si>
  <si>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</si>
  <si>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</si>
  <si>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</si>
  <si>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</si>
  <si>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</si>
  <si>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</si>
  <si>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</si>
  <si>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</si>
  <si>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</si>
  <si>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</si>
  <si>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</si>
  <si>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</si>
  <si>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</si>
  <si>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</si>
  <si>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</si>
  <si>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</si>
  <si>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</si>
  <si>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</si>
  <si>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</si>
  <si>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</si>
  <si>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</si>
  <si>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</si>
  <si>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</si>
  <si>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</si>
  <si>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</si>
  <si>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</si>
  <si>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</si>
  <si>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</si>
  <si>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</si>
  <si>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</si>
  <si>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</si>
  <si>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</si>
  <si>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</si>
  <si>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</si>
  <si>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</si>
  <si>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</si>
  <si>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</si>
  <si>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</si>
  <si>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</si>
  <si>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</si>
  <si>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</si>
  <si>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</si>
  <si>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</si>
  <si>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</si>
  <si>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</si>
  <si>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 xml:space="preserve">Transportation Clients         </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</si>
  <si>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</si>
  <si>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</si>
  <si>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</si>
  <si>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</si>
  <si>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</si>
  <si>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</si>
  <si>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</si>
  <si>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</si>
  <si>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</si>
  <si>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</si>
  <si>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</si>
  <si>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</si>
  <si>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</si>
  <si>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</si>
  <si>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</si>
  <si>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</si>
  <si>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</si>
  <si>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</si>
  <si>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</si>
  <si>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</si>
  <si>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</si>
  <si>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C-029670</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</si>
  <si>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</si>
  <si>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</si>
  <si>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</si>
  <si>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</si>
  <si>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</si>
  <si>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</si>
  <si>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</si>
  <si>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</si>
  <si>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</si>
  <si>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</si>
  <si>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</si>
  <si>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</si>
  <si>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</si>
  <si>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</si>
  <si>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</si>
  <si>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</si>
  <si>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</si>
  <si>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</si>
  <si>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</si>
  <si>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</si>
  <si>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</si>
  <si>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</si>
  <si>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</si>
  <si>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</si>
  <si>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</si>
  <si>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</si>
  <si>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</si>
  <si>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</si>
  <si>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</si>
  <si>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</si>
  <si>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</si>
  <si>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</si>
  <si>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</si>
  <si>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</si>
  <si>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</si>
  <si>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</si>
  <si>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</si>
  <si>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</si>
  <si>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</si>
  <si>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</si>
  <si>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</si>
  <si>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</si>
  <si>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</si>
  <si>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</si>
  <si>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</si>
  <si>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</si>
  <si>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</si>
  <si>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</si>
  <si>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</si>
  <si>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</si>
  <si>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</si>
  <si>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</si>
  <si>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</si>
  <si>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</si>
  <si>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</si>
  <si>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</si>
  <si>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</si>
  <si>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</si>
  <si>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</si>
  <si>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</si>
  <si>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</si>
  <si>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</si>
  <si>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</si>
  <si>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</si>
  <si>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</si>
  <si>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</si>
  <si>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</si>
  <si>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</si>
  <si>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</si>
  <si>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</si>
  <si>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</si>
  <si>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</si>
  <si>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</si>
  <si>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</si>
  <si>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</si>
  <si>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</si>
  <si>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</si>
  <si>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</si>
  <si>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NYS Grant Advances</t>
  </si>
  <si>
    <t>Tobacco Free Program</t>
  </si>
  <si>
    <t>Total Advance Funding Payable</t>
  </si>
  <si>
    <t>Investment Income</t>
  </si>
  <si>
    <t>Foundation Revenue - FCH &amp; Dyson</t>
  </si>
  <si>
    <t>Month in Service</t>
  </si>
  <si>
    <t>Funding Source</t>
  </si>
  <si>
    <t>Supplier</t>
  </si>
  <si>
    <t>Cost</t>
  </si>
  <si>
    <t>Columbia County Depts.-CARTS</t>
  </si>
  <si>
    <t>Tobacco Free Communities Grant - COLA</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</si>
  <si>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</si>
  <si>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</si>
  <si>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</si>
  <si>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</si>
  <si>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</si>
  <si>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</si>
  <si>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</si>
  <si>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</si>
  <si>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</si>
  <si>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</si>
  <si>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</si>
  <si>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</si>
  <si>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</si>
  <si>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</si>
  <si>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r>
      <t xml:space="preserve">Greene County DSS </t>
    </r>
    <r>
      <rPr>
        <sz val="10"/>
        <color theme="1"/>
        <rFont val="Arial"/>
        <family val="2"/>
      </rPr>
      <t>(Community Service Workers )</t>
    </r>
  </si>
  <si>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</si>
  <si>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</si>
  <si>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</si>
  <si>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</si>
  <si>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</si>
  <si>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</si>
  <si>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</si>
  <si>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</si>
  <si>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</si>
  <si>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</si>
  <si>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</si>
  <si>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</si>
  <si>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</si>
  <si>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</si>
  <si>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</si>
  <si>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</si>
  <si>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</si>
  <si>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</si>
  <si>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</si>
  <si>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</si>
  <si>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</si>
  <si>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</si>
  <si>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</si>
  <si>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</si>
  <si>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</si>
  <si>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</si>
  <si>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</si>
  <si>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</si>
  <si>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</si>
  <si>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</si>
  <si>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</si>
  <si>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</si>
  <si>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</si>
  <si>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</si>
  <si>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</si>
  <si>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</si>
  <si>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</si>
  <si>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</si>
  <si>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Tobacco Free Communities Grant - Yr#5 of 5</t>
  </si>
  <si>
    <t>Miscellaneous</t>
  </si>
  <si>
    <t>Vehicle mileage for period</t>
  </si>
  <si>
    <t>Number of Rides for period</t>
  </si>
  <si>
    <t>Number of Medicaid Rides for Period</t>
  </si>
  <si>
    <t>NYSDOH 07/18 to 06/19</t>
  </si>
  <si>
    <t>HRI Clinical Services 07/18 to 09/18</t>
  </si>
  <si>
    <t>Transportation Scheduling Software-RoutingBox</t>
  </si>
  <si>
    <t>Cost per mile (w/o depreciation&amp;rent)</t>
  </si>
  <si>
    <t>Research Foundation SUNY - Women's Project</t>
  </si>
  <si>
    <t>Transportation Services (2019)</t>
  </si>
  <si>
    <r>
      <t xml:space="preserve">Greene County DSS </t>
    </r>
    <r>
      <rPr>
        <sz val="10"/>
        <color theme="1"/>
        <rFont val="Arial"/>
        <family val="2"/>
      </rPr>
      <t>(HEAP Program )</t>
    </r>
  </si>
  <si>
    <t>For the Year Ended December 31, 2019</t>
  </si>
  <si>
    <t>Grants - Federal (5310 Funding)</t>
  </si>
  <si>
    <t>Columbia County BOS</t>
  </si>
  <si>
    <t>Unrealized Gain on Investments</t>
  </si>
  <si>
    <t>Community Cancer Funds</t>
  </si>
  <si>
    <t>Gain on Sale of Vehicle</t>
  </si>
  <si>
    <t>The Research Foundation - SUNY (Women's Project)</t>
  </si>
  <si>
    <t>Senior Transportation Services - 2019</t>
  </si>
  <si>
    <t>County Government - 2019</t>
  </si>
  <si>
    <t>County Departments - 2019</t>
  </si>
  <si>
    <t>Columbia County BOS 2019 Budget Appropriation</t>
  </si>
  <si>
    <t>Columbia County Departments 2019 Donations (CARTS)</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</si>
  <si>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</si>
  <si>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</si>
  <si>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</si>
  <si>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</si>
  <si>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</si>
  <si>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</si>
  <si>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</si>
  <si>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</si>
  <si>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Prescription Access (30-Months)</t>
  </si>
  <si>
    <t>Medicare Improvements for Patients &amp; Providers (MIPPA)</t>
  </si>
  <si>
    <t>With Donor Restrictions Net Assets</t>
  </si>
  <si>
    <t>Statement of Activities</t>
  </si>
  <si>
    <t xml:space="preserve">Change in With Donor Restrictions </t>
  </si>
  <si>
    <t>Changes in With Donor Restrictions - Net Assets</t>
  </si>
  <si>
    <t>Columbia Memorial Hospital</t>
  </si>
  <si>
    <t>Misc. Revenue</t>
  </si>
  <si>
    <t>Circulation</t>
  </si>
  <si>
    <t>Columbia Memorial Hospital-Comm Health Plan</t>
  </si>
  <si>
    <t>NY Connects E&amp;EP         04/19 to 03/20</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</si>
  <si>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</si>
  <si>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</si>
  <si>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</si>
  <si>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</si>
  <si>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</si>
  <si>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r>
      <t xml:space="preserve">In Person Assisitors &amp; Navigators </t>
    </r>
    <r>
      <rPr>
        <sz val="10"/>
        <color theme="1"/>
        <rFont val="Arial"/>
        <family val="2"/>
      </rPr>
      <t>(3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</si>
  <si>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</si>
  <si>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</si>
  <si>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</si>
  <si>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</si>
  <si>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</si>
  <si>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</si>
  <si>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</si>
  <si>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</si>
  <si>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</si>
  <si>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</si>
  <si>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</si>
  <si>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</si>
  <si>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</si>
  <si>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</si>
  <si>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</si>
  <si>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</si>
  <si>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</si>
  <si>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Columbia County Programs</t>
  </si>
  <si>
    <t>Additions:</t>
  </si>
  <si>
    <t>Month</t>
  </si>
  <si>
    <t>NYSDOH 07/19 to 06/20</t>
  </si>
  <si>
    <t>NYSDOH 05/19 to 07/19</t>
  </si>
  <si>
    <t>East Coast Riders, Inc</t>
  </si>
  <si>
    <t>C34567GG</t>
  </si>
  <si>
    <t>Transportation - Other: Circulation &amp; CMH</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</si>
  <si>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</si>
  <si>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Cost per Ride (w/o depreciation&amp;rent)</t>
  </si>
  <si>
    <t>NYSDOH 08/19 to 07/20</t>
  </si>
  <si>
    <t>Greene County -Dept of Social Services</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</si>
  <si>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</si>
  <si>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</si>
  <si>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</si>
  <si>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</si>
  <si>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</si>
  <si>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</si>
  <si>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</si>
  <si>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</si>
  <si>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</si>
  <si>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</si>
  <si>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</si>
  <si>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r>
      <t xml:space="preserve">ICAN Progrm                  </t>
    </r>
    <r>
      <rPr>
        <sz val="14"/>
        <color rgb="FF000000"/>
        <rFont val="Arial"/>
        <family val="2"/>
      </rPr>
      <t>10/19 to 4/20</t>
    </r>
  </si>
  <si>
    <t xml:space="preserve">General Operating Support (24-Months) </t>
  </si>
  <si>
    <t>Transportation-Vehicle &amp; Communication Upgrade</t>
  </si>
  <si>
    <t>Healthy Capital District Initiative</t>
  </si>
  <si>
    <t>OFA: NY Connects - November'19 Voucher</t>
  </si>
  <si>
    <t>NYSARH $18,886  (April'19-March'20)</t>
  </si>
  <si>
    <t>Greene County RHN</t>
  </si>
  <si>
    <t>Columbia County Dept of Human Services - 4th Quarter</t>
  </si>
  <si>
    <t>OFA: Senior Transportation - November'19 Voucher</t>
  </si>
  <si>
    <t>Columbia Memorial Hospital- 4th Quarter Voucher</t>
  </si>
  <si>
    <t>ICAN Program - October'19 Voucher</t>
  </si>
  <si>
    <t>ICAN Program - November'19 Voucher</t>
  </si>
  <si>
    <t>Navigator Program - October 2019 Voucher</t>
  </si>
  <si>
    <t>N/A</t>
  </si>
  <si>
    <t>Rural Health Network Program- Yr#2of 5</t>
  </si>
  <si>
    <t xml:space="preserve">ICAN Program </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</si>
  <si>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</si>
  <si>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</si>
  <si>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</si>
  <si>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</si>
  <si>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</si>
  <si>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</si>
  <si>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</si>
  <si>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</si>
  <si>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</si>
  <si>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</si>
  <si>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</si>
  <si>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 xml:space="preserve">Community Foundation of the Hudson Valley </t>
  </si>
  <si>
    <r>
      <t xml:space="preserve">General Operating Support  </t>
    </r>
    <r>
      <rPr>
        <b/>
        <sz val="11"/>
        <color rgb="FFFF0000"/>
        <rFont val="Arial"/>
        <family val="2"/>
      </rPr>
      <t>(NEW)</t>
    </r>
  </si>
  <si>
    <t>April</t>
  </si>
  <si>
    <t>OFA: Senior Transportation - April'19 Voucher</t>
  </si>
  <si>
    <t>ICAN Program - April'19 Voucher</t>
  </si>
  <si>
    <t>Grants Receivable Aging Summary as of April 30, 2020</t>
  </si>
  <si>
    <t>March</t>
  </si>
  <si>
    <t>February</t>
  </si>
  <si>
    <t>January &amp; Older</t>
  </si>
  <si>
    <t>NYSDOH 01/20 to 12/20 (Quarterly Voucher)</t>
  </si>
  <si>
    <t>NY Connects E&amp;EP         04/20 to 03/21</t>
  </si>
  <si>
    <t>MIPPA                              04/20 to 9/20</t>
  </si>
  <si>
    <t>CC Dept of Health: HEALing Community Study</t>
  </si>
  <si>
    <t>Payments Received After April 30, 2020</t>
  </si>
  <si>
    <t>Grants Receivable at 04/30/2020</t>
  </si>
  <si>
    <t>As of  April 30, 2020</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</si>
  <si>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</si>
  <si>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</si>
  <si>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</si>
  <si>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</si>
  <si>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Ancram/Copake Prescription Access (2019)</t>
  </si>
  <si>
    <t xml:space="preserve">Rip Van Winkle Foundation </t>
  </si>
  <si>
    <t xml:space="preserve">County Government - 2020 </t>
  </si>
  <si>
    <t xml:space="preserve">County Departments - 2020 </t>
  </si>
  <si>
    <t>Collaborative Community Health Planning Jan'20-Dec'20</t>
  </si>
  <si>
    <t>QuickBooks AR at 04/30/2020</t>
  </si>
  <si>
    <t>Balance as of 01/01/2020</t>
  </si>
  <si>
    <t>None</t>
  </si>
  <si>
    <t>Four Months Ended April 30, 2020 and 2019</t>
  </si>
  <si>
    <t xml:space="preserve">For the Year Ended December 31, 2019 </t>
  </si>
  <si>
    <t>April'20 vs.'19</t>
  </si>
  <si>
    <t>Dept. of Health</t>
  </si>
  <si>
    <t>FCH: Prescription Access Funds</t>
  </si>
  <si>
    <t>Total AR Payments Received After April 30, 2020</t>
  </si>
  <si>
    <t>Increase due to HEAing Program</t>
  </si>
  <si>
    <t>Decrease in Tobacco Advertising</t>
  </si>
  <si>
    <t>Expected decrease due to economic downturn</t>
  </si>
  <si>
    <t>New Program - HEALing Community Study</t>
  </si>
  <si>
    <t>Other: Columbia County-(50% of $52,000 less 20%)</t>
  </si>
  <si>
    <t>ICAN Program- March 2020 Voucher</t>
  </si>
  <si>
    <t>Berkshire Taconic Foundation</t>
  </si>
  <si>
    <t xml:space="preserve">Payroll Protection Program Loan </t>
  </si>
  <si>
    <t>Greene County Sheriff Department-Greene County Cancer Fund</t>
  </si>
  <si>
    <t>OFA: NY Connects - March 2020 Voucher</t>
  </si>
  <si>
    <t>OFA: Senior Transportation - March 2020 Voucher</t>
  </si>
  <si>
    <t>April 30st AR Balance at June 02, 2020</t>
  </si>
  <si>
    <r>
      <t xml:space="preserve">Columbia County BOS 2020 Budget Appropriation </t>
    </r>
    <r>
      <rPr>
        <b/>
        <sz val="11"/>
        <color rgb="FFFF0000"/>
        <rFont val="Arial"/>
        <family val="2"/>
      </rPr>
      <t>(Reduced by 20%)</t>
    </r>
  </si>
  <si>
    <r>
      <t xml:space="preserve">Ancram/Copake Prescription Access (2020) </t>
    </r>
    <r>
      <rPr>
        <b/>
        <sz val="11"/>
        <color rgb="FFFF0000"/>
        <rFont val="Arial"/>
        <family val="2"/>
      </rPr>
      <t>(NEW)</t>
    </r>
  </si>
  <si>
    <r>
      <t xml:space="preserve">ICAN Program </t>
    </r>
    <r>
      <rPr>
        <b/>
        <sz val="11"/>
        <color rgb="FFFF0000"/>
        <rFont val="Arial"/>
        <family val="2"/>
      </rPr>
      <t>(NEW)</t>
    </r>
  </si>
  <si>
    <r>
      <t>è</t>
    </r>
    <r>
      <rPr>
        <b/>
        <sz val="12"/>
        <color theme="1"/>
        <rFont val="Times New Roman"/>
        <family val="1"/>
      </rPr>
      <t xml:space="preserve"> Cash</t>
    </r>
    <r>
      <rPr>
        <sz val="12"/>
        <color theme="1"/>
        <rFont val="Calibri"/>
        <family val="2"/>
      </rPr>
      <t xml:space="preserve"> -  Cash balance in the operating checking account started the 2020 year off with $189K and ended on the month of April 2020 with $173K.  Low balance on April 28, 2020 was $152K &amp; the high balance on February 29, 2020 was $306K. Average daily balance for the 2020 &amp; 2019 years were $238K and $237K, respectively. On May 07, 2020, Agency received a loan in the amount of $197,400 from the Federal Payroll Protection Program via The Bank of Greene County.</t>
    </r>
  </si>
  <si>
    <t>Total Grant Receivable - April 2020</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</si>
  <si>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April 30, 2020 our Grant Receivable is $323K. Expectation is that we will collect on all receivables.  Annual  average days to collect at December'19 was 72 days with an annual receivable turnover ratio of 5.1. Summary of Grants Receivable at April 30, 2020 is as follows:</t>
    </r>
  </si>
  <si>
    <r>
      <t>è</t>
    </r>
    <r>
      <rPr>
        <b/>
        <sz val="12"/>
        <color theme="1"/>
        <rFont val="Times New Roman"/>
        <family val="1"/>
      </rPr>
      <t xml:space="preserve"> Equipment, Furniture &amp; Vehicles</t>
    </r>
    <r>
      <rPr>
        <sz val="12"/>
        <color theme="1"/>
        <rFont val="Calibri"/>
        <family val="2"/>
      </rPr>
      <t xml:space="preserve"> No additions or deletions of fixed assets as of April 30, 2020.</t>
    </r>
  </si>
  <si>
    <r>
      <t>è</t>
    </r>
    <r>
      <rPr>
        <b/>
        <sz val="12"/>
        <color theme="1"/>
        <rFont val="Times New Roman"/>
        <family val="1"/>
      </rPr>
      <t xml:space="preserve"> Investment - North Country Financial Group</t>
    </r>
    <r>
      <rPr>
        <sz val="12"/>
        <color theme="1"/>
        <rFont val="Calibri"/>
        <family val="2"/>
      </rPr>
      <t xml:space="preserve"> - As of April 30, 2020, investment account value of seven funds is $175K. Initial investment during the month of March 2016 was $152K. This represents an annual increase of 3.4% over the last 4 years.</t>
    </r>
  </si>
  <si>
    <r>
      <t>è</t>
    </r>
    <r>
      <rPr>
        <b/>
        <sz val="12"/>
        <color theme="1"/>
        <rFont val="Times New Roman"/>
        <family val="1"/>
      </rPr>
      <t xml:space="preserve">Accounts Payable - </t>
    </r>
    <r>
      <rPr>
        <sz val="12"/>
        <color theme="1"/>
        <rFont val="Calibri"/>
        <family val="2"/>
        <scheme val="minor"/>
      </rPr>
      <t>At April 30, 2020, accounts payable lability is $8,004. The two vendors with the largest balance due is Intelligent Tech Solutions in the amount of $2,961 for quarterly service agreement and Greene Medical Arts Pharmacy in the amount of $1,275 for Rx medical assistance.</t>
    </r>
  </si>
  <si>
    <t>Ending Balance at April 30, 2020</t>
  </si>
  <si>
    <t>2020 Operating Support</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</si>
  <si>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April 30, 2020:</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</si>
  <si>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April 30,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</si>
</sst>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quot;$&quot;#,##0"/>
  </numFmts>
  <fonts count="67"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b/>
      <sz val="10"/>
      <color theme="1"/>
      <name val="Arial"/>
      <family val="2"/>
    </font>
    <font>
      <b/>
      <sz val="11"/>
      <color rgb="FFFF0000"/>
      <name val="Arial"/>
      <family val="2"/>
    </font>
    <font>
      <b/>
      <sz val="14"/>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s>
  <cellStyleXfs count="5">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2" fillId="0" borderId="0" applyFont="0" applyFill="0" applyBorder="0" applyAlignment="0" applyProtection="0"/>
  </cellStyleXfs>
  <cellXfs count="83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2"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3" xfId="0" applyFont="1" applyFill="1" applyBorder="1" applyAlignment="1"/>
    <xf numFmtId="0" fontId="6" fillId="4" borderId="14" xfId="0" applyFont="1" applyFill="1" applyBorder="1" applyAlignment="1"/>
    <xf numFmtId="0" fontId="6" fillId="3" borderId="16"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0" xfId="0" applyNumberFormat="1" applyFont="1" applyBorder="1" applyAlignment="1">
      <alignment vertical="center"/>
    </xf>
    <xf numFmtId="0" fontId="14" fillId="0" borderId="0" xfId="0" applyFont="1" applyBorder="1" applyAlignment="1">
      <alignment vertical="center"/>
    </xf>
    <xf numFmtId="0" fontId="14" fillId="0" borderId="30"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1" xfId="0" applyNumberFormat="1" applyFont="1" applyBorder="1" applyAlignment="1">
      <alignment vertical="center"/>
    </xf>
    <xf numFmtId="0" fontId="12" fillId="0" borderId="0" xfId="0" applyFont="1" applyBorder="1" applyAlignment="1">
      <alignment vertical="center"/>
    </xf>
    <xf numFmtId="0" fontId="12" fillId="0" borderId="3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27" xfId="0" applyNumberFormat="1" applyFont="1" applyBorder="1" applyAlignment="1">
      <alignment vertical="center"/>
    </xf>
    <xf numFmtId="49" fontId="11" fillId="0" borderId="27" xfId="0" applyNumberFormat="1" applyFont="1" applyBorder="1" applyAlignment="1">
      <alignment vertical="center"/>
    </xf>
    <xf numFmtId="49" fontId="11" fillId="0" borderId="2" xfId="0" applyNumberFormat="1" applyFont="1" applyBorder="1" applyAlignment="1">
      <alignment vertical="center"/>
    </xf>
    <xf numFmtId="49" fontId="16" fillId="0" borderId="28" xfId="0" applyNumberFormat="1" applyFont="1" applyBorder="1" applyAlignment="1">
      <alignment vertical="center"/>
    </xf>
    <xf numFmtId="49" fontId="11" fillId="0" borderId="28"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19" fillId="6" borderId="0" xfId="0" applyNumberFormat="1" applyFont="1" applyFill="1" applyBorder="1"/>
    <xf numFmtId="0" fontId="0" fillId="7" borderId="0" xfId="0" applyFont="1" applyFill="1"/>
    <xf numFmtId="49" fontId="19" fillId="7" borderId="0" xfId="0" applyNumberFormat="1" applyFont="1" applyFill="1" applyBorder="1"/>
    <xf numFmtId="0" fontId="0" fillId="7"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0" borderId="0" xfId="0" applyFont="1" applyFill="1"/>
    <xf numFmtId="0" fontId="0" fillId="8" borderId="0" xfId="0" applyFont="1" applyFill="1"/>
    <xf numFmtId="49" fontId="18" fillId="0" borderId="0" xfId="0" applyNumberFormat="1" applyFont="1" applyFill="1" applyBorder="1"/>
    <xf numFmtId="0" fontId="0" fillId="0" borderId="3" xfId="0" applyFont="1" applyFill="1" applyBorder="1"/>
    <xf numFmtId="0" fontId="0" fillId="8" borderId="3" xfId="0" applyFont="1" applyFill="1" applyBorder="1"/>
    <xf numFmtId="49" fontId="19"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19" fillId="11" borderId="0" xfId="0" applyNumberFormat="1" applyFont="1" applyFill="1" applyBorder="1" applyAlignment="1">
      <alignment horizontal="left"/>
    </xf>
    <xf numFmtId="0" fontId="0" fillId="9"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2"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7" borderId="0" xfId="0" applyNumberFormat="1" applyFont="1" applyFill="1" applyBorder="1" applyAlignment="1">
      <alignment horizontal="left"/>
    </xf>
    <xf numFmtId="49" fontId="19" fillId="10" borderId="0" xfId="0" applyNumberFormat="1" applyFont="1" applyFill="1" applyBorder="1"/>
    <xf numFmtId="49" fontId="19" fillId="11" borderId="0" xfId="0" applyNumberFormat="1" applyFont="1" applyFill="1" applyBorder="1"/>
    <xf numFmtId="0" fontId="5" fillId="0" borderId="0" xfId="0" applyFont="1" applyBorder="1" applyAlignment="1">
      <alignment horizontal="center"/>
    </xf>
    <xf numFmtId="49" fontId="18" fillId="5" borderId="16" xfId="0" applyNumberFormat="1" applyFont="1" applyFill="1" applyBorder="1"/>
    <xf numFmtId="49" fontId="18" fillId="6" borderId="34" xfId="0" applyNumberFormat="1" applyFont="1" applyFill="1" applyBorder="1"/>
    <xf numFmtId="49" fontId="18" fillId="6" borderId="28" xfId="0" applyNumberFormat="1" applyFont="1" applyFill="1" applyBorder="1"/>
    <xf numFmtId="49" fontId="18" fillId="6" borderId="16" xfId="0" applyNumberFormat="1" applyFont="1" applyFill="1" applyBorder="1"/>
    <xf numFmtId="49" fontId="18" fillId="7" borderId="34" xfId="0" applyNumberFormat="1" applyFont="1" applyFill="1" applyBorder="1"/>
    <xf numFmtId="49" fontId="18" fillId="7" borderId="28" xfId="0" applyNumberFormat="1" applyFont="1" applyFill="1" applyBorder="1"/>
    <xf numFmtId="49" fontId="18" fillId="7" borderId="16" xfId="0" applyNumberFormat="1" applyFont="1" applyFill="1" applyBorder="1"/>
    <xf numFmtId="49" fontId="18" fillId="7" borderId="16" xfId="0" applyNumberFormat="1" applyFont="1" applyFill="1" applyBorder="1" applyAlignment="1">
      <alignment horizontal="center"/>
    </xf>
    <xf numFmtId="49" fontId="18" fillId="10" borderId="34" xfId="0" applyNumberFormat="1" applyFont="1" applyFill="1" applyBorder="1"/>
    <xf numFmtId="49" fontId="18" fillId="10" borderId="28" xfId="0" applyNumberFormat="1" applyFont="1" applyFill="1" applyBorder="1"/>
    <xf numFmtId="49" fontId="18" fillId="10" borderId="16" xfId="0" applyNumberFormat="1" applyFont="1" applyFill="1" applyBorder="1"/>
    <xf numFmtId="49" fontId="18" fillId="8" borderId="34" xfId="0" applyNumberFormat="1" applyFont="1" applyFill="1" applyBorder="1"/>
    <xf numFmtId="49" fontId="18" fillId="8" borderId="28" xfId="0" applyNumberFormat="1" applyFont="1" applyFill="1" applyBorder="1"/>
    <xf numFmtId="49" fontId="19" fillId="8" borderId="16" xfId="0" applyNumberFormat="1" applyFont="1" applyFill="1" applyBorder="1"/>
    <xf numFmtId="49" fontId="18" fillId="11" borderId="34" xfId="0" applyNumberFormat="1" applyFont="1" applyFill="1" applyBorder="1" applyAlignment="1">
      <alignment horizontal="left"/>
    </xf>
    <xf numFmtId="49" fontId="18" fillId="11" borderId="28" xfId="0" applyNumberFormat="1" applyFont="1" applyFill="1" applyBorder="1" applyAlignment="1">
      <alignment horizontal="center"/>
    </xf>
    <xf numFmtId="0" fontId="5" fillId="11" borderId="16" xfId="0" applyFont="1" applyFill="1" applyBorder="1" applyAlignment="1">
      <alignment horizontal="center"/>
    </xf>
    <xf numFmtId="49" fontId="18" fillId="9" borderId="34" xfId="0" applyNumberFormat="1" applyFont="1" applyFill="1" applyBorder="1"/>
    <xf numFmtId="49" fontId="18" fillId="5" borderId="37" xfId="0" applyNumberFormat="1" applyFont="1" applyFill="1" applyBorder="1" applyAlignment="1"/>
    <xf numFmtId="49" fontId="18" fillId="8" borderId="24"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2" xfId="0" applyFont="1" applyFill="1" applyBorder="1" applyAlignment="1">
      <alignment horizontal="center" vertical="center"/>
    </xf>
    <xf numFmtId="0" fontId="0" fillId="0" borderId="2" xfId="0" applyFont="1" applyBorder="1" applyAlignment="1">
      <alignment vertical="center"/>
    </xf>
    <xf numFmtId="49" fontId="11" fillId="0" borderId="27" xfId="0" applyNumberFormat="1" applyFont="1" applyBorder="1" applyAlignment="1"/>
    <xf numFmtId="0" fontId="0" fillId="0" borderId="27" xfId="0" applyBorder="1" applyAlignment="1"/>
    <xf numFmtId="49" fontId="18"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8" fillId="0" borderId="0" xfId="0" applyNumberFormat="1" applyFont="1" applyBorder="1" applyAlignment="1">
      <alignment horizontal="right"/>
    </xf>
    <xf numFmtId="38" fontId="19" fillId="6" borderId="37" xfId="0" applyNumberFormat="1" applyFont="1" applyFill="1" applyBorder="1" applyAlignment="1">
      <alignment horizontal="right"/>
    </xf>
    <xf numFmtId="38" fontId="19" fillId="6" borderId="39" xfId="0" applyNumberFormat="1" applyFont="1" applyFill="1" applyBorder="1" applyAlignment="1">
      <alignment horizontal="right"/>
    </xf>
    <xf numFmtId="38" fontId="19" fillId="6" borderId="1" xfId="1" applyNumberFormat="1" applyFont="1" applyFill="1" applyBorder="1" applyAlignment="1">
      <alignment horizontal="right"/>
    </xf>
    <xf numFmtId="38" fontId="19" fillId="6" borderId="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7" borderId="37" xfId="1" applyNumberFormat="1" applyFont="1" applyFill="1" applyBorder="1" applyAlignment="1">
      <alignment horizontal="right"/>
    </xf>
    <xf numFmtId="38" fontId="19" fillId="7" borderId="39" xfId="1"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0" borderId="37" xfId="1" applyNumberFormat="1" applyFont="1" applyFill="1" applyBorder="1" applyAlignment="1">
      <alignment horizontal="right"/>
    </xf>
    <xf numFmtId="38" fontId="19" fillId="10" borderId="39" xfId="1" applyNumberFormat="1" applyFont="1" applyFill="1" applyBorder="1" applyAlignment="1">
      <alignment horizontal="right"/>
    </xf>
    <xf numFmtId="38" fontId="19" fillId="10" borderId="1" xfId="1" applyNumberFormat="1" applyFont="1" applyFill="1" applyBorder="1" applyAlignment="1">
      <alignment horizontal="right"/>
    </xf>
    <xf numFmtId="38" fontId="19" fillId="10" borderId="9" xfId="1" applyNumberFormat="1" applyFont="1" applyFill="1" applyBorder="1" applyAlignment="1">
      <alignment horizontal="right"/>
    </xf>
    <xf numFmtId="38" fontId="19" fillId="8" borderId="37" xfId="1" applyNumberFormat="1" applyFont="1" applyFill="1" applyBorder="1" applyAlignment="1">
      <alignment horizontal="right"/>
    </xf>
    <xf numFmtId="38" fontId="19" fillId="8" borderId="39"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8" fillId="8" borderId="37" xfId="1" applyNumberFormat="1" applyFont="1" applyFill="1" applyBorder="1" applyAlignment="1">
      <alignment horizontal="right"/>
    </xf>
    <xf numFmtId="38" fontId="18" fillId="8" borderId="39" xfId="1" applyNumberFormat="1" applyFont="1" applyFill="1" applyBorder="1" applyAlignment="1">
      <alignment horizontal="right"/>
    </xf>
    <xf numFmtId="38" fontId="18" fillId="11" borderId="37" xfId="1" applyNumberFormat="1" applyFont="1" applyFill="1" applyBorder="1" applyAlignment="1">
      <alignment horizontal="right"/>
    </xf>
    <xf numFmtId="38" fontId="18" fillId="11" borderId="39" xfId="1" applyNumberFormat="1" applyFont="1" applyFill="1" applyBorder="1" applyAlignment="1">
      <alignment horizontal="right"/>
    </xf>
    <xf numFmtId="38" fontId="19" fillId="11" borderId="1" xfId="1" applyNumberFormat="1" applyFont="1" applyFill="1" applyBorder="1" applyAlignment="1">
      <alignment horizontal="right"/>
    </xf>
    <xf numFmtId="38" fontId="19"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18" fillId="5" borderId="19" xfId="0" applyNumberFormat="1" applyFont="1" applyFill="1" applyBorder="1" applyAlignment="1">
      <alignment horizontal="center"/>
    </xf>
    <xf numFmtId="6" fontId="18"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18" fillId="6" borderId="19" xfId="0" applyNumberFormat="1" applyFont="1" applyFill="1" applyBorder="1" applyAlignment="1">
      <alignment horizontal="center"/>
    </xf>
    <xf numFmtId="6" fontId="18"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18" fillId="7" borderId="19" xfId="0" applyNumberFormat="1" applyFont="1" applyFill="1" applyBorder="1" applyAlignment="1">
      <alignment horizontal="center"/>
    </xf>
    <xf numFmtId="6" fontId="18"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18" fillId="10" borderId="19" xfId="0" applyNumberFormat="1" applyFont="1" applyFill="1" applyBorder="1" applyAlignment="1">
      <alignment horizontal="center"/>
    </xf>
    <xf numFmtId="6" fontId="18" fillId="10" borderId="25" xfId="1" applyNumberFormat="1" applyFont="1" applyFill="1" applyBorder="1" applyAlignment="1">
      <alignment horizontal="right"/>
    </xf>
    <xf numFmtId="6" fontId="18"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18" fillId="8" borderId="19" xfId="0" applyNumberFormat="1" applyFont="1" applyFill="1" applyBorder="1" applyAlignment="1">
      <alignment horizontal="center"/>
    </xf>
    <xf numFmtId="6" fontId="18"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4" fillId="11" borderId="19" xfId="0" applyNumberFormat="1" applyFont="1" applyFill="1" applyBorder="1" applyAlignment="1">
      <alignment horizontal="center"/>
    </xf>
    <xf numFmtId="6" fontId="18"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18"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27"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0" xfId="0" applyNumberFormat="1" applyFont="1" applyBorder="1" applyAlignment="1">
      <alignment vertical="center"/>
    </xf>
    <xf numFmtId="41" fontId="15" fillId="0" borderId="27"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1"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44" xfId="0" applyNumberFormat="1" applyFont="1" applyFill="1" applyBorder="1" applyAlignment="1">
      <alignment horizontal="center"/>
    </xf>
    <xf numFmtId="0" fontId="6" fillId="4" borderId="32" xfId="0" applyFont="1" applyFill="1" applyBorder="1" applyAlignment="1">
      <alignment vertical="center"/>
    </xf>
    <xf numFmtId="0" fontId="6" fillId="4" borderId="33" xfId="0" applyFont="1" applyFill="1" applyBorder="1" applyAlignment="1">
      <alignment vertical="center"/>
    </xf>
    <xf numFmtId="0" fontId="6" fillId="4" borderId="42" xfId="0" applyFont="1" applyFill="1" applyBorder="1" applyAlignment="1">
      <alignment vertical="center"/>
    </xf>
    <xf numFmtId="40" fontId="3" fillId="3" borderId="47" xfId="0" applyNumberFormat="1" applyFont="1" applyFill="1" applyBorder="1" applyAlignment="1">
      <alignment horizontal="center" vertical="center" wrapText="1"/>
    </xf>
    <xf numFmtId="0" fontId="6" fillId="3" borderId="35" xfId="0" applyFont="1" applyFill="1" applyBorder="1"/>
    <xf numFmtId="0" fontId="6" fillId="3" borderId="27" xfId="0" applyFont="1" applyFill="1" applyBorder="1"/>
    <xf numFmtId="0" fontId="6" fillId="3" borderId="27" xfId="0" applyFont="1" applyFill="1" applyBorder="1" applyAlignment="1">
      <alignment horizontal="center"/>
    </xf>
    <xf numFmtId="14" fontId="6" fillId="3" borderId="27" xfId="0" applyNumberFormat="1" applyFont="1" applyFill="1" applyBorder="1" applyAlignment="1">
      <alignment horizontal="center"/>
    </xf>
    <xf numFmtId="42" fontId="23"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27"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4" fillId="0" borderId="0" xfId="0" applyFont="1" applyBorder="1"/>
    <xf numFmtId="41" fontId="24"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4" fillId="0" borderId="0" xfId="0" applyNumberFormat="1" applyFont="1" applyBorder="1"/>
    <xf numFmtId="0" fontId="0" fillId="0" borderId="0" xfId="0" applyFill="1" applyBorder="1" applyAlignment="1">
      <alignment horizontal="left"/>
    </xf>
    <xf numFmtId="6" fontId="4" fillId="13" borderId="38" xfId="1" applyNumberFormat="1" applyFont="1" applyFill="1" applyBorder="1" applyAlignment="1">
      <alignment horizontal="right"/>
    </xf>
    <xf numFmtId="0" fontId="25" fillId="0" borderId="0" xfId="0" applyNumberFormat="1" applyFont="1"/>
    <xf numFmtId="38" fontId="15" fillId="0" borderId="0" xfId="0" applyNumberFormat="1" applyFont="1" applyBorder="1" applyAlignment="1">
      <alignment vertical="center"/>
    </xf>
    <xf numFmtId="166" fontId="26" fillId="0" borderId="27" xfId="0" applyNumberFormat="1" applyFont="1" applyBorder="1" applyAlignment="1">
      <alignment horizontal="center"/>
    </xf>
    <xf numFmtId="10" fontId="0" fillId="0" borderId="0" xfId="0" applyNumberFormat="1" applyFill="1" applyBorder="1" applyAlignment="1"/>
    <xf numFmtId="0" fontId="27" fillId="0" borderId="0" xfId="0" applyFont="1" applyFill="1" applyBorder="1" applyAlignment="1">
      <alignment horizontal="left"/>
    </xf>
    <xf numFmtId="42" fontId="6" fillId="3" borderId="46" xfId="1" applyNumberFormat="1" applyFont="1" applyFill="1" applyBorder="1" applyAlignment="1"/>
    <xf numFmtId="42" fontId="3" fillId="3" borderId="35" xfId="0" applyNumberFormat="1" applyFont="1" applyFill="1" applyBorder="1"/>
    <xf numFmtId="0" fontId="0" fillId="0" borderId="49" xfId="0" applyFill="1" applyBorder="1"/>
    <xf numFmtId="0" fontId="0" fillId="0" borderId="46" xfId="0" applyFill="1" applyBorder="1"/>
    <xf numFmtId="42" fontId="3" fillId="3" borderId="27" xfId="0" applyNumberFormat="1" applyFont="1" applyFill="1" applyBorder="1"/>
    <xf numFmtId="42" fontId="3"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3"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3" fillId="3" borderId="27" xfId="0" applyNumberFormat="1" applyFont="1" applyFill="1" applyBorder="1" applyAlignment="1"/>
    <xf numFmtId="42" fontId="3" fillId="3" borderId="52" xfId="0" applyNumberFormat="1" applyFont="1" applyFill="1" applyBorder="1" applyAlignment="1"/>
    <xf numFmtId="42" fontId="3" fillId="3" borderId="53" xfId="0" applyNumberFormat="1" applyFont="1" applyFill="1" applyBorder="1" applyAlignment="1"/>
    <xf numFmtId="0" fontId="6" fillId="4" borderId="34" xfId="0" applyFont="1" applyFill="1" applyBorder="1"/>
    <xf numFmtId="0" fontId="4" fillId="4" borderId="28" xfId="0" applyFont="1" applyFill="1" applyBorder="1"/>
    <xf numFmtId="0" fontId="4"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4"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4" fillId="4" borderId="41" xfId="0" applyNumberFormat="1" applyFont="1" applyFill="1" applyBorder="1" applyAlignment="1"/>
    <xf numFmtId="40" fontId="4" fillId="4" borderId="36" xfId="0" applyNumberFormat="1" applyFont="1" applyFill="1" applyBorder="1" applyAlignment="1"/>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8" fillId="0" borderId="0" xfId="0" applyNumberFormat="1" applyFont="1" applyBorder="1" applyAlignment="1">
      <alignment horizontal="center"/>
    </xf>
    <xf numFmtId="0" fontId="22" fillId="0" borderId="0" xfId="0" applyNumberFormat="1" applyFont="1"/>
    <xf numFmtId="0" fontId="3" fillId="3" borderId="44" xfId="0" applyFont="1" applyFill="1" applyBorder="1" applyAlignment="1">
      <alignment horizontal="center" vertical="center"/>
    </xf>
    <xf numFmtId="42" fontId="3" fillId="3" borderId="32" xfId="0" applyNumberFormat="1" applyFont="1" applyFill="1" applyBorder="1"/>
    <xf numFmtId="42" fontId="3" fillId="3" borderId="33" xfId="0" applyNumberFormat="1" applyFont="1" applyFill="1" applyBorder="1"/>
    <xf numFmtId="42" fontId="3" fillId="3" borderId="42" xfId="0" applyNumberFormat="1" applyFont="1" applyFill="1" applyBorder="1"/>
    <xf numFmtId="40" fontId="3" fillId="3" borderId="44" xfId="0" applyNumberFormat="1" applyFont="1" applyFill="1" applyBorder="1" applyAlignment="1">
      <alignment horizontal="center" vertical="center"/>
    </xf>
    <xf numFmtId="40" fontId="3" fillId="3" borderId="44" xfId="0" applyNumberFormat="1" applyFont="1" applyFill="1" applyBorder="1" applyAlignment="1">
      <alignment horizontal="center" vertical="center" wrapText="1"/>
    </xf>
    <xf numFmtId="0" fontId="0" fillId="0" borderId="57" xfId="0" applyBorder="1" applyAlignment="1">
      <alignment horizontal="center" vertical="center"/>
    </xf>
    <xf numFmtId="42" fontId="11" fillId="0" borderId="31" xfId="0" applyNumberFormat="1" applyFont="1" applyBorder="1" applyAlignment="1">
      <alignment vertical="center"/>
    </xf>
    <xf numFmtId="41" fontId="15" fillId="0" borderId="0" xfId="0" applyNumberFormat="1" applyFont="1" applyFill="1" applyBorder="1" applyAlignment="1">
      <alignment vertical="center"/>
    </xf>
    <xf numFmtId="166" fontId="26" fillId="0" borderId="0" xfId="0" applyNumberFormat="1" applyFont="1" applyBorder="1" applyAlignment="1">
      <alignment horizontal="center"/>
    </xf>
    <xf numFmtId="41" fontId="13" fillId="0" borderId="57" xfId="0" applyNumberFormat="1" applyFont="1" applyBorder="1" applyAlignment="1">
      <alignment vertical="center"/>
    </xf>
    <xf numFmtId="41" fontId="11" fillId="0" borderId="57" xfId="0" applyNumberFormat="1" applyFont="1" applyBorder="1" applyAlignment="1">
      <alignment vertical="center"/>
    </xf>
    <xf numFmtId="42" fontId="15" fillId="0" borderId="0" xfId="0" applyNumberFormat="1" applyFont="1" applyFill="1" applyBorder="1" applyAlignment="1">
      <alignment vertical="center"/>
    </xf>
    <xf numFmtId="41" fontId="18" fillId="5" borderId="16" xfId="0" applyNumberFormat="1" applyFont="1" applyFill="1" applyBorder="1" applyAlignment="1">
      <alignment horizontal="left"/>
    </xf>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4" xfId="0" applyFill="1" applyBorder="1"/>
    <xf numFmtId="41" fontId="0" fillId="0" borderId="55" xfId="1" applyNumberFormat="1" applyFont="1" applyFill="1" applyBorder="1" applyAlignment="1"/>
    <xf numFmtId="41" fontId="0" fillId="0" borderId="56" xfId="1" applyNumberFormat="1" applyFont="1" applyFill="1" applyBorder="1" applyAlignment="1"/>
    <xf numFmtId="0" fontId="0" fillId="0" borderId="15" xfId="0" applyFill="1" applyBorder="1"/>
    <xf numFmtId="41" fontId="0" fillId="0" borderId="58"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29" fillId="0" borderId="0" xfId="0" applyNumberFormat="1" applyFont="1" applyBorder="1" applyAlignment="1">
      <alignment vertical="center"/>
    </xf>
    <xf numFmtId="49" fontId="18" fillId="12" borderId="34" xfId="0" applyNumberFormat="1" applyFont="1" applyFill="1" applyBorder="1"/>
    <xf numFmtId="49" fontId="18" fillId="12" borderId="28" xfId="0" applyNumberFormat="1" applyFont="1" applyFill="1" applyBorder="1"/>
    <xf numFmtId="6" fontId="18" fillId="12" borderId="39" xfId="1" applyNumberFormat="1" applyFont="1" applyFill="1" applyBorder="1" applyAlignment="1">
      <alignment horizontal="right"/>
    </xf>
    <xf numFmtId="49" fontId="18" fillId="12" borderId="16" xfId="0" applyNumberFormat="1" applyFont="1" applyFill="1" applyBorder="1"/>
    <xf numFmtId="49" fontId="18" fillId="12" borderId="24" xfId="0" applyNumberFormat="1" applyFont="1" applyFill="1" applyBorder="1"/>
    <xf numFmtId="6" fontId="18" fillId="12" borderId="40" xfId="1" applyNumberFormat="1" applyFont="1" applyFill="1" applyBorder="1" applyAlignment="1">
      <alignment horizontal="right"/>
    </xf>
    <xf numFmtId="49" fontId="19" fillId="12" borderId="0" xfId="0" applyNumberFormat="1" applyFont="1" applyFill="1" applyBorder="1"/>
    <xf numFmtId="49" fontId="19" fillId="12" borderId="2" xfId="0" applyNumberFormat="1" applyFont="1" applyFill="1" applyBorder="1"/>
    <xf numFmtId="0" fontId="28"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2" fillId="0" borderId="57" xfId="0" applyNumberFormat="1" applyFont="1" applyBorder="1" applyAlignment="1">
      <alignment vertical="center"/>
    </xf>
    <xf numFmtId="38" fontId="18" fillId="12" borderId="39" xfId="1" applyNumberFormat="1" applyFont="1" applyFill="1" applyBorder="1" applyAlignment="1">
      <alignment horizontal="right"/>
    </xf>
    <xf numFmtId="49" fontId="18"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18" fillId="9" borderId="16" xfId="0" applyNumberFormat="1" applyFont="1" applyFill="1" applyBorder="1"/>
    <xf numFmtId="49" fontId="18" fillId="9" borderId="24" xfId="0" applyNumberFormat="1" applyFont="1" applyFill="1" applyBorder="1"/>
    <xf numFmtId="49" fontId="18" fillId="14" borderId="33" xfId="0" applyNumberFormat="1" applyFont="1" applyFill="1" applyBorder="1"/>
    <xf numFmtId="6" fontId="18" fillId="14" borderId="38" xfId="1" applyNumberFormat="1" applyFont="1" applyFill="1" applyBorder="1" applyAlignment="1">
      <alignment horizontal="right"/>
    </xf>
    <xf numFmtId="38" fontId="18" fillId="14" borderId="38" xfId="1" applyNumberFormat="1" applyFont="1" applyFill="1" applyBorder="1" applyAlignment="1">
      <alignment horizontal="right"/>
    </xf>
    <xf numFmtId="42" fontId="3" fillId="3" borderId="60" xfId="1" applyNumberFormat="1" applyFont="1" applyFill="1" applyBorder="1" applyAlignment="1"/>
    <xf numFmtId="42" fontId="3" fillId="3" borderId="38" xfId="1" applyNumberFormat="1" applyFont="1" applyFill="1" applyBorder="1" applyAlignment="1"/>
    <xf numFmtId="42" fontId="3" fillId="3" borderId="61" xfId="1" applyNumberFormat="1" applyFont="1" applyFill="1" applyBorder="1" applyAlignment="1"/>
    <xf numFmtId="42" fontId="3" fillId="3" borderId="62" xfId="1" applyNumberFormat="1" applyFont="1" applyFill="1" applyBorder="1" applyAlignment="1"/>
    <xf numFmtId="41" fontId="24" fillId="0" borderId="27" xfId="0" applyNumberFormat="1" applyFont="1" applyBorder="1" applyAlignment="1">
      <alignment vertical="center"/>
    </xf>
    <xf numFmtId="42" fontId="24" fillId="0" borderId="0" xfId="0" applyNumberFormat="1" applyFont="1" applyBorder="1" applyAlignment="1">
      <alignment vertical="center"/>
    </xf>
    <xf numFmtId="42" fontId="0" fillId="0" borderId="0" xfId="0" applyNumberFormat="1" applyFont="1" applyBorder="1" applyAlignment="1">
      <alignment vertical="center"/>
    </xf>
    <xf numFmtId="41" fontId="30"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7" xfId="0" applyNumberFormat="1" applyBorder="1" applyAlignment="1">
      <alignment horizontal="right"/>
    </xf>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27"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xf numFmtId="41" fontId="15" fillId="0" borderId="2" xfId="0" applyNumberFormat="1" applyFont="1" applyFill="1" applyBorder="1" applyAlignment="1">
      <alignment vertical="center"/>
    </xf>
    <xf numFmtId="41" fontId="24"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0" fontId="3" fillId="3" borderId="47" xfId="0" applyFont="1" applyFill="1" applyBorder="1" applyAlignment="1">
      <alignment horizontal="center" vertical="center"/>
    </xf>
    <xf numFmtId="42" fontId="8" fillId="0" borderId="0" xfId="0" applyNumberFormat="1" applyFont="1" applyBorder="1" applyAlignment="1">
      <alignment vertical="center"/>
    </xf>
    <xf numFmtId="0" fontId="24" fillId="0" borderId="0" xfId="0" applyFont="1" applyBorder="1" applyAlignment="1">
      <alignment vertical="center"/>
    </xf>
    <xf numFmtId="0" fontId="11" fillId="0" borderId="0" xfId="0" applyFont="1" applyBorder="1" applyAlignment="1">
      <alignment vertical="center"/>
    </xf>
    <xf numFmtId="0" fontId="24" fillId="0" borderId="27" xfId="0" applyFont="1" applyBorder="1" applyAlignment="1">
      <alignment vertical="center"/>
    </xf>
    <xf numFmtId="41" fontId="13" fillId="0" borderId="30" xfId="0" applyNumberFormat="1" applyFont="1" applyBorder="1" applyAlignment="1">
      <alignment horizontal="center" vertical="center"/>
    </xf>
    <xf numFmtId="49" fontId="15" fillId="0" borderId="0" xfId="0" applyNumberFormat="1" applyFont="1" applyAlignment="1">
      <alignment vertical="center"/>
    </xf>
    <xf numFmtId="49" fontId="15" fillId="0" borderId="27" xfId="0" applyNumberFormat="1" applyFont="1" applyBorder="1" applyAlignment="1">
      <alignment vertical="center"/>
    </xf>
    <xf numFmtId="49" fontId="11" fillId="0" borderId="0" xfId="0" applyNumberFormat="1" applyFont="1" applyAlignment="1">
      <alignment wrapText="1"/>
    </xf>
    <xf numFmtId="166" fontId="26" fillId="0" borderId="27" xfId="0" applyNumberFormat="1" applyFont="1" applyBorder="1" applyAlignment="1">
      <alignment horizontal="center" vertical="center" wrapText="1"/>
    </xf>
    <xf numFmtId="41" fontId="8" fillId="0" borderId="0" xfId="0" applyNumberFormat="1" applyFont="1"/>
    <xf numFmtId="10" fontId="11" fillId="0" borderId="0" xfId="0" applyNumberFormat="1" applyFont="1" applyAlignment="1">
      <alignment vertical="center"/>
    </xf>
    <xf numFmtId="0" fontId="24" fillId="0" borderId="30" xfId="0" applyFont="1" applyBorder="1" applyAlignment="1">
      <alignment horizontal="center" vertical="center"/>
    </xf>
    <xf numFmtId="165" fontId="7" fillId="0" borderId="0" xfId="0" applyNumberFormat="1" applyFont="1" applyBorder="1" applyAlignment="1">
      <alignment horizontal="center" vertical="center"/>
    </xf>
    <xf numFmtId="165" fontId="7" fillId="0" borderId="27" xfId="0" applyNumberFormat="1" applyFont="1" applyBorder="1" applyAlignment="1">
      <alignment horizontal="center" vertical="center"/>
    </xf>
    <xf numFmtId="0" fontId="24" fillId="0" borderId="30" xfId="0" applyFont="1" applyBorder="1" applyAlignment="1">
      <alignment horizontal="right" vertical="center"/>
    </xf>
    <xf numFmtId="8" fontId="42" fillId="0" borderId="0" xfId="0" applyNumberFormat="1" applyFont="1" applyAlignment="1">
      <alignment vertical="center"/>
    </xf>
    <xf numFmtId="0" fontId="42" fillId="0" borderId="0" xfId="0" applyFont="1" applyAlignment="1">
      <alignment vertical="center"/>
    </xf>
    <xf numFmtId="0" fontId="42" fillId="0" borderId="0" xfId="0" applyFont="1"/>
    <xf numFmtId="8" fontId="42" fillId="0" borderId="0" xfId="0" applyNumberFormat="1" applyFont="1"/>
    <xf numFmtId="49" fontId="15"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18" fillId="9" borderId="40" xfId="1" applyNumberFormat="1" applyFont="1" applyFill="1" applyBorder="1" applyAlignment="1">
      <alignment horizontal="right"/>
    </xf>
    <xf numFmtId="165" fontId="43" fillId="0" borderId="0" xfId="0" applyNumberFormat="1" applyFont="1" applyBorder="1" applyAlignment="1">
      <alignment horizontal="center" vertical="center"/>
    </xf>
    <xf numFmtId="0" fontId="25" fillId="0" borderId="0" xfId="0" applyNumberFormat="1" applyFont="1" applyFill="1"/>
    <xf numFmtId="6" fontId="19" fillId="9" borderId="0" xfId="0" applyNumberFormat="1" applyFont="1" applyFill="1" applyBorder="1"/>
    <xf numFmtId="6" fontId="18" fillId="9" borderId="19" xfId="0" applyNumberFormat="1" applyFont="1" applyFill="1" applyBorder="1" applyAlignment="1">
      <alignment horizontal="center"/>
    </xf>
    <xf numFmtId="38" fontId="18" fillId="9" borderId="9" xfId="1" applyNumberFormat="1" applyFont="1" applyFill="1" applyBorder="1" applyAlignment="1">
      <alignment horizontal="right"/>
    </xf>
    <xf numFmtId="38" fontId="18" fillId="9" borderId="1" xfId="1" applyNumberFormat="1" applyFont="1" applyFill="1" applyBorder="1" applyAlignment="1">
      <alignment horizontal="right"/>
    </xf>
    <xf numFmtId="38" fontId="18" fillId="9" borderId="4" xfId="1" applyNumberFormat="1" applyFont="1" applyFill="1" applyBorder="1" applyAlignment="1">
      <alignment horizontal="right"/>
    </xf>
    <xf numFmtId="6" fontId="18" fillId="0" borderId="0" xfId="1" applyNumberFormat="1" applyFont="1" applyFill="1" applyBorder="1" applyAlignment="1">
      <alignment horizontal="right"/>
    </xf>
    <xf numFmtId="6" fontId="18" fillId="15" borderId="38" xfId="1" applyNumberFormat="1" applyFont="1" applyFill="1" applyBorder="1" applyAlignment="1">
      <alignment horizontal="right"/>
    </xf>
    <xf numFmtId="38" fontId="18" fillId="15" borderId="38" xfId="1" applyNumberFormat="1" applyFont="1" applyFill="1" applyBorder="1" applyAlignment="1">
      <alignment horizontal="right"/>
    </xf>
    <xf numFmtId="0" fontId="28" fillId="0" borderId="0" xfId="0" applyNumberFormat="1" applyFont="1" applyFill="1" applyBorder="1" applyAlignment="1">
      <alignment horizontal="center"/>
    </xf>
    <xf numFmtId="42" fontId="3" fillId="2" borderId="44" xfId="0" applyNumberFormat="1" applyFont="1" applyFill="1" applyBorder="1" applyAlignment="1"/>
    <xf numFmtId="40" fontId="45" fillId="0" borderId="0" xfId="0" applyNumberFormat="1" applyFont="1" applyAlignment="1">
      <alignment horizontal="center" vertical="center"/>
    </xf>
    <xf numFmtId="165" fontId="44" fillId="0" borderId="0" xfId="0" applyNumberFormat="1" applyFont="1" applyBorder="1" applyAlignment="1">
      <alignment horizontal="center" vertical="center"/>
    </xf>
    <xf numFmtId="167" fontId="35" fillId="0" borderId="0" xfId="0" applyNumberFormat="1" applyFont="1" applyFill="1" applyAlignment="1">
      <alignment horizontal="right" wrapText="1"/>
    </xf>
    <xf numFmtId="0" fontId="35" fillId="0" borderId="0" xfId="0" applyFont="1" applyFill="1" applyAlignment="1">
      <alignment horizontal="right" wrapText="1"/>
    </xf>
    <xf numFmtId="41" fontId="35" fillId="0" borderId="0" xfId="0" applyNumberFormat="1" applyFont="1" applyFill="1" applyAlignment="1">
      <alignment horizontal="center" wrapText="1"/>
    </xf>
    <xf numFmtId="0" fontId="34" fillId="0" borderId="0" xfId="0" applyFont="1" applyFill="1" applyAlignment="1">
      <alignment horizontal="left" vertical="center" wrapText="1"/>
    </xf>
    <xf numFmtId="0" fontId="38" fillId="0" borderId="0" xfId="0" quotePrefix="1" applyFont="1" applyFill="1" applyAlignment="1">
      <alignment horizontal="center" vertical="center" wrapText="1"/>
    </xf>
    <xf numFmtId="42" fontId="35" fillId="0" borderId="31" xfId="0" applyNumberFormat="1" applyFont="1" applyFill="1" applyBorder="1" applyAlignment="1">
      <alignment horizontal="center" vertical="center" wrapText="1"/>
    </xf>
    <xf numFmtId="167" fontId="35" fillId="0" borderId="0" xfId="0" applyNumberFormat="1" applyFont="1" applyFill="1" applyAlignment="1">
      <alignment horizontal="center" wrapText="1"/>
    </xf>
    <xf numFmtId="6" fontId="35" fillId="0" borderId="31" xfId="0" applyNumberFormat="1" applyFont="1" applyFill="1" applyBorder="1" applyAlignment="1">
      <alignment horizontal="right" wrapText="1"/>
    </xf>
    <xf numFmtId="42" fontId="35" fillId="0" borderId="31" xfId="0" applyNumberFormat="1" applyFont="1" applyFill="1" applyBorder="1" applyAlignment="1">
      <alignment horizontal="left" vertical="center" wrapText="1"/>
    </xf>
    <xf numFmtId="0" fontId="41" fillId="0" borderId="0" xfId="0" applyFont="1" applyFill="1" applyAlignment="1">
      <alignment horizontal="center" wrapText="1"/>
    </xf>
    <xf numFmtId="0" fontId="34" fillId="0" borderId="0" xfId="0" applyFont="1" applyFill="1" applyAlignment="1">
      <alignment horizontal="center"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38" fontId="19" fillId="9" borderId="9" xfId="1" applyNumberFormat="1" applyFont="1" applyFill="1" applyBorder="1" applyAlignment="1">
      <alignment horizontal="right"/>
    </xf>
    <xf numFmtId="38" fontId="19" fillId="9" borderId="10"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0" xfId="1" applyNumberFormat="1" applyFont="1" applyFill="1" applyBorder="1" applyAlignment="1">
      <alignment horizontal="right"/>
    </xf>
    <xf numFmtId="6" fontId="18" fillId="13" borderId="33" xfId="0" applyNumberFormat="1" applyFont="1" applyFill="1" applyBorder="1" applyAlignment="1">
      <alignment horizontal="center" vertical="center"/>
    </xf>
    <xf numFmtId="49" fontId="18" fillId="15" borderId="33" xfId="0" applyNumberFormat="1" applyFont="1" applyFill="1" applyBorder="1" applyAlignment="1">
      <alignment vertical="center"/>
    </xf>
    <xf numFmtId="49" fontId="18" fillId="15" borderId="32" xfId="0" applyNumberFormat="1" applyFont="1" applyFill="1" applyBorder="1" applyAlignment="1">
      <alignment vertical="center"/>
    </xf>
    <xf numFmtId="49" fontId="18" fillId="16" borderId="33" xfId="0" applyNumberFormat="1" applyFont="1" applyFill="1" applyBorder="1"/>
    <xf numFmtId="6" fontId="18" fillId="16" borderId="38" xfId="1" applyNumberFormat="1" applyFont="1" applyFill="1" applyBorder="1" applyAlignment="1">
      <alignment horizontal="right"/>
    </xf>
    <xf numFmtId="38" fontId="18" fillId="16" borderId="38" xfId="1" applyNumberFormat="1" applyFont="1" applyFill="1" applyBorder="1" applyAlignment="1">
      <alignment horizontal="right"/>
    </xf>
    <xf numFmtId="49" fontId="18" fillId="16" borderId="32" xfId="0" applyNumberFormat="1" applyFont="1" applyFill="1" applyBorder="1" applyAlignment="1">
      <alignment vertical="center"/>
    </xf>
    <xf numFmtId="43" fontId="0" fillId="0" borderId="49" xfId="1" applyNumberFormat="1" applyFont="1" applyFill="1" applyBorder="1" applyAlignment="1"/>
    <xf numFmtId="0" fontId="10" fillId="0" borderId="0" xfId="0" applyFont="1" applyBorder="1"/>
    <xf numFmtId="165" fontId="44" fillId="0" borderId="27" xfId="0" applyNumberFormat="1" applyFont="1" applyBorder="1" applyAlignment="1">
      <alignment horizontal="center" vertical="center"/>
    </xf>
    <xf numFmtId="42" fontId="24" fillId="0" borderId="31" xfId="0" applyNumberFormat="1" applyFont="1" applyBorder="1" applyAlignment="1">
      <alignment vertical="center"/>
    </xf>
    <xf numFmtId="41" fontId="15" fillId="0" borderId="19" xfId="0" applyNumberFormat="1" applyFont="1" applyFill="1" applyBorder="1" applyAlignment="1">
      <alignment vertical="center"/>
    </xf>
    <xf numFmtId="42" fontId="15" fillId="0" borderId="27" xfId="0" applyNumberFormat="1" applyFont="1" applyFill="1" applyBorder="1" applyAlignment="1">
      <alignment vertical="center"/>
    </xf>
    <xf numFmtId="42" fontId="15" fillId="0" borderId="31" xfId="0" applyNumberFormat="1" applyFont="1" applyFill="1" applyBorder="1" applyAlignment="1">
      <alignment vertical="center"/>
    </xf>
    <xf numFmtId="0" fontId="3" fillId="0" borderId="0" xfId="0" applyFont="1" applyBorder="1" applyAlignment="1">
      <alignment horizontal="center" vertical="center" wrapText="1"/>
    </xf>
    <xf numFmtId="41" fontId="3" fillId="0" borderId="0" xfId="0" applyNumberFormat="1" applyFont="1" applyBorder="1" applyAlignment="1">
      <alignment horizontal="center" vertical="center" wrapText="1"/>
    </xf>
    <xf numFmtId="3" fontId="0" fillId="0" borderId="0" xfId="0" applyNumberFormat="1" applyBorder="1" applyAlignment="1">
      <alignment vertical="center"/>
    </xf>
    <xf numFmtId="0" fontId="38" fillId="0" borderId="0" xfId="0" applyFont="1" applyFill="1" applyAlignment="1">
      <alignment horizontal="right" vertical="center" wrapText="1"/>
    </xf>
    <xf numFmtId="42" fontId="35"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4" fillId="0" borderId="0" xfId="0" applyFont="1" applyFill="1" applyAlignment="1">
      <alignment horizontal="left" vertical="top" wrapText="1"/>
    </xf>
    <xf numFmtId="38" fontId="0" fillId="0" borderId="0" xfId="0" applyNumberFormat="1" applyFill="1"/>
    <xf numFmtId="0" fontId="21"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49"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41" fontId="35" fillId="0" borderId="0" xfId="0" applyNumberFormat="1" applyFont="1" applyFill="1" applyAlignment="1">
      <alignment horizontal="right" vertical="center" wrapText="1"/>
    </xf>
    <xf numFmtId="42" fontId="6" fillId="2" borderId="44" xfId="0" applyNumberFormat="1" applyFont="1" applyFill="1" applyBorder="1" applyAlignment="1"/>
    <xf numFmtId="0" fontId="14" fillId="0" borderId="0" xfId="0" applyFont="1" applyFill="1" applyBorder="1" applyAlignment="1">
      <alignment vertical="center"/>
    </xf>
    <xf numFmtId="38" fontId="8" fillId="0" borderId="65" xfId="0" applyNumberFormat="1" applyFont="1" applyBorder="1" applyAlignment="1">
      <alignment horizontal="center"/>
    </xf>
    <xf numFmtId="38" fontId="8" fillId="0" borderId="0" xfId="0" applyNumberFormat="1" applyFont="1"/>
    <xf numFmtId="38" fontId="51" fillId="0" borderId="0" xfId="0" applyNumberFormat="1" applyFont="1"/>
    <xf numFmtId="38" fontId="51" fillId="0" borderId="0" xfId="0" applyNumberFormat="1" applyFont="1" applyBorder="1"/>
    <xf numFmtId="38" fontId="50" fillId="0" borderId="0" xfId="0" applyNumberFormat="1" applyFont="1"/>
    <xf numFmtId="168" fontId="52" fillId="0" borderId="0" xfId="0" applyNumberFormat="1" applyFont="1"/>
    <xf numFmtId="17" fontId="0" fillId="0" borderId="0" xfId="0" applyNumberFormat="1"/>
    <xf numFmtId="6" fontId="0" fillId="0" borderId="0" xfId="0" applyNumberFormat="1"/>
    <xf numFmtId="41" fontId="13" fillId="0" borderId="30" xfId="0" applyNumberFormat="1" applyFont="1" applyBorder="1" applyAlignment="1">
      <alignment horizontal="center" vertical="center"/>
    </xf>
    <xf numFmtId="49" fontId="18" fillId="14" borderId="32" xfId="0" applyNumberFormat="1" applyFont="1" applyFill="1" applyBorder="1" applyAlignment="1">
      <alignment vertical="center"/>
    </xf>
    <xf numFmtId="165" fontId="44" fillId="0" borderId="31" xfId="0" applyNumberFormat="1" applyFont="1" applyBorder="1" applyAlignment="1">
      <alignment horizontal="center" vertical="center"/>
    </xf>
    <xf numFmtId="0" fontId="10"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2" fillId="0" borderId="0" xfId="0" applyFont="1" applyFill="1" applyBorder="1" applyAlignment="1">
      <alignment vertical="center"/>
    </xf>
    <xf numFmtId="41" fontId="13"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4" fillId="0" borderId="33" xfId="0" applyNumberFormat="1" applyFont="1" applyBorder="1" applyAlignment="1">
      <alignment horizontal="center" vertical="center"/>
    </xf>
    <xf numFmtId="41" fontId="54" fillId="0" borderId="0" xfId="0" applyNumberFormat="1" applyFont="1" applyBorder="1" applyAlignment="1">
      <alignment vertical="center"/>
    </xf>
    <xf numFmtId="41" fontId="53" fillId="0" borderId="27" xfId="0" applyNumberFormat="1" applyFont="1" applyBorder="1" applyAlignment="1">
      <alignment vertical="center"/>
    </xf>
    <xf numFmtId="165" fontId="44" fillId="0" borderId="2" xfId="0" applyNumberFormat="1" applyFont="1" applyBorder="1" applyAlignment="1">
      <alignment horizontal="center" vertical="center"/>
    </xf>
    <xf numFmtId="41" fontId="54" fillId="0" borderId="2" xfId="0" applyNumberFormat="1" applyFont="1" applyBorder="1" applyAlignment="1">
      <alignment vertical="center"/>
    </xf>
    <xf numFmtId="0" fontId="54" fillId="0" borderId="0" xfId="0" applyFont="1" applyBorder="1" applyAlignment="1">
      <alignment vertical="center"/>
    </xf>
    <xf numFmtId="0" fontId="54" fillId="0" borderId="27" xfId="0" applyFont="1" applyBorder="1" applyAlignment="1">
      <alignment vertical="center"/>
    </xf>
    <xf numFmtId="41" fontId="19" fillId="5" borderId="1" xfId="0" applyNumberFormat="1" applyFont="1" applyFill="1" applyBorder="1" applyAlignment="1"/>
    <xf numFmtId="38" fontId="19" fillId="9" borderId="1" xfId="1" applyNumberFormat="1" applyFont="1" applyFill="1" applyBorder="1" applyAlignment="1">
      <alignment horizontal="right"/>
    </xf>
    <xf numFmtId="168" fontId="55" fillId="0" borderId="0" xfId="0" applyNumberFormat="1" applyFont="1"/>
    <xf numFmtId="3" fontId="51" fillId="0" borderId="0" xfId="0" applyNumberFormat="1" applyFont="1"/>
    <xf numFmtId="168" fontId="8" fillId="0" borderId="65" xfId="0" applyNumberFormat="1" applyFont="1" applyBorder="1" applyAlignment="1">
      <alignment horizontal="center"/>
    </xf>
    <xf numFmtId="168" fontId="8" fillId="0" borderId="0" xfId="0" applyNumberFormat="1" applyFont="1"/>
    <xf numFmtId="168" fontId="51" fillId="0" borderId="0" xfId="0" applyNumberFormat="1" applyFont="1"/>
    <xf numFmtId="168" fontId="0" fillId="0" borderId="0" xfId="0" applyNumberFormat="1"/>
    <xf numFmtId="0" fontId="56" fillId="0" borderId="0" xfId="0" applyNumberFormat="1" applyFont="1" applyBorder="1" applyAlignment="1">
      <alignment horizontal="center"/>
    </xf>
    <xf numFmtId="0" fontId="57" fillId="0" borderId="0" xfId="0" applyFont="1"/>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xf numFmtId="41" fontId="5" fillId="0" borderId="0" xfId="0" applyNumberFormat="1" applyFont="1" applyBorder="1" applyAlignment="1">
      <alignment vertical="center"/>
    </xf>
    <xf numFmtId="41" fontId="19" fillId="0" borderId="0" xfId="0" applyNumberFormat="1" applyFont="1" applyFill="1" applyBorder="1" applyAlignment="1">
      <alignment vertical="center"/>
    </xf>
    <xf numFmtId="43" fontId="5" fillId="0" borderId="0" xfId="0" applyNumberFormat="1" applyFont="1" applyBorder="1" applyAlignment="1">
      <alignment vertical="center"/>
    </xf>
    <xf numFmtId="0" fontId="18" fillId="0" borderId="0" xfId="0" applyFont="1" applyBorder="1" applyAlignment="1">
      <alignment vertical="center"/>
    </xf>
    <xf numFmtId="0" fontId="5" fillId="0" borderId="0" xfId="0" applyFont="1" applyBorder="1"/>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3" fillId="0" borderId="11"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44" fontId="3" fillId="0" borderId="11" xfId="1" applyFont="1" applyFill="1" applyBorder="1" applyAlignment="1">
      <alignment horizontal="center" vertical="center" wrapText="1"/>
    </xf>
    <xf numFmtId="41" fontId="3" fillId="0" borderId="11" xfId="0" applyNumberFormat="1" applyFont="1" applyFill="1" applyBorder="1" applyAlignment="1">
      <alignment horizontal="center" vertical="center" wrapText="1"/>
    </xf>
    <xf numFmtId="44" fontId="58"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0" fillId="0" borderId="11" xfId="0" applyFont="1" applyBorder="1" applyAlignment="1">
      <alignment horizontal="center" vertical="center" wrapText="1"/>
    </xf>
    <xf numFmtId="42" fontId="35" fillId="0" borderId="0" xfId="0" applyNumberFormat="1" applyFont="1" applyFill="1" applyBorder="1" applyAlignment="1">
      <alignment horizontal="left" vertical="center" wrapText="1"/>
    </xf>
    <xf numFmtId="0" fontId="34" fillId="0" borderId="0" xfId="0" applyFont="1" applyFill="1" applyAlignment="1">
      <alignment horizontal="left" vertical="top" wrapText="1"/>
    </xf>
    <xf numFmtId="40" fontId="0" fillId="0" borderId="0" xfId="0" applyNumberFormat="1" applyFont="1" applyFill="1" applyBorder="1"/>
    <xf numFmtId="0" fontId="59" fillId="0" borderId="0" xfId="0" applyNumberFormat="1" applyFont="1" applyFill="1" applyBorder="1" applyAlignment="1">
      <alignment horizontal="left"/>
    </xf>
    <xf numFmtId="0" fontId="56" fillId="0" borderId="0" xfId="0" applyNumberFormat="1" applyFont="1" applyFill="1"/>
    <xf numFmtId="38" fontId="7" fillId="0" borderId="0" xfId="0" applyNumberFormat="1" applyFont="1" applyAlignment="1">
      <alignment horizontal="right"/>
    </xf>
    <xf numFmtId="3" fontId="51" fillId="2" borderId="0" xfId="0" applyNumberFormat="1" applyFont="1" applyFill="1"/>
    <xf numFmtId="38" fontId="50"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2" fillId="0" borderId="45" xfId="0" applyFont="1" applyBorder="1" applyAlignment="1">
      <alignment horizontal="center"/>
    </xf>
    <xf numFmtId="38" fontId="32" fillId="0" borderId="45" xfId="0" applyNumberFormat="1" applyFont="1" applyBorder="1" applyAlignment="1">
      <alignment horizontal="center" vertical="center"/>
    </xf>
    <xf numFmtId="0" fontId="32" fillId="0" borderId="46" xfId="0" applyFont="1" applyBorder="1" applyAlignment="1">
      <alignment horizontal="center"/>
    </xf>
    <xf numFmtId="38" fontId="32" fillId="0" borderId="46" xfId="0" applyNumberFormat="1" applyFont="1" applyBorder="1" applyAlignment="1">
      <alignment horizontal="center" vertical="center"/>
    </xf>
    <xf numFmtId="0" fontId="62"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3" xfId="0" applyNumberFormat="1" applyBorder="1" applyAlignment="1">
      <alignment horizontal="center"/>
    </xf>
    <xf numFmtId="38" fontId="0" fillId="0" borderId="63" xfId="0" applyNumberFormat="1" applyBorder="1" applyAlignment="1">
      <alignment horizontal="center"/>
    </xf>
    <xf numFmtId="38" fontId="0" fillId="0" borderId="48" xfId="0" applyNumberFormat="1" applyFill="1" applyBorder="1" applyAlignment="1">
      <alignment horizontal="center"/>
    </xf>
    <xf numFmtId="38" fontId="0" fillId="0" borderId="63" xfId="0" applyNumberFormat="1" applyFill="1" applyBorder="1" applyAlignment="1">
      <alignment horizontal="center"/>
    </xf>
    <xf numFmtId="38" fontId="0" fillId="0" borderId="59" xfId="0" applyNumberFormat="1" applyBorder="1" applyAlignment="1">
      <alignment horizontal="center"/>
    </xf>
    <xf numFmtId="38" fontId="0" fillId="0" borderId="49" xfId="0" applyNumberFormat="1" applyBorder="1" applyAlignment="1">
      <alignment horizontal="center"/>
    </xf>
    <xf numFmtId="0" fontId="32" fillId="0" borderId="44" xfId="0" applyFont="1" applyBorder="1" applyAlignment="1">
      <alignment horizontal="center" vertical="center"/>
    </xf>
    <xf numFmtId="38" fontId="32"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6" xfId="0" applyNumberFormat="1" applyBorder="1" applyAlignment="1">
      <alignment horizontal="center"/>
    </xf>
    <xf numFmtId="38" fontId="0" fillId="0" borderId="66" xfId="0" applyNumberFormat="1" applyBorder="1" applyAlignment="1">
      <alignment horizontal="center"/>
    </xf>
    <xf numFmtId="38" fontId="0" fillId="0" borderId="46" xfId="0" applyNumberFormat="1" applyBorder="1" applyAlignment="1">
      <alignment horizontal="center"/>
    </xf>
    <xf numFmtId="0" fontId="32" fillId="0" borderId="0" xfId="0" applyFont="1" applyAlignment="1">
      <alignment horizontal="center"/>
    </xf>
    <xf numFmtId="38" fontId="32" fillId="0" borderId="28" xfId="0" applyNumberFormat="1" applyFont="1" applyBorder="1" applyAlignment="1">
      <alignment horizontal="center"/>
    </xf>
    <xf numFmtId="38" fontId="0" fillId="0" borderId="67"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8"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3" fillId="0" borderId="0" xfId="0" applyFont="1"/>
    <xf numFmtId="6" fontId="0" fillId="0" borderId="49" xfId="1" applyNumberFormat="1" applyFont="1" applyFill="1" applyBorder="1" applyAlignment="1">
      <alignment horizontal="right"/>
    </xf>
    <xf numFmtId="38" fontId="7" fillId="0" borderId="0" xfId="0" applyNumberFormat="1" applyFont="1" applyFill="1" applyBorder="1" applyAlignment="1">
      <alignment horizontal="right"/>
    </xf>
    <xf numFmtId="43" fontId="15" fillId="0" borderId="0" xfId="0" applyNumberFormat="1" applyFont="1" applyFill="1" applyBorder="1" applyAlignment="1">
      <alignment vertical="center"/>
    </xf>
    <xf numFmtId="0" fontId="34" fillId="0" borderId="0" xfId="0" applyFont="1" applyFill="1" applyAlignment="1">
      <alignment horizontal="left" vertical="top" wrapText="1"/>
    </xf>
    <xf numFmtId="0" fontId="21" fillId="0" borderId="11" xfId="0" applyFont="1" applyFill="1" applyBorder="1" applyAlignment="1">
      <alignment horizontal="center"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0" fillId="0" borderId="11" xfId="1" applyFont="1" applyFill="1" applyBorder="1" applyAlignment="1">
      <alignment horizontal="center" vertical="center" wrapText="1"/>
    </xf>
    <xf numFmtId="6" fontId="19" fillId="9" borderId="2" xfId="0" applyNumberFormat="1" applyFont="1" applyFill="1" applyBorder="1"/>
    <xf numFmtId="38" fontId="19" fillId="9" borderId="4" xfId="1" applyNumberFormat="1" applyFont="1" applyFill="1" applyBorder="1" applyAlignment="1">
      <alignment horizontal="right"/>
    </xf>
    <xf numFmtId="0" fontId="0" fillId="0" borderId="49" xfId="0" applyFill="1" applyBorder="1" applyAlignment="1"/>
    <xf numFmtId="41" fontId="35" fillId="0" borderId="0" xfId="0" applyNumberFormat="1" applyFont="1" applyFill="1" applyAlignment="1">
      <alignment horizontal="center" vertical="center" wrapText="1"/>
    </xf>
    <xf numFmtId="0" fontId="5" fillId="0" borderId="30" xfId="0" applyFont="1" applyBorder="1" applyAlignment="1">
      <alignment vertical="center"/>
    </xf>
    <xf numFmtId="7" fontId="15" fillId="0" borderId="19" xfId="0" applyNumberFormat="1" applyFont="1" applyFill="1" applyBorder="1" applyAlignment="1">
      <alignment vertical="center"/>
    </xf>
    <xf numFmtId="7" fontId="15" fillId="0" borderId="0" xfId="0" applyNumberFormat="1" applyFont="1" applyFill="1" applyBorder="1" applyAlignment="1">
      <alignment vertical="center"/>
    </xf>
    <xf numFmtId="41" fontId="13" fillId="0" borderId="30" xfId="0" applyNumberFormat="1" applyFont="1" applyBorder="1" applyAlignment="1">
      <alignment horizontal="center" vertical="center"/>
    </xf>
    <xf numFmtId="38" fontId="0" fillId="0" borderId="31" xfId="0" applyNumberFormat="1" applyBorder="1" applyAlignment="1">
      <alignment horizontal="right"/>
    </xf>
    <xf numFmtId="0" fontId="34" fillId="0" borderId="0" xfId="0" applyFont="1" applyFill="1" applyAlignment="1">
      <alignment horizontal="left" vertical="top" wrapText="1"/>
    </xf>
    <xf numFmtId="8" fontId="0" fillId="0" borderId="2" xfId="0" applyNumberFormat="1" applyFont="1" applyBorder="1" applyAlignment="1">
      <alignment vertical="center"/>
    </xf>
    <xf numFmtId="41" fontId="24"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2" fillId="0" borderId="0" xfId="0" applyNumberFormat="1" applyFont="1" applyBorder="1" applyAlignment="1">
      <alignment vertical="center"/>
    </xf>
    <xf numFmtId="8" fontId="0" fillId="0" borderId="0" xfId="0" applyNumberFormat="1"/>
    <xf numFmtId="42" fontId="34" fillId="0" borderId="0" xfId="0" applyNumberFormat="1" applyFont="1" applyFill="1" applyAlignment="1">
      <alignment horizontal="left" vertical="top" wrapText="1"/>
    </xf>
    <xf numFmtId="41" fontId="5" fillId="0" borderId="0" xfId="0" applyNumberFormat="1" applyFont="1" applyBorder="1" applyAlignment="1">
      <alignment horizontal="left" vertical="center"/>
    </xf>
    <xf numFmtId="49" fontId="56" fillId="0" borderId="0" xfId="0" applyNumberFormat="1" applyFont="1" applyBorder="1" applyAlignment="1">
      <alignment horizontal="center"/>
    </xf>
    <xf numFmtId="3" fontId="5" fillId="0" borderId="0" xfId="0" applyNumberFormat="1" applyFont="1" applyFill="1" applyBorder="1" applyAlignment="1"/>
    <xf numFmtId="3" fontId="0" fillId="0" borderId="0" xfId="0" applyNumberFormat="1" applyAlignment="1">
      <alignment horizontal="right"/>
    </xf>
    <xf numFmtId="3" fontId="17" fillId="0" borderId="0" xfId="0" applyNumberFormat="1" applyFont="1" applyBorder="1" applyAlignment="1">
      <alignment horizontal="center"/>
    </xf>
    <xf numFmtId="3" fontId="18" fillId="5" borderId="36" xfId="0" applyNumberFormat="1" applyFont="1" applyFill="1" applyBorder="1" applyAlignment="1"/>
    <xf numFmtId="3" fontId="19" fillId="5" borderId="17" xfId="1" applyNumberFormat="1" applyFont="1" applyFill="1" applyBorder="1" applyAlignment="1">
      <alignment horizontal="right"/>
    </xf>
    <xf numFmtId="3" fontId="18" fillId="5" borderId="21" xfId="1" applyNumberFormat="1" applyFont="1" applyFill="1" applyBorder="1" applyAlignment="1">
      <alignment horizontal="right"/>
    </xf>
    <xf numFmtId="3" fontId="18" fillId="0" borderId="0" xfId="0" applyNumberFormat="1" applyFont="1" applyBorder="1" applyAlignment="1">
      <alignment horizontal="right"/>
    </xf>
    <xf numFmtId="3" fontId="19" fillId="6" borderId="36" xfId="0" applyNumberFormat="1" applyFont="1" applyFill="1" applyBorder="1" applyAlignment="1">
      <alignment horizontal="right"/>
    </xf>
    <xf numFmtId="3" fontId="19" fillId="6" borderId="17" xfId="1" applyNumberFormat="1" applyFont="1" applyFill="1" applyBorder="1" applyAlignment="1">
      <alignment horizontal="right"/>
    </xf>
    <xf numFmtId="3" fontId="18" fillId="6" borderId="21" xfId="1" applyNumberFormat="1" applyFont="1" applyFill="1" applyBorder="1" applyAlignment="1">
      <alignment horizontal="right"/>
    </xf>
    <xf numFmtId="3" fontId="18" fillId="0" borderId="0" xfId="1" applyNumberFormat="1" applyFont="1" applyBorder="1" applyAlignment="1">
      <alignment horizontal="right"/>
    </xf>
    <xf numFmtId="3" fontId="19" fillId="7" borderId="36" xfId="1" applyNumberFormat="1" applyFont="1" applyFill="1" applyBorder="1" applyAlignment="1">
      <alignment horizontal="right"/>
    </xf>
    <xf numFmtId="3" fontId="19" fillId="7" borderId="17" xfId="1" applyNumberFormat="1" applyFont="1" applyFill="1" applyBorder="1" applyAlignment="1">
      <alignment horizontal="right"/>
    </xf>
    <xf numFmtId="3" fontId="18" fillId="7" borderId="21" xfId="1" applyNumberFormat="1" applyFont="1" applyFill="1" applyBorder="1" applyAlignment="1">
      <alignment horizontal="right"/>
    </xf>
    <xf numFmtId="3" fontId="18" fillId="0" borderId="0" xfId="1" applyNumberFormat="1" applyFont="1" applyFill="1" applyBorder="1" applyAlignment="1">
      <alignment horizontal="right"/>
    </xf>
    <xf numFmtId="3" fontId="19" fillId="10" borderId="36" xfId="1" applyNumberFormat="1" applyFont="1" applyFill="1" applyBorder="1" applyAlignment="1">
      <alignment horizontal="right"/>
    </xf>
    <xf numFmtId="3" fontId="19" fillId="10" borderId="17" xfId="1" applyNumberFormat="1" applyFont="1" applyFill="1" applyBorder="1" applyAlignment="1">
      <alignment horizontal="right"/>
    </xf>
    <xf numFmtId="3" fontId="18" fillId="10" borderId="21" xfId="1" applyNumberFormat="1" applyFont="1" applyFill="1" applyBorder="1" applyAlignment="1">
      <alignment horizontal="right"/>
    </xf>
    <xf numFmtId="3" fontId="19" fillId="8" borderId="36" xfId="1" applyNumberFormat="1" applyFont="1" applyFill="1" applyBorder="1" applyAlignment="1">
      <alignment horizontal="right"/>
    </xf>
    <xf numFmtId="3" fontId="19" fillId="8" borderId="17" xfId="1" applyNumberFormat="1" applyFont="1" applyFill="1" applyBorder="1" applyAlignment="1">
      <alignment horizontal="right"/>
    </xf>
    <xf numFmtId="3" fontId="18" fillId="8" borderId="21" xfId="1" applyNumberFormat="1" applyFont="1" applyFill="1" applyBorder="1" applyAlignment="1">
      <alignment horizontal="right"/>
    </xf>
    <xf numFmtId="3" fontId="18" fillId="8" borderId="36" xfId="1" applyNumberFormat="1" applyFont="1" applyFill="1" applyBorder="1" applyAlignment="1">
      <alignment horizontal="right"/>
    </xf>
    <xf numFmtId="3" fontId="18" fillId="11" borderId="36" xfId="1" applyNumberFormat="1" applyFont="1" applyFill="1" applyBorder="1" applyAlignment="1">
      <alignment horizontal="right"/>
    </xf>
    <xf numFmtId="3" fontId="19" fillId="11" borderId="17" xfId="1" applyNumberFormat="1" applyFont="1" applyFill="1" applyBorder="1" applyAlignment="1">
      <alignment horizontal="right"/>
    </xf>
    <xf numFmtId="3" fontId="18" fillId="11" borderId="21" xfId="1" applyNumberFormat="1" applyFont="1" applyFill="1" applyBorder="1" applyAlignment="1">
      <alignment horizontal="right"/>
    </xf>
    <xf numFmtId="3" fontId="5" fillId="0" borderId="0" xfId="1" applyNumberFormat="1" applyFont="1" applyBorder="1" applyAlignment="1">
      <alignment horizontal="right"/>
    </xf>
    <xf numFmtId="3" fontId="0" fillId="9" borderId="36" xfId="0" applyNumberFormat="1" applyFont="1" applyFill="1" applyBorder="1" applyAlignment="1">
      <alignment horizontal="center"/>
    </xf>
    <xf numFmtId="3" fontId="18" fillId="9" borderId="17" xfId="1" applyNumberFormat="1" applyFont="1" applyFill="1" applyBorder="1" applyAlignment="1">
      <alignment horizontal="right"/>
    </xf>
    <xf numFmtId="3" fontId="18" fillId="9" borderId="64" xfId="1" applyNumberFormat="1" applyFont="1" applyFill="1" applyBorder="1" applyAlignment="1">
      <alignment horizontal="right"/>
    </xf>
    <xf numFmtId="3" fontId="18" fillId="9" borderId="51" xfId="1" applyNumberFormat="1" applyFont="1" applyFill="1" applyBorder="1" applyAlignment="1">
      <alignment horizontal="right"/>
    </xf>
    <xf numFmtId="3" fontId="18" fillId="12" borderId="41" xfId="1" applyNumberFormat="1" applyFont="1" applyFill="1" applyBorder="1" applyAlignment="1">
      <alignment horizontal="right"/>
    </xf>
    <xf numFmtId="3" fontId="18" fillId="12" borderId="29" xfId="1" applyNumberFormat="1" applyFont="1" applyFill="1" applyBorder="1" applyAlignment="1">
      <alignment horizontal="right"/>
    </xf>
    <xf numFmtId="3" fontId="18" fillId="12" borderId="43" xfId="1" applyNumberFormat="1" applyFont="1" applyFill="1" applyBorder="1" applyAlignment="1">
      <alignment horizontal="right"/>
    </xf>
    <xf numFmtId="3" fontId="18" fillId="12" borderId="40" xfId="1" applyNumberFormat="1" applyFont="1" applyFill="1" applyBorder="1" applyAlignment="1">
      <alignment horizontal="right"/>
    </xf>
    <xf numFmtId="3" fontId="18" fillId="16" borderId="42" xfId="1" applyNumberFormat="1" applyFont="1" applyFill="1" applyBorder="1" applyAlignment="1">
      <alignment horizontal="right"/>
    </xf>
    <xf numFmtId="3" fontId="18" fillId="14" borderId="42" xfId="1" applyNumberFormat="1" applyFont="1" applyFill="1" applyBorder="1" applyAlignment="1">
      <alignment horizontal="right"/>
    </xf>
    <xf numFmtId="3" fontId="18"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69" fontId="4" fillId="13" borderId="38" xfId="1" applyNumberFormat="1" applyFont="1" applyFill="1" applyBorder="1" applyAlignment="1">
      <alignment horizontal="right"/>
    </xf>
    <xf numFmtId="49" fontId="18" fillId="0" borderId="0" xfId="0" applyNumberFormat="1" applyFont="1" applyFill="1" applyBorder="1" applyAlignment="1">
      <alignment vertical="center"/>
    </xf>
    <xf numFmtId="49" fontId="18" fillId="2" borderId="32" xfId="0" applyNumberFormat="1" applyFont="1" applyFill="1" applyBorder="1" applyAlignment="1">
      <alignment vertical="center"/>
    </xf>
    <xf numFmtId="49" fontId="18" fillId="2" borderId="33" xfId="0" applyNumberFormat="1" applyFont="1" applyFill="1" applyBorder="1" applyAlignment="1">
      <alignment vertical="center"/>
    </xf>
    <xf numFmtId="6" fontId="18" fillId="2" borderId="69" xfId="1" applyNumberFormat="1" applyFont="1" applyFill="1" applyBorder="1" applyAlignment="1">
      <alignment horizontal="right"/>
    </xf>
    <xf numFmtId="38" fontId="18" fillId="2" borderId="69" xfId="1" applyNumberFormat="1" applyFont="1" applyFill="1" applyBorder="1" applyAlignment="1">
      <alignment horizontal="right"/>
    </xf>
    <xf numFmtId="3" fontId="18" fillId="2" borderId="61" xfId="1" applyNumberFormat="1" applyFont="1" applyFill="1" applyBorder="1" applyAlignment="1">
      <alignment horizontal="right"/>
    </xf>
    <xf numFmtId="0" fontId="41" fillId="0" borderId="0" xfId="0" applyFont="1" applyFill="1" applyAlignment="1">
      <alignment horizontal="center" wrapText="1"/>
    </xf>
    <xf numFmtId="41" fontId="35" fillId="0" borderId="0" xfId="0" applyNumberFormat="1" applyFont="1" applyFill="1" applyAlignment="1">
      <alignment horizontal="center" vertical="center" wrapText="1"/>
    </xf>
    <xf numFmtId="0" fontId="38" fillId="0" borderId="0" xfId="0" applyFont="1" applyFill="1" applyAlignment="1">
      <alignment horizontal="center" vertical="center" wrapText="1"/>
    </xf>
    <xf numFmtId="44" fontId="6"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6" fontId="35" fillId="0" borderId="0" xfId="0" applyNumberFormat="1" applyFont="1" applyFill="1" applyBorder="1" applyAlignment="1">
      <alignment horizontal="center" wrapText="1"/>
    </xf>
    <xf numFmtId="0" fontId="34" fillId="0" borderId="0" xfId="0" applyFont="1" applyFill="1" applyAlignment="1">
      <alignment horizontal="left" vertical="top" wrapText="1"/>
    </xf>
    <xf numFmtId="0" fontId="34" fillId="0" borderId="0" xfId="0" applyFont="1" applyFill="1" applyAlignment="1">
      <alignment horizontal="left" wrapText="1"/>
    </xf>
    <xf numFmtId="41" fontId="35" fillId="0" borderId="0" xfId="0" applyNumberFormat="1" applyFont="1" applyFill="1" applyAlignment="1">
      <alignment horizontal="center" vertical="center" wrapText="1"/>
    </xf>
    <xf numFmtId="40" fontId="64" fillId="0" borderId="45" xfId="0" applyNumberFormat="1" applyFont="1" applyFill="1" applyBorder="1" applyAlignment="1">
      <alignment horizontal="center"/>
    </xf>
    <xf numFmtId="166" fontId="26" fillId="0" borderId="27" xfId="0" applyNumberFormat="1" applyFont="1" applyFill="1" applyBorder="1" applyAlignment="1">
      <alignment horizontal="center"/>
    </xf>
    <xf numFmtId="166" fontId="19" fillId="0" borderId="27" xfId="0" applyNumberFormat="1" applyFont="1" applyFill="1" applyBorder="1" applyAlignment="1">
      <alignment horizontal="center"/>
    </xf>
    <xf numFmtId="166" fontId="26"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5" fillId="0" borderId="0" xfId="0" applyFont="1" applyFill="1" applyBorder="1" applyAlignment="1">
      <alignment vertical="center"/>
    </xf>
    <xf numFmtId="165" fontId="35" fillId="0" borderId="0" xfId="0" applyNumberFormat="1" applyFont="1" applyFill="1" applyAlignment="1">
      <alignment horizontal="center" wrapText="1"/>
    </xf>
    <xf numFmtId="165" fontId="35" fillId="0" borderId="31" xfId="0" applyNumberFormat="1" applyFont="1" applyFill="1" applyBorder="1" applyAlignment="1">
      <alignment horizontal="center" wrapText="1"/>
    </xf>
    <xf numFmtId="0" fontId="18" fillId="0" borderId="0" xfId="0" applyNumberFormat="1" applyFont="1" applyBorder="1" applyAlignment="1">
      <alignment horizontal="right" vertical="center"/>
    </xf>
    <xf numFmtId="165" fontId="4" fillId="0" borderId="0" xfId="0" applyNumberFormat="1" applyFont="1" applyBorder="1" applyAlignment="1">
      <alignment horizontal="right" vertical="center"/>
    </xf>
    <xf numFmtId="6" fontId="18" fillId="0" borderId="0" xfId="0" applyNumberFormat="1" applyFont="1" applyFill="1" applyBorder="1"/>
    <xf numFmtId="6" fontId="18" fillId="0" borderId="0" xfId="0" applyNumberFormat="1" applyFont="1" applyFill="1" applyBorder="1" applyAlignment="1">
      <alignment horizontal="center" vertical="center"/>
    </xf>
    <xf numFmtId="6" fontId="4" fillId="0" borderId="0" xfId="1" applyNumberFormat="1" applyFont="1" applyFill="1" applyBorder="1" applyAlignment="1">
      <alignment horizontal="right"/>
    </xf>
    <xf numFmtId="169" fontId="4" fillId="0" borderId="0" xfId="1" applyNumberFormat="1" applyFont="1" applyFill="1" applyBorder="1" applyAlignment="1">
      <alignment horizontal="right"/>
    </xf>
    <xf numFmtId="0" fontId="35"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58" fillId="0" borderId="0" xfId="0" applyNumberFormat="1" applyFont="1"/>
    <xf numFmtId="14" fontId="0" fillId="0" borderId="0" xfId="0" applyNumberFormat="1" applyBorder="1"/>
    <xf numFmtId="1" fontId="0" fillId="0" borderId="0" xfId="4" applyNumberFormat="1" applyFont="1" applyBorder="1"/>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41" fontId="13" fillId="0" borderId="30" xfId="0" applyNumberFormat="1" applyFont="1" applyBorder="1" applyAlignment="1">
      <alignment horizontal="center" vertical="center"/>
    </xf>
    <xf numFmtId="38" fontId="50" fillId="0" borderId="0" xfId="0" applyNumberFormat="1" applyFont="1" applyFill="1"/>
    <xf numFmtId="14" fontId="0" fillId="0" borderId="0" xfId="0" applyNumberFormat="1" applyFill="1"/>
    <xf numFmtId="43" fontId="14" fillId="0" borderId="0" xfId="0" applyNumberFormat="1" applyFont="1" applyBorder="1" applyAlignment="1">
      <alignment vertical="center"/>
    </xf>
    <xf numFmtId="41" fontId="54" fillId="0" borderId="0" xfId="0" applyNumberFormat="1" applyFont="1" applyFill="1" applyBorder="1" applyAlignment="1">
      <alignment vertical="center"/>
    </xf>
    <xf numFmtId="43" fontId="54" fillId="0" borderId="0" xfId="0" applyNumberFormat="1" applyFont="1" applyFill="1" applyBorder="1" applyAlignment="1">
      <alignment vertical="center"/>
    </xf>
    <xf numFmtId="41" fontId="54" fillId="0" borderId="0" xfId="0" applyNumberFormat="1" applyFont="1" applyFill="1" applyBorder="1" applyAlignment="1">
      <alignment horizontal="right" vertical="center"/>
    </xf>
    <xf numFmtId="41" fontId="54" fillId="0" borderId="2" xfId="0" applyNumberFormat="1" applyFont="1" applyFill="1" applyBorder="1" applyAlignment="1">
      <alignment vertical="center"/>
    </xf>
    <xf numFmtId="2" fontId="0" fillId="0" borderId="0" xfId="0" applyNumberFormat="1" applyFill="1"/>
    <xf numFmtId="41" fontId="35"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2" fontId="0" fillId="0" borderId="0" xfId="1" applyNumberFormat="1" applyFont="1" applyFill="1" applyBorder="1" applyAlignment="1"/>
    <xf numFmtId="49" fontId="18" fillId="17" borderId="32" xfId="0" applyNumberFormat="1" applyFont="1" applyFill="1" applyBorder="1" applyAlignment="1">
      <alignment vertical="center"/>
    </xf>
    <xf numFmtId="49" fontId="18" fillId="17" borderId="33" xfId="0" applyNumberFormat="1" applyFont="1" applyFill="1" applyBorder="1" applyAlignment="1">
      <alignment vertical="center"/>
    </xf>
    <xf numFmtId="6" fontId="18" fillId="17" borderId="69" xfId="1" applyNumberFormat="1" applyFont="1" applyFill="1" applyBorder="1" applyAlignment="1">
      <alignment horizontal="right"/>
    </xf>
    <xf numFmtId="38" fontId="18" fillId="17" borderId="69" xfId="1" applyNumberFormat="1" applyFont="1" applyFill="1" applyBorder="1" applyAlignment="1">
      <alignment horizontal="right"/>
    </xf>
    <xf numFmtId="3" fontId="18" fillId="17" borderId="61" xfId="1" applyNumberFormat="1" applyFont="1" applyFill="1" applyBorder="1" applyAlignment="1">
      <alignment horizontal="right"/>
    </xf>
    <xf numFmtId="38" fontId="30" fillId="0" borderId="45" xfId="1" applyNumberFormat="1" applyFont="1" applyFill="1" applyBorder="1" applyAlignment="1"/>
    <xf numFmtId="0" fontId="0" fillId="0" borderId="59" xfId="0" applyFill="1" applyBorder="1" applyAlignment="1">
      <alignment horizontal="left"/>
    </xf>
    <xf numFmtId="38" fontId="0" fillId="0" borderId="59" xfId="1" applyNumberFormat="1" applyFont="1" applyFill="1" applyBorder="1" applyAlignment="1"/>
    <xf numFmtId="41" fontId="0" fillId="0" borderId="59"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9" xfId="0" applyFill="1" applyBorder="1"/>
    <xf numFmtId="0" fontId="58"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9" xfId="0" applyFill="1" applyBorder="1" applyAlignment="1">
      <alignment horizontal="center"/>
    </xf>
    <xf numFmtId="0" fontId="0" fillId="0" borderId="63" xfId="0" applyFill="1" applyBorder="1" applyAlignment="1">
      <alignment horizontal="center" vertical="center"/>
    </xf>
    <xf numFmtId="0" fontId="0" fillId="0" borderId="46" xfId="0" applyFill="1" applyBorder="1" applyAlignment="1">
      <alignment horizontal="center"/>
    </xf>
    <xf numFmtId="0" fontId="0" fillId="0" borderId="63" xfId="0" applyFill="1" applyBorder="1" applyAlignment="1">
      <alignment horizontal="left" vertical="center"/>
    </xf>
    <xf numFmtId="0" fontId="0" fillId="0" borderId="63" xfId="0" applyFill="1" applyBorder="1" applyAlignment="1">
      <alignment vertical="center"/>
    </xf>
    <xf numFmtId="41" fontId="0" fillId="0" borderId="63" xfId="1" applyNumberFormat="1" applyFont="1" applyFill="1" applyBorder="1" applyAlignment="1">
      <alignment vertical="center"/>
    </xf>
    <xf numFmtId="38" fontId="0" fillId="0" borderId="63" xfId="1" applyNumberFormat="1" applyFont="1" applyFill="1" applyBorder="1" applyAlignment="1">
      <alignment vertical="center"/>
    </xf>
    <xf numFmtId="41" fontId="5" fillId="0" borderId="0" xfId="0" applyNumberFormat="1" applyFont="1" applyFill="1" applyBorder="1" applyAlignment="1">
      <alignment vertical="center"/>
    </xf>
    <xf numFmtId="49" fontId="18" fillId="5" borderId="20" xfId="1" applyNumberFormat="1" applyFont="1" applyFill="1" applyBorder="1" applyAlignment="1">
      <alignment horizontal="right"/>
    </xf>
    <xf numFmtId="49" fontId="66" fillId="18" borderId="60" xfId="0" applyNumberFormat="1" applyFont="1" applyFill="1" applyBorder="1" applyAlignment="1">
      <alignment vertical="center"/>
    </xf>
    <xf numFmtId="49" fontId="66" fillId="18" borderId="38" xfId="0" applyNumberFormat="1" applyFont="1" applyFill="1" applyBorder="1" applyAlignment="1">
      <alignment vertical="center"/>
    </xf>
    <xf numFmtId="6" fontId="66" fillId="18" borderId="38" xfId="1" applyNumberFormat="1" applyFont="1" applyFill="1" applyBorder="1" applyAlignment="1">
      <alignment horizontal="right"/>
    </xf>
    <xf numFmtId="6" fontId="66" fillId="18" borderId="61" xfId="1" applyNumberFormat="1" applyFont="1" applyFill="1" applyBorder="1" applyAlignment="1">
      <alignment horizontal="right"/>
    </xf>
    <xf numFmtId="38" fontId="0" fillId="0" borderId="0" xfId="1" applyNumberFormat="1" applyFont="1" applyFill="1" applyBorder="1" applyAlignment="1"/>
    <xf numFmtId="38" fontId="0" fillId="0" borderId="2" xfId="1" applyNumberFormat="1" applyFont="1" applyFill="1" applyBorder="1" applyAlignment="1"/>
    <xf numFmtId="41" fontId="0" fillId="0" borderId="2" xfId="1" applyNumberFormat="1" applyFont="1" applyFill="1" applyBorder="1" applyAlignment="1"/>
    <xf numFmtId="14" fontId="0" fillId="0" borderId="48" xfId="0" applyNumberFormat="1" applyFill="1" applyBorder="1" applyAlignment="1">
      <alignment horizontal="center"/>
    </xf>
    <xf numFmtId="14" fontId="0" fillId="0" borderId="59" xfId="0" applyNumberFormat="1" applyFill="1" applyBorder="1" applyAlignment="1">
      <alignment horizontal="center"/>
    </xf>
    <xf numFmtId="14" fontId="0" fillId="0" borderId="63" xfId="0" applyNumberFormat="1" applyFill="1" applyBorder="1" applyAlignment="1">
      <alignment horizontal="center" vertical="center"/>
    </xf>
    <xf numFmtId="40" fontId="3" fillId="3" borderId="14" xfId="0" applyNumberFormat="1" applyFont="1" applyFill="1" applyBorder="1" applyAlignment="1">
      <alignment horizontal="center" vertical="center" wrapText="1"/>
    </xf>
    <xf numFmtId="38" fontId="0" fillId="0" borderId="3" xfId="1" applyNumberFormat="1" applyFont="1" applyFill="1" applyBorder="1" applyAlignment="1"/>
    <xf numFmtId="38" fontId="0" fillId="0" borderId="2" xfId="1" applyNumberFormat="1" applyFont="1" applyFill="1" applyBorder="1" applyAlignment="1">
      <alignment horizontal="right"/>
    </xf>
    <xf numFmtId="38" fontId="0" fillId="0" borderId="6" xfId="1" applyNumberFormat="1" applyFont="1" applyFill="1" applyBorder="1" applyAlignment="1">
      <alignment horizontal="right" vertical="center"/>
    </xf>
    <xf numFmtId="41" fontId="0" fillId="0" borderId="0" xfId="1" applyNumberFormat="1" applyFont="1" applyFill="1" applyBorder="1" applyAlignment="1">
      <alignment horizontal="center"/>
    </xf>
    <xf numFmtId="41" fontId="0" fillId="0" borderId="27" xfId="1" applyNumberFormat="1" applyFont="1" applyFill="1" applyBorder="1" applyAlignment="1">
      <alignment horizontal="center"/>
    </xf>
    <xf numFmtId="41" fontId="0" fillId="0" borderId="3" xfId="1" applyNumberFormat="1" applyFont="1" applyFill="1" applyBorder="1" applyAlignment="1"/>
    <xf numFmtId="38" fontId="0" fillId="0" borderId="6" xfId="1" applyNumberFormat="1" applyFont="1" applyFill="1" applyBorder="1" applyAlignment="1">
      <alignment vertical="center"/>
    </xf>
    <xf numFmtId="38" fontId="0" fillId="0" borderId="27" xfId="1" applyNumberFormat="1" applyFont="1" applyFill="1" applyBorder="1" applyAlignment="1"/>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1" fillId="0" borderId="6" xfId="0" applyNumberFormat="1" applyFont="1" applyBorder="1" applyAlignment="1">
      <alignment vertical="center"/>
    </xf>
    <xf numFmtId="44" fontId="0" fillId="0" borderId="0" xfId="0" applyNumberFormat="1" applyFont="1" applyBorder="1" applyAlignment="1">
      <alignment vertical="center"/>
    </xf>
    <xf numFmtId="0" fontId="56" fillId="0" borderId="0" xfId="0" applyNumberFormat="1" applyFont="1" applyBorder="1" applyAlignment="1">
      <alignment horizontal="left"/>
    </xf>
    <xf numFmtId="0" fontId="35" fillId="0" borderId="0" xfId="0" applyFont="1" applyFill="1" applyAlignment="1">
      <alignment horizontal="left" vertical="top" wrapText="1"/>
    </xf>
    <xf numFmtId="0" fontId="35" fillId="0" borderId="0" xfId="0" applyFont="1" applyFill="1" applyAlignment="1">
      <alignment horizontal="center" vertical="top" wrapText="1"/>
    </xf>
    <xf numFmtId="0" fontId="34" fillId="0" borderId="0" xfId="0" applyFont="1" applyFill="1" applyAlignment="1">
      <alignment horizontal="left"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21" fillId="0" borderId="11" xfId="0" applyFont="1" applyFill="1" applyBorder="1" applyAlignment="1">
      <alignment horizontal="center" vertical="top" wrapText="1"/>
    </xf>
    <xf numFmtId="0" fontId="34" fillId="0" borderId="0" xfId="0" applyFont="1" applyFill="1" applyAlignment="1">
      <alignment horizontal="left" vertical="top" wrapText="1"/>
    </xf>
    <xf numFmtId="0" fontId="35" fillId="0" borderId="0" xfId="0" applyFont="1" applyFill="1" applyAlignment="1">
      <alignment horizontal="center" vertical="center" wrapText="1"/>
    </xf>
    <xf numFmtId="0" fontId="0" fillId="0" borderId="0" xfId="0" applyFill="1" applyAlignment="1">
      <alignment horizontal="center"/>
    </xf>
    <xf numFmtId="0" fontId="34" fillId="0" borderId="0" xfId="0" applyFont="1" applyFill="1" applyAlignment="1">
      <alignment horizontal="left" wrapText="1"/>
    </xf>
    <xf numFmtId="17" fontId="0" fillId="0" borderId="2" xfId="0" applyNumberFormat="1" applyFont="1" applyFill="1" applyBorder="1" applyAlignment="1">
      <alignment horizontal="left" wrapText="1"/>
    </xf>
    <xf numFmtId="0" fontId="35" fillId="0" borderId="0" xfId="0" applyFont="1" applyFill="1" applyAlignment="1">
      <alignment horizontal="right" vertical="center" wrapText="1"/>
    </xf>
    <xf numFmtId="0" fontId="35" fillId="0" borderId="0" xfId="0" applyFont="1" applyFill="1" applyAlignment="1">
      <alignment horizontal="left" vertical="center" wrapText="1"/>
    </xf>
    <xf numFmtId="41" fontId="35" fillId="0" borderId="0" xfId="0" applyNumberFormat="1" applyFont="1" applyFill="1" applyAlignment="1">
      <alignment horizontal="center" vertical="center" wrapText="1"/>
    </xf>
    <xf numFmtId="0" fontId="35" fillId="0" borderId="0" xfId="0" applyFont="1" applyFill="1" applyAlignment="1">
      <alignment horizontal="left" vertical="center" wrapText="1" indent="2"/>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0" fontId="38" fillId="0" borderId="0" xfId="0" applyFont="1" applyFill="1" applyAlignment="1">
      <alignment horizontal="center" vertical="center" wrapText="1"/>
    </xf>
    <xf numFmtId="0" fontId="60" fillId="0" borderId="0" xfId="0" applyFont="1" applyFill="1" applyAlignment="1">
      <alignment horizontal="center" vertical="center" wrapText="1"/>
    </xf>
    <xf numFmtId="0" fontId="33" fillId="0" borderId="0" xfId="0" applyFont="1" applyFill="1" applyAlignment="1">
      <alignment horizontal="center" vertical="center"/>
    </xf>
    <xf numFmtId="168" fontId="33" fillId="0" borderId="0" xfId="0" applyNumberFormat="1" applyFont="1" applyFill="1" applyAlignment="1">
      <alignment horizontal="center" vertical="center"/>
    </xf>
    <xf numFmtId="0" fontId="41" fillId="0" borderId="0" xfId="0" applyFont="1" applyFill="1" applyAlignment="1">
      <alignment horizontal="center" vertical="center" wrapText="1"/>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3"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1" xfId="0" applyFont="1" applyFill="1" applyBorder="1" applyAlignment="1">
      <alignment horizontal="left"/>
    </xf>
    <xf numFmtId="0" fontId="0" fillId="0" borderId="50" xfId="0" applyFill="1" applyBorder="1" applyAlignment="1">
      <alignment horizontal="left"/>
    </xf>
    <xf numFmtId="0" fontId="0" fillId="0" borderId="70" xfId="0" applyFill="1" applyBorder="1" applyAlignment="1">
      <alignment horizontal="left"/>
    </xf>
    <xf numFmtId="0" fontId="0" fillId="0" borderId="23" xfId="0" applyFill="1" applyBorder="1" applyAlignment="1">
      <alignment horizontal="left"/>
    </xf>
    <xf numFmtId="0" fontId="0" fillId="0" borderId="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5"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49" fontId="18" fillId="5" borderId="34" xfId="0" applyNumberFormat="1" applyFont="1" applyFill="1" applyBorder="1" applyAlignment="1">
      <alignment horizontal="left"/>
    </xf>
    <xf numFmtId="49" fontId="18" fillId="5" borderId="28" xfId="0" applyNumberFormat="1" applyFont="1" applyFill="1" applyBorder="1" applyAlignment="1">
      <alignment horizontal="left"/>
    </xf>
    <xf numFmtId="49" fontId="18" fillId="12" borderId="35" xfId="0" applyNumberFormat="1" applyFont="1" applyFill="1" applyBorder="1" applyAlignment="1">
      <alignment horizontal="center" vertical="center"/>
    </xf>
    <xf numFmtId="49" fontId="18" fillId="12" borderId="52" xfId="0" applyNumberFormat="1" applyFont="1" applyFill="1" applyBorder="1" applyAlignment="1">
      <alignment horizontal="center" vertical="center"/>
    </xf>
    <xf numFmtId="49" fontId="17" fillId="0" borderId="0" xfId="0" applyNumberFormat="1" applyFont="1" applyAlignment="1">
      <alignment horizontal="center" vertical="center"/>
    </xf>
    <xf numFmtId="41" fontId="13" fillId="0" borderId="30" xfId="0" applyNumberFormat="1" applyFont="1" applyBorder="1" applyAlignment="1">
      <alignment horizontal="center" vertical="center"/>
    </xf>
    <xf numFmtId="0" fontId="0" fillId="0" borderId="27" xfId="0" applyBorder="1" applyAlignment="1">
      <alignment horizontal="center"/>
    </xf>
    <xf numFmtId="49" fontId="15" fillId="0" borderId="0" xfId="0" applyNumberFormat="1" applyFont="1" applyBorder="1" applyAlignment="1">
      <alignment horizontal="left" vertical="center"/>
    </xf>
    <xf numFmtId="49" fontId="15" fillId="0" borderId="0" xfId="0" applyNumberFormat="1" applyFont="1" applyAlignment="1">
      <alignment horizontal="left" vertical="center"/>
    </xf>
    <xf numFmtId="49" fontId="11" fillId="0" borderId="0" xfId="0" applyNumberFormat="1" applyFont="1" applyBorder="1" applyAlignment="1">
      <alignment horizontal="center" vertical="center"/>
    </xf>
    <xf numFmtId="0" fontId="61" fillId="0" borderId="32" xfId="0" applyFont="1" applyBorder="1" applyAlignment="1">
      <alignment horizontal="center"/>
    </xf>
    <xf numFmtId="0" fontId="61" fillId="0" borderId="33" xfId="0" applyFont="1" applyBorder="1" applyAlignment="1">
      <alignment horizontal="center"/>
    </xf>
    <xf numFmtId="0" fontId="61" fillId="0" borderId="42" xfId="0" applyFont="1" applyBorder="1" applyAlignment="1">
      <alignment horizontal="center"/>
    </xf>
    <xf numFmtId="49" fontId="11" fillId="0" borderId="27" xfId="0" applyNumberFormat="1" applyFont="1" applyBorder="1" applyAlignment="1">
      <alignment horizontal="center" wrapText="1"/>
    </xf>
    <xf numFmtId="49" fontId="11" fillId="0" borderId="0" xfId="0" applyNumberFormat="1" applyFont="1" applyAlignment="1">
      <alignment horizontal="left" vertical="center"/>
    </xf>
  </cellXfs>
  <cellStyles count="5">
    <cellStyle name="Currency" xfId="1" builtinId="4"/>
    <cellStyle name="Currency 2" xfId="3"/>
    <cellStyle name="Normal" xfId="0" builtinId="0"/>
    <cellStyle name="Normal 2" xfId="2"/>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Data!$A$786:$A$1133</c:f>
              <c:numCache>
                <c:formatCode>[$-F800]dddd\,\ mmmm\ dd\,\ yyyy</c:formatCode>
                <c:ptCount val="348"/>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numCache>
            </c:numRef>
          </c:cat>
          <c:val>
            <c:numRef>
              <c:f>Data!$B$786:$B$1133</c:f>
              <c:numCache>
                <c:formatCode>#,##0_);[Red]\(#,##0\)</c:formatCode>
                <c:ptCount val="348"/>
                <c:pt idx="0">
                  <c:v>274101</c:v>
                </c:pt>
                <c:pt idx="1">
                  <c:v>299108.40000000002</c:v>
                </c:pt>
                <c:pt idx="2">
                  <c:v>298070.78000000003</c:v>
                </c:pt>
                <c:pt idx="3">
                  <c:v>298071</c:v>
                </c:pt>
                <c:pt idx="4">
                  <c:v>298430.78000000003</c:v>
                </c:pt>
                <c:pt idx="5">
                  <c:v>264835.63</c:v>
                </c:pt>
                <c:pt idx="6">
                  <c:v>303664.65999999997</c:v>
                </c:pt>
                <c:pt idx="7">
                  <c:v>299790.71999999997</c:v>
                </c:pt>
                <c:pt idx="8">
                  <c:v>309881.71999999997</c:v>
                </c:pt>
                <c:pt idx="9">
                  <c:v>284374.78999999998</c:v>
                </c:pt>
                <c:pt idx="10">
                  <c:v>284494.75</c:v>
                </c:pt>
                <c:pt idx="11">
                  <c:v>277370.03000000003</c:v>
                </c:pt>
                <c:pt idx="12">
                  <c:v>266103.65999999997</c:v>
                </c:pt>
                <c:pt idx="13">
                  <c:v>266189.65999999997</c:v>
                </c:pt>
                <c:pt idx="14">
                  <c:v>266190</c:v>
                </c:pt>
                <c:pt idx="15">
                  <c:v>228832.05</c:v>
                </c:pt>
                <c:pt idx="16">
                  <c:v>229285.41</c:v>
                </c:pt>
                <c:pt idx="17">
                  <c:v>236709.42</c:v>
                </c:pt>
                <c:pt idx="18">
                  <c:v>236709</c:v>
                </c:pt>
                <c:pt idx="19">
                  <c:v>236400.88</c:v>
                </c:pt>
                <c:pt idx="20">
                  <c:v>236401</c:v>
                </c:pt>
                <c:pt idx="21">
                  <c:v>236401</c:v>
                </c:pt>
                <c:pt idx="22">
                  <c:v>237605.71</c:v>
                </c:pt>
                <c:pt idx="23">
                  <c:v>237728.71</c:v>
                </c:pt>
                <c:pt idx="24">
                  <c:v>201980</c:v>
                </c:pt>
                <c:pt idx="25">
                  <c:v>225615.34</c:v>
                </c:pt>
                <c:pt idx="26">
                  <c:v>225615</c:v>
                </c:pt>
                <c:pt idx="27">
                  <c:v>219151.3</c:v>
                </c:pt>
                <c:pt idx="28">
                  <c:v>219351.3</c:v>
                </c:pt>
                <c:pt idx="29">
                  <c:v>219351</c:v>
                </c:pt>
                <c:pt idx="30">
                  <c:v>219351</c:v>
                </c:pt>
                <c:pt idx="31">
                  <c:v>219351</c:v>
                </c:pt>
                <c:pt idx="32">
                  <c:v>206758.66</c:v>
                </c:pt>
                <c:pt idx="33">
                  <c:v>234837.55</c:v>
                </c:pt>
                <c:pt idx="34">
                  <c:v>234838</c:v>
                </c:pt>
                <c:pt idx="35">
                  <c:v>199113.26</c:v>
                </c:pt>
                <c:pt idx="36">
                  <c:v>199113</c:v>
                </c:pt>
                <c:pt idx="37">
                  <c:v>205400.17</c:v>
                </c:pt>
                <c:pt idx="38">
                  <c:v>220161.91</c:v>
                </c:pt>
                <c:pt idx="39">
                  <c:v>220161.91</c:v>
                </c:pt>
                <c:pt idx="40">
                  <c:v>220161.91</c:v>
                </c:pt>
                <c:pt idx="41">
                  <c:v>220161.91</c:v>
                </c:pt>
                <c:pt idx="42">
                  <c:v>224635.26</c:v>
                </c:pt>
                <c:pt idx="43">
                  <c:v>298900.61</c:v>
                </c:pt>
                <c:pt idx="44">
                  <c:v>262246.8</c:v>
                </c:pt>
                <c:pt idx="45">
                  <c:v>262247</c:v>
                </c:pt>
                <c:pt idx="46">
                  <c:v>262247</c:v>
                </c:pt>
                <c:pt idx="47">
                  <c:v>275395.15000000002</c:v>
                </c:pt>
                <c:pt idx="48">
                  <c:v>275395</c:v>
                </c:pt>
                <c:pt idx="49">
                  <c:v>275395</c:v>
                </c:pt>
                <c:pt idx="50">
                  <c:v>275395</c:v>
                </c:pt>
                <c:pt idx="51">
                  <c:v>316802.46999999997</c:v>
                </c:pt>
                <c:pt idx="52">
                  <c:v>297067.40000000002</c:v>
                </c:pt>
                <c:pt idx="53">
                  <c:v>300574.83</c:v>
                </c:pt>
                <c:pt idx="54">
                  <c:v>264695.24</c:v>
                </c:pt>
                <c:pt idx="55">
                  <c:v>264695</c:v>
                </c:pt>
                <c:pt idx="56">
                  <c:v>264695</c:v>
                </c:pt>
                <c:pt idx="57">
                  <c:v>282838.67</c:v>
                </c:pt>
                <c:pt idx="58">
                  <c:v>282839</c:v>
                </c:pt>
                <c:pt idx="59">
                  <c:v>333807.26</c:v>
                </c:pt>
                <c:pt idx="60">
                  <c:v>332295.96000000002</c:v>
                </c:pt>
                <c:pt idx="61">
                  <c:v>325401.01</c:v>
                </c:pt>
                <c:pt idx="62">
                  <c:v>328793.55</c:v>
                </c:pt>
                <c:pt idx="63">
                  <c:v>329088.55</c:v>
                </c:pt>
                <c:pt idx="64">
                  <c:v>328488.55</c:v>
                </c:pt>
                <c:pt idx="65">
                  <c:v>292528.71999999997</c:v>
                </c:pt>
                <c:pt idx="66">
                  <c:v>294672.43</c:v>
                </c:pt>
                <c:pt idx="67">
                  <c:v>292850.33</c:v>
                </c:pt>
                <c:pt idx="68">
                  <c:v>284702.78999999998</c:v>
                </c:pt>
                <c:pt idx="69">
                  <c:v>284703</c:v>
                </c:pt>
                <c:pt idx="70">
                  <c:v>284775.52</c:v>
                </c:pt>
                <c:pt idx="71">
                  <c:v>284776</c:v>
                </c:pt>
                <c:pt idx="72">
                  <c:v>277335.02</c:v>
                </c:pt>
                <c:pt idx="73">
                  <c:v>277335</c:v>
                </c:pt>
                <c:pt idx="74">
                  <c:v>277462.90999999997</c:v>
                </c:pt>
                <c:pt idx="75">
                  <c:v>241180.07</c:v>
                </c:pt>
                <c:pt idx="76">
                  <c:v>257634.61</c:v>
                </c:pt>
                <c:pt idx="77">
                  <c:v>241154.55</c:v>
                </c:pt>
                <c:pt idx="78">
                  <c:v>243162.78</c:v>
                </c:pt>
                <c:pt idx="79">
                  <c:v>243003.93</c:v>
                </c:pt>
                <c:pt idx="80">
                  <c:v>243004</c:v>
                </c:pt>
                <c:pt idx="81">
                  <c:v>243060.55</c:v>
                </c:pt>
                <c:pt idx="82">
                  <c:v>245074.5</c:v>
                </c:pt>
                <c:pt idx="83">
                  <c:v>274493.84000000003</c:v>
                </c:pt>
                <c:pt idx="84">
                  <c:v>274494</c:v>
                </c:pt>
                <c:pt idx="85">
                  <c:v>268536.75</c:v>
                </c:pt>
                <c:pt idx="86">
                  <c:v>249086.1</c:v>
                </c:pt>
                <c:pt idx="87">
                  <c:v>253347.36</c:v>
                </c:pt>
                <c:pt idx="88">
                  <c:v>253347</c:v>
                </c:pt>
                <c:pt idx="89">
                  <c:v>253347</c:v>
                </c:pt>
                <c:pt idx="90">
                  <c:v>253347</c:v>
                </c:pt>
                <c:pt idx="91">
                  <c:v>253347</c:v>
                </c:pt>
                <c:pt idx="92">
                  <c:v>256363.47</c:v>
                </c:pt>
                <c:pt idx="93">
                  <c:v>256363</c:v>
                </c:pt>
                <c:pt idx="94">
                  <c:v>256363</c:v>
                </c:pt>
                <c:pt idx="95">
                  <c:v>220671.47</c:v>
                </c:pt>
                <c:pt idx="96">
                  <c:v>248680.89</c:v>
                </c:pt>
                <c:pt idx="97">
                  <c:v>254567.98</c:v>
                </c:pt>
                <c:pt idx="98">
                  <c:v>310563.12</c:v>
                </c:pt>
                <c:pt idx="99">
                  <c:v>310000.12</c:v>
                </c:pt>
                <c:pt idx="100">
                  <c:v>310000.12</c:v>
                </c:pt>
                <c:pt idx="101">
                  <c:v>310000.12</c:v>
                </c:pt>
                <c:pt idx="102">
                  <c:v>300109.28999999998</c:v>
                </c:pt>
                <c:pt idx="103">
                  <c:v>297396.90999999997</c:v>
                </c:pt>
                <c:pt idx="104">
                  <c:v>297397</c:v>
                </c:pt>
                <c:pt idx="105">
                  <c:v>309520.18</c:v>
                </c:pt>
                <c:pt idx="106">
                  <c:v>309520</c:v>
                </c:pt>
                <c:pt idx="107">
                  <c:v>306153.90000000002</c:v>
                </c:pt>
                <c:pt idx="108">
                  <c:v>307621.78000000003</c:v>
                </c:pt>
                <c:pt idx="109">
                  <c:v>307288.12</c:v>
                </c:pt>
                <c:pt idx="110">
                  <c:v>307288</c:v>
                </c:pt>
                <c:pt idx="111">
                  <c:v>307288</c:v>
                </c:pt>
                <c:pt idx="112">
                  <c:v>296580.19</c:v>
                </c:pt>
                <c:pt idx="113">
                  <c:v>295981.95</c:v>
                </c:pt>
                <c:pt idx="114">
                  <c:v>260513.06</c:v>
                </c:pt>
                <c:pt idx="115">
                  <c:v>260513</c:v>
                </c:pt>
                <c:pt idx="116">
                  <c:v>260513</c:v>
                </c:pt>
                <c:pt idx="117">
                  <c:v>255966.98</c:v>
                </c:pt>
                <c:pt idx="118">
                  <c:v>257507.94</c:v>
                </c:pt>
                <c:pt idx="119">
                  <c:v>257508</c:v>
                </c:pt>
                <c:pt idx="120">
                  <c:v>257508</c:v>
                </c:pt>
                <c:pt idx="121">
                  <c:v>257508</c:v>
                </c:pt>
                <c:pt idx="122">
                  <c:v>245601.94</c:v>
                </c:pt>
                <c:pt idx="123">
                  <c:v>245768.94</c:v>
                </c:pt>
                <c:pt idx="124">
                  <c:v>245769</c:v>
                </c:pt>
                <c:pt idx="125">
                  <c:v>209143.06</c:v>
                </c:pt>
                <c:pt idx="126">
                  <c:v>216087.16</c:v>
                </c:pt>
                <c:pt idx="127">
                  <c:v>218399.34</c:v>
                </c:pt>
                <c:pt idx="128">
                  <c:v>246675.15</c:v>
                </c:pt>
                <c:pt idx="129">
                  <c:v>246675</c:v>
                </c:pt>
                <c:pt idx="130">
                  <c:v>248377.32</c:v>
                </c:pt>
                <c:pt idx="131">
                  <c:v>277944.71000000002</c:v>
                </c:pt>
                <c:pt idx="132">
                  <c:v>277945</c:v>
                </c:pt>
                <c:pt idx="133">
                  <c:v>278046.71000000002</c:v>
                </c:pt>
                <c:pt idx="134">
                  <c:v>282590.19</c:v>
                </c:pt>
                <c:pt idx="135">
                  <c:v>247195.73</c:v>
                </c:pt>
                <c:pt idx="136">
                  <c:v>247195.73</c:v>
                </c:pt>
                <c:pt idx="137">
                  <c:v>235813.1</c:v>
                </c:pt>
                <c:pt idx="138">
                  <c:v>237210.07</c:v>
                </c:pt>
                <c:pt idx="139">
                  <c:v>237490.39</c:v>
                </c:pt>
                <c:pt idx="140">
                  <c:v>237490</c:v>
                </c:pt>
                <c:pt idx="141">
                  <c:v>237490.39</c:v>
                </c:pt>
                <c:pt idx="142">
                  <c:v>232593.57</c:v>
                </c:pt>
                <c:pt idx="143">
                  <c:v>232923.06</c:v>
                </c:pt>
                <c:pt idx="144">
                  <c:v>196798.51</c:v>
                </c:pt>
                <c:pt idx="145">
                  <c:v>199629.38</c:v>
                </c:pt>
                <c:pt idx="146">
                  <c:v>199629</c:v>
                </c:pt>
                <c:pt idx="147">
                  <c:v>195151.45</c:v>
                </c:pt>
                <c:pt idx="148">
                  <c:v>228843.78</c:v>
                </c:pt>
                <c:pt idx="149">
                  <c:v>228844</c:v>
                </c:pt>
                <c:pt idx="150">
                  <c:v>228844</c:v>
                </c:pt>
                <c:pt idx="151">
                  <c:v>229051.78</c:v>
                </c:pt>
                <c:pt idx="152">
                  <c:v>234767.17</c:v>
                </c:pt>
                <c:pt idx="153">
                  <c:v>236117.76000000001</c:v>
                </c:pt>
                <c:pt idx="154">
                  <c:v>236118</c:v>
                </c:pt>
                <c:pt idx="155">
                  <c:v>208888.5</c:v>
                </c:pt>
                <c:pt idx="156">
                  <c:v>208792.5</c:v>
                </c:pt>
                <c:pt idx="157">
                  <c:v>203219.37</c:v>
                </c:pt>
                <c:pt idx="158">
                  <c:v>205639.37</c:v>
                </c:pt>
                <c:pt idx="159">
                  <c:v>205639.37</c:v>
                </c:pt>
                <c:pt idx="160">
                  <c:v>232145.73</c:v>
                </c:pt>
                <c:pt idx="161">
                  <c:v>233325.32</c:v>
                </c:pt>
                <c:pt idx="162">
                  <c:v>225375.98</c:v>
                </c:pt>
                <c:pt idx="163">
                  <c:v>225424.1</c:v>
                </c:pt>
                <c:pt idx="164">
                  <c:v>187365.06</c:v>
                </c:pt>
                <c:pt idx="165">
                  <c:v>187365</c:v>
                </c:pt>
                <c:pt idx="166">
                  <c:v>187365</c:v>
                </c:pt>
                <c:pt idx="167">
                  <c:v>172667.6</c:v>
                </c:pt>
                <c:pt idx="168">
                  <c:v>172668</c:v>
                </c:pt>
                <c:pt idx="169">
                  <c:v>236616.35</c:v>
                </c:pt>
                <c:pt idx="170">
                  <c:v>237913.62</c:v>
                </c:pt>
                <c:pt idx="171">
                  <c:v>237914</c:v>
                </c:pt>
                <c:pt idx="172">
                  <c:v>244708.19</c:v>
                </c:pt>
                <c:pt idx="173">
                  <c:v>249899.19</c:v>
                </c:pt>
                <c:pt idx="174">
                  <c:v>249899</c:v>
                </c:pt>
                <c:pt idx="175">
                  <c:v>215930.73</c:v>
                </c:pt>
                <c:pt idx="176">
                  <c:v>215931</c:v>
                </c:pt>
                <c:pt idx="177">
                  <c:v>205664.34</c:v>
                </c:pt>
                <c:pt idx="178">
                  <c:v>205830.34</c:v>
                </c:pt>
                <c:pt idx="179">
                  <c:v>205830</c:v>
                </c:pt>
                <c:pt idx="180">
                  <c:v>205830</c:v>
                </c:pt>
                <c:pt idx="181">
                  <c:v>205830</c:v>
                </c:pt>
                <c:pt idx="182">
                  <c:v>207654.61</c:v>
                </c:pt>
                <c:pt idx="183">
                  <c:v>207743.24</c:v>
                </c:pt>
                <c:pt idx="184">
                  <c:v>207845.42</c:v>
                </c:pt>
                <c:pt idx="185">
                  <c:v>173840.8</c:v>
                </c:pt>
                <c:pt idx="186">
                  <c:v>212383.95</c:v>
                </c:pt>
                <c:pt idx="187">
                  <c:v>205191.98</c:v>
                </c:pt>
                <c:pt idx="188">
                  <c:v>205884.98</c:v>
                </c:pt>
                <c:pt idx="189">
                  <c:v>205884.98</c:v>
                </c:pt>
                <c:pt idx="190">
                  <c:v>205884.98</c:v>
                </c:pt>
                <c:pt idx="191">
                  <c:v>231641.34</c:v>
                </c:pt>
                <c:pt idx="192">
                  <c:v>236338.62</c:v>
                </c:pt>
                <c:pt idx="193">
                  <c:v>269514.5</c:v>
                </c:pt>
                <c:pt idx="194">
                  <c:v>287654.26</c:v>
                </c:pt>
                <c:pt idx="195">
                  <c:v>254047.41</c:v>
                </c:pt>
                <c:pt idx="196">
                  <c:v>254047</c:v>
                </c:pt>
                <c:pt idx="197">
                  <c:v>244596.04</c:v>
                </c:pt>
                <c:pt idx="198">
                  <c:v>244881.04</c:v>
                </c:pt>
                <c:pt idx="199">
                  <c:v>244881</c:v>
                </c:pt>
                <c:pt idx="200">
                  <c:v>244881</c:v>
                </c:pt>
                <c:pt idx="201">
                  <c:v>244881</c:v>
                </c:pt>
                <c:pt idx="202">
                  <c:v>247845.59</c:v>
                </c:pt>
                <c:pt idx="203">
                  <c:v>247846</c:v>
                </c:pt>
                <c:pt idx="204">
                  <c:v>247846</c:v>
                </c:pt>
                <c:pt idx="205">
                  <c:v>183161.53</c:v>
                </c:pt>
                <c:pt idx="206">
                  <c:v>185786.19</c:v>
                </c:pt>
                <c:pt idx="207">
                  <c:v>160581.73000000001</c:v>
                </c:pt>
                <c:pt idx="208">
                  <c:v>160581.73000000001</c:v>
                </c:pt>
                <c:pt idx="209">
                  <c:v>160581.73000000001</c:v>
                </c:pt>
                <c:pt idx="210">
                  <c:v>160581.73000000001</c:v>
                </c:pt>
                <c:pt idx="211">
                  <c:v>171996.42</c:v>
                </c:pt>
                <c:pt idx="212">
                  <c:v>167352.24</c:v>
                </c:pt>
                <c:pt idx="213">
                  <c:v>166766.24</c:v>
                </c:pt>
                <c:pt idx="214">
                  <c:v>129051.26</c:v>
                </c:pt>
                <c:pt idx="215">
                  <c:v>132306.64000000001</c:v>
                </c:pt>
                <c:pt idx="216">
                  <c:v>181475.08</c:v>
                </c:pt>
                <c:pt idx="217">
                  <c:v>169335.94</c:v>
                </c:pt>
                <c:pt idx="218">
                  <c:v>171521.13</c:v>
                </c:pt>
                <c:pt idx="219">
                  <c:v>171521</c:v>
                </c:pt>
                <c:pt idx="220">
                  <c:v>171521</c:v>
                </c:pt>
                <c:pt idx="221">
                  <c:v>201934.13</c:v>
                </c:pt>
                <c:pt idx="222">
                  <c:v>198457.3</c:v>
                </c:pt>
                <c:pt idx="223">
                  <c:v>198457</c:v>
                </c:pt>
                <c:pt idx="224">
                  <c:v>164046.53</c:v>
                </c:pt>
                <c:pt idx="225">
                  <c:v>164047</c:v>
                </c:pt>
                <c:pt idx="226">
                  <c:v>198779.19</c:v>
                </c:pt>
                <c:pt idx="227">
                  <c:v>188221.13</c:v>
                </c:pt>
                <c:pt idx="228">
                  <c:v>190279.89</c:v>
                </c:pt>
                <c:pt idx="229">
                  <c:v>190179.89</c:v>
                </c:pt>
                <c:pt idx="230">
                  <c:v>190180</c:v>
                </c:pt>
                <c:pt idx="231">
                  <c:v>190180</c:v>
                </c:pt>
                <c:pt idx="232">
                  <c:v>188919.3</c:v>
                </c:pt>
                <c:pt idx="233">
                  <c:v>188919</c:v>
                </c:pt>
                <c:pt idx="234">
                  <c:v>153349.64000000001</c:v>
                </c:pt>
                <c:pt idx="235">
                  <c:v>153226.64000000001</c:v>
                </c:pt>
                <c:pt idx="236">
                  <c:v>154369.64000000001</c:v>
                </c:pt>
                <c:pt idx="237">
                  <c:v>154370</c:v>
                </c:pt>
                <c:pt idx="238">
                  <c:v>237011.17</c:v>
                </c:pt>
                <c:pt idx="239">
                  <c:v>237011</c:v>
                </c:pt>
                <c:pt idx="240">
                  <c:v>237011</c:v>
                </c:pt>
                <c:pt idx="241">
                  <c:v>237011</c:v>
                </c:pt>
                <c:pt idx="242">
                  <c:v>229967.75</c:v>
                </c:pt>
                <c:pt idx="243">
                  <c:v>229968</c:v>
                </c:pt>
                <c:pt idx="244">
                  <c:v>193352.99</c:v>
                </c:pt>
                <c:pt idx="245">
                  <c:v>193629.99</c:v>
                </c:pt>
                <c:pt idx="246">
                  <c:v>193630</c:v>
                </c:pt>
                <c:pt idx="247">
                  <c:v>193945</c:v>
                </c:pt>
                <c:pt idx="248">
                  <c:v>196370.92</c:v>
                </c:pt>
                <c:pt idx="249">
                  <c:v>196370.92</c:v>
                </c:pt>
                <c:pt idx="250">
                  <c:v>196370.92</c:v>
                </c:pt>
                <c:pt idx="251">
                  <c:v>196370.92</c:v>
                </c:pt>
                <c:pt idx="252">
                  <c:v>194997.56</c:v>
                </c:pt>
                <c:pt idx="253">
                  <c:v>194998</c:v>
                </c:pt>
                <c:pt idx="254">
                  <c:v>158280.26999999999</c:v>
                </c:pt>
                <c:pt idx="255">
                  <c:v>163840.26999999999</c:v>
                </c:pt>
                <c:pt idx="256">
                  <c:v>163840</c:v>
                </c:pt>
                <c:pt idx="257">
                  <c:v>213174.46</c:v>
                </c:pt>
                <c:pt idx="258">
                  <c:v>212851.46</c:v>
                </c:pt>
                <c:pt idx="259">
                  <c:v>212221.74</c:v>
                </c:pt>
                <c:pt idx="260">
                  <c:v>189055.83</c:v>
                </c:pt>
                <c:pt idx="261">
                  <c:v>189056</c:v>
                </c:pt>
                <c:pt idx="262">
                  <c:v>206403.28</c:v>
                </c:pt>
                <c:pt idx="263">
                  <c:v>206217.28</c:v>
                </c:pt>
                <c:pt idx="264">
                  <c:v>206129.28</c:v>
                </c:pt>
                <c:pt idx="265">
                  <c:v>172858.39</c:v>
                </c:pt>
                <c:pt idx="266">
                  <c:v>172585</c:v>
                </c:pt>
                <c:pt idx="267">
                  <c:v>184752.38</c:v>
                </c:pt>
                <c:pt idx="268">
                  <c:v>199849.93</c:v>
                </c:pt>
                <c:pt idx="269">
                  <c:v>199850</c:v>
                </c:pt>
                <c:pt idx="270">
                  <c:v>199850</c:v>
                </c:pt>
                <c:pt idx="271">
                  <c:v>199942.09</c:v>
                </c:pt>
                <c:pt idx="272">
                  <c:v>197586.14</c:v>
                </c:pt>
                <c:pt idx="273">
                  <c:v>197586</c:v>
                </c:pt>
                <c:pt idx="274">
                  <c:v>197586</c:v>
                </c:pt>
                <c:pt idx="275">
                  <c:v>160213.23000000001</c:v>
                </c:pt>
                <c:pt idx="276">
                  <c:v>160213</c:v>
                </c:pt>
                <c:pt idx="277">
                  <c:v>178835.97</c:v>
                </c:pt>
                <c:pt idx="278">
                  <c:v>177774.06</c:v>
                </c:pt>
                <c:pt idx="279">
                  <c:v>177774</c:v>
                </c:pt>
                <c:pt idx="280">
                  <c:v>177774</c:v>
                </c:pt>
                <c:pt idx="281">
                  <c:v>253459.84</c:v>
                </c:pt>
                <c:pt idx="282">
                  <c:v>235320.22</c:v>
                </c:pt>
                <c:pt idx="283">
                  <c:v>235320</c:v>
                </c:pt>
                <c:pt idx="284">
                  <c:v>198483.96</c:v>
                </c:pt>
                <c:pt idx="285">
                  <c:v>212819.68</c:v>
                </c:pt>
                <c:pt idx="286">
                  <c:v>212820</c:v>
                </c:pt>
                <c:pt idx="287">
                  <c:v>212584.24</c:v>
                </c:pt>
                <c:pt idx="288">
                  <c:v>270092.23</c:v>
                </c:pt>
                <c:pt idx="289">
                  <c:v>270092</c:v>
                </c:pt>
                <c:pt idx="290">
                  <c:v>273133.13</c:v>
                </c:pt>
                <c:pt idx="291">
                  <c:v>273133</c:v>
                </c:pt>
                <c:pt idx="292">
                  <c:v>280484.09000000003</c:v>
                </c:pt>
                <c:pt idx="293">
                  <c:v>279225.67</c:v>
                </c:pt>
                <c:pt idx="294">
                  <c:v>279226</c:v>
                </c:pt>
                <c:pt idx="295">
                  <c:v>241740.68</c:v>
                </c:pt>
                <c:pt idx="296">
                  <c:v>268478</c:v>
                </c:pt>
                <c:pt idx="297">
                  <c:v>258524.93</c:v>
                </c:pt>
                <c:pt idx="298">
                  <c:v>277316.53000000003</c:v>
                </c:pt>
                <c:pt idx="299">
                  <c:v>277317</c:v>
                </c:pt>
                <c:pt idx="300">
                  <c:v>279881.78999999998</c:v>
                </c:pt>
                <c:pt idx="301">
                  <c:v>279882</c:v>
                </c:pt>
                <c:pt idx="302">
                  <c:v>270773.33</c:v>
                </c:pt>
                <c:pt idx="303">
                  <c:v>306133.57</c:v>
                </c:pt>
                <c:pt idx="304">
                  <c:v>267343.68</c:v>
                </c:pt>
                <c:pt idx="305">
                  <c:v>267157.68</c:v>
                </c:pt>
                <c:pt idx="306">
                  <c:v>267157.68</c:v>
                </c:pt>
                <c:pt idx="307">
                  <c:v>264690.95</c:v>
                </c:pt>
                <c:pt idx="308">
                  <c:v>264495.03999999998</c:v>
                </c:pt>
                <c:pt idx="309">
                  <c:v>264495.03999999998</c:v>
                </c:pt>
                <c:pt idx="310">
                  <c:v>267283.63</c:v>
                </c:pt>
                <c:pt idx="311">
                  <c:v>267283.63</c:v>
                </c:pt>
                <c:pt idx="312">
                  <c:v>259537.69</c:v>
                </c:pt>
                <c:pt idx="313">
                  <c:v>259645.65</c:v>
                </c:pt>
                <c:pt idx="314">
                  <c:v>279221.03000000003</c:v>
                </c:pt>
                <c:pt idx="315">
                  <c:v>232150.36</c:v>
                </c:pt>
                <c:pt idx="316">
                  <c:v>274274.51</c:v>
                </c:pt>
                <c:pt idx="317">
                  <c:v>276629.48</c:v>
                </c:pt>
                <c:pt idx="318">
                  <c:v>276629.48</c:v>
                </c:pt>
                <c:pt idx="319">
                  <c:v>292626.55</c:v>
                </c:pt>
                <c:pt idx="320">
                  <c:v>292626.55</c:v>
                </c:pt>
                <c:pt idx="321">
                  <c:v>292626.55</c:v>
                </c:pt>
                <c:pt idx="322">
                  <c:v>292626.55</c:v>
                </c:pt>
                <c:pt idx="323">
                  <c:v>292582.55</c:v>
                </c:pt>
                <c:pt idx="324">
                  <c:v>292582.55</c:v>
                </c:pt>
                <c:pt idx="325">
                  <c:v>292582.55</c:v>
                </c:pt>
                <c:pt idx="326">
                  <c:v>256343.91</c:v>
                </c:pt>
                <c:pt idx="327">
                  <c:v>260066.55</c:v>
                </c:pt>
                <c:pt idx="328">
                  <c:v>259418.64</c:v>
                </c:pt>
                <c:pt idx="329">
                  <c:v>259418.64</c:v>
                </c:pt>
                <c:pt idx="330">
                  <c:v>259418.64</c:v>
                </c:pt>
                <c:pt idx="331">
                  <c:v>259418.64</c:v>
                </c:pt>
                <c:pt idx="332">
                  <c:v>256056.32000000001</c:v>
                </c:pt>
                <c:pt idx="333">
                  <c:v>256056.32000000001</c:v>
                </c:pt>
                <c:pt idx="334">
                  <c:v>256056.32000000001</c:v>
                </c:pt>
                <c:pt idx="335">
                  <c:v>256056.32000000001</c:v>
                </c:pt>
                <c:pt idx="336">
                  <c:v>222877.12</c:v>
                </c:pt>
                <c:pt idx="337">
                  <c:v>222877.12</c:v>
                </c:pt>
                <c:pt idx="338">
                  <c:v>222415.21</c:v>
                </c:pt>
                <c:pt idx="339">
                  <c:v>222415.21</c:v>
                </c:pt>
                <c:pt idx="340">
                  <c:v>222415.21</c:v>
                </c:pt>
                <c:pt idx="341">
                  <c:v>222415.21</c:v>
                </c:pt>
                <c:pt idx="342">
                  <c:v>185658.71</c:v>
                </c:pt>
                <c:pt idx="343">
                  <c:v>185658.71</c:v>
                </c:pt>
                <c:pt idx="344">
                  <c:v>185614.71</c:v>
                </c:pt>
                <c:pt idx="345">
                  <c:v>152434.01999999999</c:v>
                </c:pt>
                <c:pt idx="346">
                  <c:v>152434.01999999999</c:v>
                </c:pt>
                <c:pt idx="347">
                  <c:v>173230.55</c:v>
                </c:pt>
              </c:numCache>
            </c:numRef>
          </c:val>
          <c:smooth val="0"/>
          <c:extLst>
            <c:ext xmlns:c16="http://schemas.microsoft.com/office/drawing/2014/chart" uri="{C3380CC4-5D6E-409C-BE32-E72D297353CC}">
              <c16:uniqueId val="{00000000-28BE-45E8-94CD-08706F4DCFED}"/>
            </c:ext>
          </c:extLst>
        </c:ser>
        <c:dLbls>
          <c:showLegendKey val="0"/>
          <c:showVal val="0"/>
          <c:showCatName val="0"/>
          <c:showSerName val="0"/>
          <c:showPercent val="0"/>
          <c:showBubbleSize val="0"/>
        </c:dLbls>
        <c:smooth val="0"/>
        <c:axId val="419517384"/>
        <c:axId val="419513856"/>
      </c:lineChart>
      <c:dateAx>
        <c:axId val="419517384"/>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3856"/>
        <c:crosses val="autoZero"/>
        <c:auto val="1"/>
        <c:lblOffset val="100"/>
        <c:baseTimeUnit val="days"/>
        <c:majorUnit val="30"/>
        <c:majorTimeUnit val="days"/>
        <c:minorUnit val="4"/>
        <c:minorTimeUnit val="months"/>
      </c:dateAx>
      <c:valAx>
        <c:axId val="419513856"/>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7384"/>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Data!$F$562:$F$577</c:f>
              <c:numCache>
                <c:formatCode>mmm\-yy</c:formatCode>
                <c:ptCount val="16"/>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numCache>
            </c:numRef>
          </c:cat>
          <c:val>
            <c:numRef>
              <c:f>Data!$G$562:$G$577</c:f>
              <c:numCache>
                <c:formatCode>"$"#,##0_);[Red]\("$"#,##0\)</c:formatCode>
                <c:ptCount val="16"/>
                <c:pt idx="0">
                  <c:v>322895</c:v>
                </c:pt>
                <c:pt idx="1">
                  <c:v>388590.24</c:v>
                </c:pt>
                <c:pt idx="2">
                  <c:v>244069.19</c:v>
                </c:pt>
                <c:pt idx="3">
                  <c:v>265093.77</c:v>
                </c:pt>
                <c:pt idx="4">
                  <c:v>218979.44</c:v>
                </c:pt>
                <c:pt idx="5">
                  <c:v>271553.78999999998</c:v>
                </c:pt>
                <c:pt idx="6">
                  <c:v>272625.19</c:v>
                </c:pt>
                <c:pt idx="7">
                  <c:v>249105.04</c:v>
                </c:pt>
                <c:pt idx="8">
                  <c:v>224675.57</c:v>
                </c:pt>
                <c:pt idx="9">
                  <c:v>239981.51</c:v>
                </c:pt>
                <c:pt idx="10">
                  <c:v>202465.72</c:v>
                </c:pt>
                <c:pt idx="11">
                  <c:v>298499.96000000002</c:v>
                </c:pt>
                <c:pt idx="12">
                  <c:v>322046.94</c:v>
                </c:pt>
                <c:pt idx="13">
                  <c:v>255507.21</c:v>
                </c:pt>
                <c:pt idx="14">
                  <c:v>267901.06</c:v>
                </c:pt>
                <c:pt idx="15">
                  <c:v>333210.78999999998</c:v>
                </c:pt>
              </c:numCache>
            </c:numRef>
          </c:val>
          <c:extLst>
            <c:ext xmlns:c16="http://schemas.microsoft.com/office/drawing/2014/chart" uri="{C3380CC4-5D6E-409C-BE32-E72D297353CC}">
              <c16:uniqueId val="{00000000-81E9-4FBA-A440-FAD7D83A61AE}"/>
            </c:ext>
          </c:extLst>
        </c:ser>
        <c:dLbls>
          <c:showLegendKey val="0"/>
          <c:showVal val="0"/>
          <c:showCatName val="0"/>
          <c:showSerName val="0"/>
          <c:showPercent val="0"/>
          <c:showBubbleSize val="0"/>
        </c:dLbls>
        <c:gapWidth val="243"/>
        <c:overlap val="-83"/>
        <c:axId val="419516600"/>
        <c:axId val="419514640"/>
      </c:barChart>
      <c:dateAx>
        <c:axId val="4195166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4640"/>
        <c:crosses val="autoZero"/>
        <c:auto val="1"/>
        <c:lblOffset val="100"/>
        <c:baseTimeUnit val="months"/>
      </c:dateAx>
      <c:valAx>
        <c:axId val="41951464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66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101663780484304E-2"/>
          <c:y val="0.14170009551098378"/>
          <c:w val="0.8769108600185608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Data!$J$526:$J$574</c:f>
              <c:numCache>
                <c:formatCode>mmm\-yy</c:formatCode>
                <c:ptCount val="4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numCache>
            </c:numRef>
          </c:xVal>
          <c:yVal>
            <c:numRef>
              <c:f>Data!$K$526:$K$574</c:f>
              <c:numCache>
                <c:formatCode>_("$"* #,##0_);_("$"* \(#,##0\);_("$"* "-"_);_(@_)</c:formatCode>
                <c:ptCount val="4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numCache>
            </c:numRef>
          </c:yVal>
          <c:smooth val="0"/>
          <c:extLst>
            <c:ext xmlns:c16="http://schemas.microsoft.com/office/drawing/2014/chart" uri="{C3380CC4-5D6E-409C-BE32-E72D297353CC}">
              <c16:uniqueId val="{00000000-E369-46FE-B216-CC0A4D4E1D81}"/>
            </c:ext>
          </c:extLst>
        </c:ser>
        <c:dLbls>
          <c:showLegendKey val="0"/>
          <c:showVal val="0"/>
          <c:showCatName val="0"/>
          <c:showSerName val="0"/>
          <c:showPercent val="0"/>
          <c:showBubbleSize val="0"/>
        </c:dLbls>
        <c:axId val="419515424"/>
        <c:axId val="419520520"/>
      </c:scatterChart>
      <c:valAx>
        <c:axId val="419515424"/>
        <c:scaling>
          <c:orientation val="minMax"/>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20520"/>
        <c:crosses val="autoZero"/>
        <c:crossBetween val="midCat"/>
      </c:valAx>
      <c:valAx>
        <c:axId val="419520520"/>
        <c:scaling>
          <c:orientation val="minMax"/>
          <c:max val="19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542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F83E-459D-99FD-813754BE8284}"/>
            </c:ext>
          </c:extLst>
        </c:ser>
        <c:dLbls>
          <c:showLegendKey val="0"/>
          <c:showVal val="0"/>
          <c:showCatName val="0"/>
          <c:showSerName val="0"/>
          <c:showPercent val="0"/>
          <c:showBubbleSize val="0"/>
        </c:dLbls>
        <c:axId val="419514248"/>
        <c:axId val="419516992"/>
      </c:scatterChart>
      <c:valAx>
        <c:axId val="41951424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6992"/>
        <c:crosses val="autoZero"/>
        <c:crossBetween val="midCat"/>
      </c:valAx>
      <c:valAx>
        <c:axId val="419516992"/>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951424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'April''20 AR Aging '!$B$195</c:f>
              <c:strCache>
                <c:ptCount val="1"/>
                <c:pt idx="0">
                  <c:v>Current Month</c:v>
                </c:pt>
              </c:strCache>
            </c:strRef>
          </c:tx>
          <c:spPr>
            <a:solidFill>
              <a:srgbClr val="0070C0"/>
            </a:solidFill>
          </c:spPr>
          <c:invertIfNegative val="0"/>
          <c:val>
            <c:numRef>
              <c:f>'April''20 AR Aging '!$C$195:$N$195</c:f>
            </c:numRef>
          </c:val>
          <c:extLst>
            <c:ext xmlns:c15="http://schemas.microsoft.com/office/drawing/2012/chart" uri="{02D57815-91ED-43cb-92C2-25804820EDAC}">
              <c15:filteredCategoryTitle>
                <c15:cat>
                  <c:multiLvlStrRef>
                    <c:extLst>
                      <c:ext uri="{02D57815-91ED-43cb-92C2-25804820EDAC}">
                        <c15:formulaRef>
                          <c15:sqref>'April''20 AR Aging '!$C$194:$N$194</c15:sqref>
                        </c15:formulaRef>
                      </c:ext>
                    </c:extLst>
                  </c:multiLvlStrRef>
                </c15:cat>
              </c15:filteredCategoryTitle>
            </c:ext>
            <c:ext xmlns:c16="http://schemas.microsoft.com/office/drawing/2014/chart" uri="{C3380CC4-5D6E-409C-BE32-E72D297353CC}">
              <c16:uniqueId val="{00000000-E554-4B48-B16A-D4C831B770F4}"/>
            </c:ext>
          </c:extLst>
        </c:ser>
        <c:ser>
          <c:idx val="1"/>
          <c:order val="1"/>
          <c:tx>
            <c:strRef>
              <c:f>'April''20 AR Aging '!$B$196</c:f>
              <c:strCache>
                <c:ptCount val="1"/>
                <c:pt idx="0">
                  <c:v>Previous Month</c:v>
                </c:pt>
              </c:strCache>
            </c:strRef>
          </c:tx>
          <c:spPr>
            <a:solidFill>
              <a:schemeClr val="accent6">
                <a:lumMod val="40000"/>
                <a:lumOff val="60000"/>
              </a:schemeClr>
            </a:solidFill>
          </c:spPr>
          <c:invertIfNegative val="0"/>
          <c:val>
            <c:numRef>
              <c:f>'April''20 AR Aging '!$C$196:$N$196</c:f>
            </c:numRef>
          </c:val>
          <c:extLst>
            <c:ext xmlns:c15="http://schemas.microsoft.com/office/drawing/2012/chart" uri="{02D57815-91ED-43cb-92C2-25804820EDAC}">
              <c15:filteredCategoryTitle>
                <c15:cat>
                  <c:multiLvlStrRef>
                    <c:extLst>
                      <c:ext uri="{02D57815-91ED-43cb-92C2-25804820EDAC}">
                        <c15:formulaRef>
                          <c15:sqref>'April''20 AR Aging '!$C$194:$N$194</c15:sqref>
                        </c15:formulaRef>
                      </c:ext>
                    </c:extLst>
                  </c:multiLvlStrRef>
                </c15:cat>
              </c15:filteredCategoryTitle>
            </c:ext>
            <c:ext xmlns:c16="http://schemas.microsoft.com/office/drawing/2014/chart" uri="{C3380CC4-5D6E-409C-BE32-E72D297353CC}">
              <c16:uniqueId val="{00000001-E554-4B48-B16A-D4C831B770F4}"/>
            </c:ext>
          </c:extLst>
        </c:ser>
        <c:ser>
          <c:idx val="2"/>
          <c:order val="2"/>
          <c:tx>
            <c:strRef>
              <c:f>'April''20 AR Aging '!$B$197</c:f>
              <c:strCache>
                <c:ptCount val="1"/>
                <c:pt idx="0">
                  <c:v>Three Months Ago</c:v>
                </c:pt>
              </c:strCache>
            </c:strRef>
          </c:tx>
          <c:spPr>
            <a:solidFill>
              <a:schemeClr val="accent3">
                <a:lumMod val="75000"/>
              </a:schemeClr>
            </a:solidFill>
          </c:spPr>
          <c:invertIfNegative val="0"/>
          <c:val>
            <c:numRef>
              <c:f>'April''20 AR Aging '!$C$197:$N$197</c:f>
            </c:numRef>
          </c:val>
          <c:extLst>
            <c:ext xmlns:c15="http://schemas.microsoft.com/office/drawing/2012/chart" uri="{02D57815-91ED-43cb-92C2-25804820EDAC}">
              <c15:filteredCategoryTitle>
                <c15:cat>
                  <c:multiLvlStrRef>
                    <c:extLst>
                      <c:ext uri="{02D57815-91ED-43cb-92C2-25804820EDAC}">
                        <c15:formulaRef>
                          <c15:sqref>'April''20 AR Aging '!$C$194:$N$194</c15:sqref>
                        </c15:formulaRef>
                      </c:ext>
                    </c:extLst>
                  </c:multiLvlStrRef>
                </c15:cat>
              </c15:filteredCategoryTitle>
            </c:ext>
            <c:ext xmlns:c16="http://schemas.microsoft.com/office/drawing/2014/chart" uri="{C3380CC4-5D6E-409C-BE32-E72D297353CC}">
              <c16:uniqueId val="{00000002-E554-4B48-B16A-D4C831B770F4}"/>
            </c:ext>
          </c:extLst>
        </c:ser>
        <c:ser>
          <c:idx val="3"/>
          <c:order val="3"/>
          <c:tx>
            <c:strRef>
              <c:f>'April''20 AR Aging '!$B$198</c:f>
              <c:strCache>
                <c:ptCount val="1"/>
                <c:pt idx="0">
                  <c:v>Older than Three Months</c:v>
                </c:pt>
              </c:strCache>
            </c:strRef>
          </c:tx>
          <c:spPr>
            <a:solidFill>
              <a:schemeClr val="accent4">
                <a:lumMod val="40000"/>
                <a:lumOff val="60000"/>
              </a:schemeClr>
            </a:solidFill>
          </c:spPr>
          <c:invertIfNegative val="0"/>
          <c:val>
            <c:numRef>
              <c:f>'April''20 AR Aging '!$C$198:$N$198</c:f>
            </c:numRef>
          </c:val>
          <c:extLst>
            <c:ext xmlns:c15="http://schemas.microsoft.com/office/drawing/2012/chart" uri="{02D57815-91ED-43cb-92C2-25804820EDAC}">
              <c15:filteredCategoryTitle>
                <c15:cat>
                  <c:multiLvlStrRef>
                    <c:extLst>
                      <c:ext uri="{02D57815-91ED-43cb-92C2-25804820EDAC}">
                        <c15:formulaRef>
                          <c15:sqref>'April''20 AR Aging '!$C$194:$N$194</c15:sqref>
                        </c15:formulaRef>
                      </c:ext>
                    </c:extLst>
                  </c:multiLvlStrRef>
                </c15:cat>
              </c15:filteredCategoryTitle>
            </c:ext>
            <c:ext xmlns:c16="http://schemas.microsoft.com/office/drawing/2014/chart" uri="{C3380CC4-5D6E-409C-BE32-E72D297353CC}">
              <c16:uniqueId val="{00000003-E554-4B48-B16A-D4C831B770F4}"/>
            </c:ext>
          </c:extLst>
        </c:ser>
        <c:dLbls>
          <c:showLegendKey val="0"/>
          <c:showVal val="0"/>
          <c:showCatName val="0"/>
          <c:showSerName val="0"/>
          <c:showPercent val="0"/>
          <c:showBubbleSize val="0"/>
        </c:dLbls>
        <c:gapWidth val="56"/>
        <c:overlap val="100"/>
        <c:axId val="418050848"/>
        <c:axId val="418052808"/>
      </c:barChart>
      <c:catAx>
        <c:axId val="418050848"/>
        <c:scaling>
          <c:orientation val="minMax"/>
        </c:scaling>
        <c:delete val="0"/>
        <c:axPos val="b"/>
        <c:numFmt formatCode="[$-409]mmmm\-yy;@" sourceLinked="1"/>
        <c:majorTickMark val="none"/>
        <c:minorTickMark val="none"/>
        <c:tickLblPos val="nextTo"/>
        <c:spPr>
          <a:noFill/>
          <a:ln w="22225"/>
        </c:spPr>
        <c:crossAx val="418052808"/>
        <c:crosses val="autoZero"/>
        <c:auto val="0"/>
        <c:lblAlgn val="ctr"/>
        <c:lblOffset val="100"/>
        <c:tickLblSkip val="1"/>
        <c:noMultiLvlLbl val="0"/>
      </c:catAx>
      <c:valAx>
        <c:axId val="418052808"/>
        <c:scaling>
          <c:orientation val="minMax"/>
        </c:scaling>
        <c:delete val="0"/>
        <c:axPos val="l"/>
        <c:majorGridlines/>
        <c:numFmt formatCode="&quot;$&quot;#,##0_);[Red]\(&quot;$&quot;#,##0\)" sourceLinked="1"/>
        <c:majorTickMark val="none"/>
        <c:minorTickMark val="none"/>
        <c:tickLblPos val="nextTo"/>
        <c:crossAx val="418050848"/>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7</xdr:col>
      <xdr:colOff>990600</xdr:colOff>
      <xdr:row>7</xdr:row>
      <xdr:rowOff>942975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1209675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188</xdr:row>
      <xdr:rowOff>47625</xdr:rowOff>
    </xdr:from>
    <xdr:to>
      <xdr:col>8</xdr:col>
      <xdr:colOff>523875</xdr:colOff>
      <xdr:row>225</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zoomScaleNormal="100" workbookViewId="0">
      <selection sqref="A1:H1"/>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00" t="s">
        <v>179</v>
      </c>
      <c r="B1" s="800"/>
      <c r="C1" s="800"/>
      <c r="D1" s="800"/>
      <c r="E1" s="800"/>
      <c r="F1" s="800"/>
      <c r="G1" s="800"/>
      <c r="H1" s="800"/>
    </row>
    <row r="2" spans="1:8" ht="23.25" x14ac:dyDescent="0.2">
      <c r="A2" s="800" t="s">
        <v>180</v>
      </c>
      <c r="B2" s="800"/>
      <c r="C2" s="800"/>
      <c r="D2" s="800"/>
      <c r="E2" s="800"/>
      <c r="F2" s="800"/>
      <c r="G2" s="800"/>
      <c r="H2" s="800"/>
    </row>
    <row r="3" spans="1:8" ht="23.25" x14ac:dyDescent="0.2">
      <c r="A3" s="801">
        <v>43984</v>
      </c>
      <c r="B3" s="801"/>
      <c r="C3" s="801"/>
      <c r="D3" s="801"/>
      <c r="E3" s="801"/>
      <c r="F3" s="801"/>
      <c r="G3" s="801"/>
      <c r="H3" s="801"/>
    </row>
    <row r="4" spans="1:8" ht="21.75" customHeight="1" x14ac:dyDescent="0.2">
      <c r="A4" s="802" t="s">
        <v>190</v>
      </c>
      <c r="B4" s="802"/>
      <c r="C4" s="802"/>
      <c r="D4" s="802"/>
      <c r="E4" s="802"/>
      <c r="F4" s="802"/>
      <c r="G4" s="802"/>
      <c r="H4" s="802"/>
    </row>
    <row r="5" spans="1:8" ht="66.75" customHeight="1" x14ac:dyDescent="0.2">
      <c r="A5" s="787" t="s">
        <v>475</v>
      </c>
      <c r="B5" s="787"/>
      <c r="C5" s="787"/>
      <c r="D5" s="787"/>
      <c r="E5" s="787"/>
      <c r="F5" s="787"/>
      <c r="G5" s="787"/>
      <c r="H5" s="787"/>
    </row>
    <row r="6" spans="1:8" ht="81" customHeight="1" x14ac:dyDescent="0.2">
      <c r="A6" s="489"/>
      <c r="B6" s="489"/>
      <c r="C6" s="489"/>
      <c r="D6" s="489"/>
      <c r="E6" s="489"/>
      <c r="F6" s="489"/>
      <c r="G6" s="489"/>
      <c r="H6" s="489"/>
    </row>
    <row r="7" spans="1:8" ht="81" customHeight="1" x14ac:dyDescent="0.2">
      <c r="A7" s="489"/>
      <c r="B7" s="489"/>
      <c r="C7" s="489"/>
      <c r="D7" s="489"/>
      <c r="E7" s="489"/>
      <c r="F7" s="489"/>
      <c r="G7" s="489"/>
      <c r="H7" s="489"/>
    </row>
    <row r="8" spans="1:8" ht="81" customHeight="1" x14ac:dyDescent="0.2">
      <c r="A8" s="489"/>
      <c r="B8" s="489"/>
      <c r="C8" s="489"/>
      <c r="D8" s="489"/>
      <c r="E8" s="489"/>
      <c r="F8" s="489"/>
      <c r="G8" s="489"/>
      <c r="H8" s="489"/>
    </row>
    <row r="9" spans="1:8" ht="53.25" customHeight="1" x14ac:dyDescent="0.2">
      <c r="A9" s="787" t="s">
        <v>477</v>
      </c>
      <c r="B9" s="787"/>
      <c r="C9" s="787"/>
      <c r="D9" s="787"/>
      <c r="E9" s="787"/>
      <c r="F9" s="787"/>
      <c r="G9" s="787"/>
      <c r="H9" s="787"/>
    </row>
    <row r="10" spans="1:8" ht="15.75" x14ac:dyDescent="0.25">
      <c r="A10" s="459"/>
      <c r="B10" s="781"/>
      <c r="C10" s="781"/>
      <c r="D10" s="450"/>
      <c r="E10" s="456" t="s">
        <v>54</v>
      </c>
      <c r="F10" s="456" t="s">
        <v>373</v>
      </c>
      <c r="G10" s="451"/>
      <c r="H10" s="459"/>
    </row>
    <row r="11" spans="1:8" ht="15.75" customHeight="1" x14ac:dyDescent="0.25">
      <c r="A11" s="459"/>
      <c r="C11" s="780" t="s">
        <v>391</v>
      </c>
      <c r="D11" s="780"/>
      <c r="E11" s="487">
        <f>'April''20 AR Aging '!G8</f>
        <v>61545.97</v>
      </c>
      <c r="F11" s="697">
        <f>E11/E$18</f>
        <v>0.19069966105602168</v>
      </c>
      <c r="G11" s="452"/>
      <c r="H11" s="459"/>
    </row>
    <row r="12" spans="1:8" ht="15.75" customHeight="1" x14ac:dyDescent="0.25">
      <c r="A12" s="459"/>
      <c r="C12" s="780" t="s">
        <v>389</v>
      </c>
      <c r="D12" s="780"/>
      <c r="E12" s="490">
        <f>'April''20 AR Aging '!G32</f>
        <v>69826.22</v>
      </c>
      <c r="F12" s="697">
        <f t="shared" ref="F12:F17" si="0">E12/E$18</f>
        <v>0.21635594478116443</v>
      </c>
      <c r="G12" s="452"/>
      <c r="H12" s="459"/>
    </row>
    <row r="13" spans="1:8" ht="15.75" customHeight="1" x14ac:dyDescent="0.25">
      <c r="A13" s="459"/>
      <c r="C13" s="780" t="s">
        <v>390</v>
      </c>
      <c r="D13" s="780"/>
      <c r="E13" s="490">
        <f>'April''20 AR Aging '!G14</f>
        <v>60652.04</v>
      </c>
      <c r="F13" s="697">
        <f t="shared" si="0"/>
        <v>0.1879298266053207</v>
      </c>
      <c r="G13" s="452"/>
      <c r="H13" s="459"/>
    </row>
    <row r="14" spans="1:8" ht="15.75" customHeight="1" x14ac:dyDescent="0.25">
      <c r="A14" s="459"/>
      <c r="C14" s="781" t="s">
        <v>49</v>
      </c>
      <c r="D14" s="781"/>
      <c r="E14" s="490">
        <f>'April''20 AR Aging '!G43</f>
        <v>28006.36</v>
      </c>
      <c r="F14" s="697">
        <f t="shared" si="0"/>
        <v>8.6777466654809787E-2</v>
      </c>
      <c r="G14" s="452"/>
      <c r="H14" s="459"/>
    </row>
    <row r="15" spans="1:8" ht="15.75" customHeight="1" x14ac:dyDescent="0.25">
      <c r="A15" s="459"/>
      <c r="C15" s="781" t="s">
        <v>376</v>
      </c>
      <c r="D15" s="781"/>
      <c r="E15" s="490">
        <f>'April''20 AR Aging '!G51+'April''20 AR Aging '!G56+'April''20 AR Aging '!G58+'April''20 AR Aging '!G39+'April''20 AR Aging '!G40+'April''20 AR Aging '!G68</f>
        <v>77688.479999999996</v>
      </c>
      <c r="F15" s="697">
        <f t="shared" si="0"/>
        <v>0.24071709007035746</v>
      </c>
      <c r="G15" s="452"/>
      <c r="H15" s="459"/>
    </row>
    <row r="16" spans="1:8" ht="15.75" customHeight="1" x14ac:dyDescent="0.25">
      <c r="A16" s="678"/>
      <c r="C16" s="781" t="s">
        <v>348</v>
      </c>
      <c r="D16" s="781"/>
      <c r="E16" s="490">
        <f>'April''20 AR Aging '!G64+'April''20 AR Aging '!G41</f>
        <v>5418.72</v>
      </c>
      <c r="F16" s="697">
        <f t="shared" si="0"/>
        <v>1.6789857522068234E-2</v>
      </c>
      <c r="G16" s="452"/>
      <c r="H16" s="678"/>
    </row>
    <row r="17" spans="1:12" ht="15.75" customHeight="1" x14ac:dyDescent="0.25">
      <c r="A17" s="459"/>
      <c r="C17" s="781" t="s">
        <v>363</v>
      </c>
      <c r="D17" s="781"/>
      <c r="E17" s="490">
        <f>'April''20 AR Aging '!G60+'April''20 AR Aging '!G42+'April''20 AR Aging '!G62+'April''20 AR Aging '!G66</f>
        <v>19599.91</v>
      </c>
      <c r="F17" s="697">
        <f t="shared" si="0"/>
        <v>6.0730153310257842E-2</v>
      </c>
      <c r="G17" s="452"/>
      <c r="H17" s="459"/>
    </row>
    <row r="18" spans="1:12" ht="16.5" customHeight="1" thickBot="1" x14ac:dyDescent="0.3">
      <c r="A18" s="459"/>
      <c r="B18" s="781" t="s">
        <v>476</v>
      </c>
      <c r="C18" s="781"/>
      <c r="D18" s="781"/>
      <c r="E18" s="457">
        <f>SUM(E11:E17)</f>
        <v>322737.69999999995</v>
      </c>
      <c r="F18" s="698">
        <f>SUM(F11:F17)</f>
        <v>1</v>
      </c>
      <c r="G18" s="687"/>
      <c r="H18" s="459"/>
    </row>
    <row r="19" spans="1:12" ht="38.25" customHeight="1" thickTop="1" x14ac:dyDescent="0.2">
      <c r="A19" s="558"/>
      <c r="B19" s="558"/>
      <c r="C19" s="558"/>
      <c r="D19" s="558"/>
      <c r="E19" s="558"/>
      <c r="F19" s="558"/>
      <c r="G19" s="558"/>
      <c r="H19" s="558"/>
    </row>
    <row r="20" spans="1:12" ht="88.5" customHeight="1" x14ac:dyDescent="0.2">
      <c r="A20" s="558"/>
      <c r="B20" s="558"/>
      <c r="C20" s="558"/>
      <c r="D20" s="558"/>
      <c r="E20" s="558"/>
      <c r="F20" s="558"/>
      <c r="G20" s="558"/>
      <c r="H20" s="558"/>
    </row>
    <row r="21" spans="1:12" ht="88.5" customHeight="1" x14ac:dyDescent="0.2">
      <c r="A21" s="558"/>
      <c r="B21" s="558"/>
      <c r="C21" s="558"/>
      <c r="D21" s="558"/>
      <c r="E21" s="558"/>
      <c r="F21" s="558"/>
      <c r="G21" s="558"/>
      <c r="H21" s="558"/>
    </row>
    <row r="22" spans="1:12" ht="88.5" customHeight="1" x14ac:dyDescent="0.2">
      <c r="A22" s="558"/>
      <c r="B22" s="558"/>
      <c r="C22" s="558"/>
      <c r="D22" s="558"/>
      <c r="E22" s="558"/>
      <c r="F22" s="558"/>
      <c r="G22" s="558"/>
      <c r="H22" s="558"/>
    </row>
    <row r="23" spans="1:12" ht="35.25" hidden="1" customHeight="1" x14ac:dyDescent="0.2">
      <c r="A23" s="787" t="s">
        <v>279</v>
      </c>
      <c r="B23" s="787"/>
      <c r="C23" s="787"/>
      <c r="D23" s="787"/>
      <c r="E23" s="787"/>
      <c r="F23" s="787"/>
      <c r="G23" s="787"/>
      <c r="H23" s="787"/>
    </row>
    <row r="24" spans="1:12" ht="15" customHeight="1" x14ac:dyDescent="0.2">
      <c r="A24" s="558"/>
      <c r="B24" s="558"/>
      <c r="C24" s="558"/>
      <c r="D24" s="558"/>
      <c r="E24" s="558"/>
      <c r="F24" s="558"/>
      <c r="G24" s="558"/>
      <c r="H24" s="558"/>
    </row>
    <row r="25" spans="1:12" ht="38.25" customHeight="1" x14ac:dyDescent="0.2">
      <c r="A25" s="787" t="s">
        <v>479</v>
      </c>
      <c r="B25" s="787"/>
      <c r="C25" s="787"/>
      <c r="D25" s="787"/>
      <c r="E25" s="787"/>
      <c r="F25" s="787"/>
      <c r="G25" s="787"/>
      <c r="H25" s="787"/>
      <c r="L25" s="715"/>
    </row>
    <row r="26" spans="1:12" ht="38.25" customHeight="1" x14ac:dyDescent="0.2">
      <c r="A26" s="688"/>
      <c r="B26" s="688"/>
      <c r="C26" s="688"/>
      <c r="D26" s="688"/>
      <c r="E26" s="688"/>
      <c r="F26" s="688"/>
      <c r="G26" s="688"/>
      <c r="H26" s="688"/>
      <c r="L26" s="715"/>
    </row>
    <row r="27" spans="1:12" ht="38.25" customHeight="1" x14ac:dyDescent="0.2">
      <c r="A27" s="688"/>
      <c r="B27" s="688"/>
      <c r="C27" s="688"/>
      <c r="D27" s="688"/>
      <c r="E27" s="688"/>
      <c r="F27" s="688"/>
      <c r="G27" s="688"/>
      <c r="H27" s="688"/>
    </row>
    <row r="28" spans="1:12" ht="38.25" customHeight="1" x14ac:dyDescent="0.2">
      <c r="A28" s="688"/>
      <c r="B28" s="688"/>
      <c r="C28" s="688"/>
      <c r="D28" s="688"/>
      <c r="E28" s="688"/>
      <c r="F28" s="688"/>
      <c r="G28" s="688"/>
      <c r="H28" s="688"/>
      <c r="L28" s="721"/>
    </row>
    <row r="29" spans="1:12" ht="38.25" customHeight="1" x14ac:dyDescent="0.2">
      <c r="A29" s="688"/>
      <c r="B29" s="688"/>
      <c r="C29" s="688"/>
      <c r="D29" s="688"/>
      <c r="E29" s="688"/>
      <c r="F29" s="688"/>
      <c r="G29" s="688"/>
      <c r="H29" s="688"/>
    </row>
    <row r="30" spans="1:12" ht="38.25" customHeight="1" x14ac:dyDescent="0.2">
      <c r="A30" s="688"/>
      <c r="B30" s="688"/>
      <c r="C30" s="688"/>
      <c r="D30" s="688"/>
      <c r="E30" s="688"/>
      <c r="F30" s="688"/>
      <c r="G30" s="688"/>
      <c r="H30" s="688"/>
      <c r="J30" s="715"/>
    </row>
    <row r="31" spans="1:12" ht="38.25" customHeight="1" x14ac:dyDescent="0.2">
      <c r="A31" s="688"/>
      <c r="B31" s="688"/>
      <c r="C31" s="688"/>
      <c r="D31" s="688"/>
      <c r="E31" s="688"/>
      <c r="F31" s="688"/>
      <c r="G31" s="688"/>
      <c r="H31" s="688"/>
      <c r="J31" s="721"/>
    </row>
    <row r="32" spans="1:12" ht="38.25" customHeight="1" x14ac:dyDescent="0.2">
      <c r="A32" s="688"/>
      <c r="B32" s="688"/>
      <c r="C32" s="688"/>
      <c r="D32" s="688"/>
      <c r="E32" s="688"/>
      <c r="F32" s="688"/>
      <c r="G32" s="688"/>
      <c r="H32" s="688"/>
    </row>
    <row r="33" spans="1:11" ht="38.25" customHeight="1" x14ac:dyDescent="0.2">
      <c r="A33" s="688"/>
      <c r="B33" s="688"/>
      <c r="C33" s="688"/>
      <c r="D33" s="688"/>
      <c r="E33" s="688"/>
      <c r="F33" s="688"/>
      <c r="G33" s="688"/>
      <c r="H33" s="688"/>
    </row>
    <row r="34" spans="1:11" ht="32.25" customHeight="1" x14ac:dyDescent="0.25">
      <c r="A34" s="790" t="s">
        <v>478</v>
      </c>
      <c r="B34" s="790"/>
      <c r="C34" s="790"/>
      <c r="D34" s="790"/>
      <c r="E34" s="790"/>
      <c r="F34" s="790"/>
      <c r="G34" s="790"/>
      <c r="H34" s="790"/>
      <c r="J34" s="708"/>
      <c r="K34" s="709"/>
    </row>
    <row r="35" spans="1:11" ht="16.5" customHeight="1" x14ac:dyDescent="0.25">
      <c r="A35" s="689"/>
      <c r="B35" s="705" t="s">
        <v>377</v>
      </c>
      <c r="C35" s="689"/>
      <c r="D35" s="689"/>
      <c r="E35" s="689"/>
      <c r="F35" s="689"/>
      <c r="G35" s="689"/>
      <c r="H35" s="689"/>
      <c r="J35" s="708"/>
      <c r="K35" s="709"/>
    </row>
    <row r="36" spans="1:11" ht="15" x14ac:dyDescent="0.25">
      <c r="A36" s="607"/>
      <c r="B36" s="608" t="s">
        <v>251</v>
      </c>
      <c r="C36" s="491" t="s">
        <v>252</v>
      </c>
      <c r="D36" s="608" t="s">
        <v>253</v>
      </c>
      <c r="E36" s="786" t="s">
        <v>24</v>
      </c>
      <c r="F36" s="786"/>
      <c r="G36" s="608" t="s">
        <v>254</v>
      </c>
      <c r="H36" s="607"/>
      <c r="J36" s="708"/>
      <c r="K36" s="709"/>
    </row>
    <row r="37" spans="1:11" ht="30" hidden="1" customHeight="1" x14ac:dyDescent="0.2">
      <c r="A37" s="607"/>
      <c r="B37" s="492"/>
      <c r="C37" s="498"/>
      <c r="D37" s="612"/>
      <c r="E37" s="785"/>
      <c r="F37" s="785"/>
      <c r="G37" s="493"/>
      <c r="H37" s="607"/>
    </row>
    <row r="38" spans="1:11" ht="30" hidden="1" customHeight="1" x14ac:dyDescent="0.2">
      <c r="A38" s="607"/>
      <c r="B38" s="492"/>
      <c r="C38" s="498"/>
      <c r="D38" s="612"/>
      <c r="E38" s="785"/>
      <c r="F38" s="785"/>
      <c r="G38" s="493"/>
      <c r="H38" s="607"/>
    </row>
    <row r="39" spans="1:11" ht="30" hidden="1" customHeight="1" x14ac:dyDescent="0.2">
      <c r="A39" s="607"/>
      <c r="B39" s="492"/>
      <c r="C39" s="498"/>
      <c r="D39" s="612"/>
      <c r="E39" s="785"/>
      <c r="F39" s="785"/>
      <c r="G39" s="493"/>
      <c r="H39" s="607"/>
    </row>
    <row r="40" spans="1:11" ht="30" hidden="1" customHeight="1" x14ac:dyDescent="0.2">
      <c r="A40" s="622"/>
      <c r="B40" s="492"/>
      <c r="C40" s="498"/>
      <c r="D40" s="554"/>
      <c r="E40" s="785"/>
      <c r="F40" s="785"/>
      <c r="G40" s="493"/>
      <c r="H40" s="629"/>
    </row>
    <row r="41" spans="1:11" ht="39" hidden="1" customHeight="1" x14ac:dyDescent="0.2">
      <c r="A41" s="622"/>
      <c r="B41" s="492"/>
      <c r="C41" s="498"/>
      <c r="D41" s="554"/>
      <c r="E41" s="785"/>
      <c r="F41" s="785"/>
      <c r="G41" s="493"/>
      <c r="H41" s="622"/>
    </row>
    <row r="42" spans="1:11" ht="30" hidden="1" customHeight="1" x14ac:dyDescent="0.2">
      <c r="A42" s="622"/>
      <c r="B42" s="492"/>
      <c r="C42" s="498"/>
      <c r="D42" s="612"/>
      <c r="E42" s="785"/>
      <c r="F42" s="785"/>
      <c r="G42" s="493"/>
      <c r="H42" s="622"/>
    </row>
    <row r="43" spans="1:11" ht="30" hidden="1" customHeight="1" x14ac:dyDescent="0.2">
      <c r="A43" s="607"/>
      <c r="B43" s="492"/>
      <c r="C43" s="498"/>
      <c r="D43" s="554"/>
      <c r="E43" s="785"/>
      <c r="F43" s="785"/>
      <c r="G43" s="493"/>
      <c r="H43" s="607"/>
    </row>
    <row r="44" spans="1:11" ht="15" hidden="1" x14ac:dyDescent="0.2">
      <c r="A44" s="607"/>
      <c r="B44" s="546"/>
      <c r="C44" s="547"/>
      <c r="D44" s="548"/>
      <c r="E44" s="549"/>
      <c r="F44" s="496" t="s">
        <v>361</v>
      </c>
      <c r="G44" s="555">
        <f>SUM(G37:G43)</f>
        <v>0</v>
      </c>
      <c r="H44" s="607"/>
    </row>
    <row r="45" spans="1:11" ht="8.25" hidden="1" customHeight="1" x14ac:dyDescent="0.2">
      <c r="A45" s="688"/>
      <c r="B45" s="546"/>
      <c r="C45" s="547"/>
      <c r="D45" s="548"/>
      <c r="E45" s="549"/>
      <c r="F45" s="496"/>
      <c r="G45" s="706"/>
      <c r="H45" s="688"/>
    </row>
    <row r="46" spans="1:11" ht="39.75" hidden="1" customHeight="1" x14ac:dyDescent="0.2">
      <c r="A46" s="688"/>
      <c r="B46" s="791"/>
      <c r="C46" s="791"/>
      <c r="D46" s="791"/>
      <c r="E46" s="791"/>
      <c r="F46" s="791"/>
      <c r="G46" s="791"/>
      <c r="H46" s="607"/>
    </row>
    <row r="47" spans="1:11" ht="15" hidden="1" x14ac:dyDescent="0.2">
      <c r="A47" s="607"/>
      <c r="B47" s="550" t="s">
        <v>272</v>
      </c>
      <c r="C47" s="551" t="s">
        <v>275</v>
      </c>
      <c r="D47" s="552" t="s">
        <v>274</v>
      </c>
      <c r="E47" s="783" t="s">
        <v>24</v>
      </c>
      <c r="F47" s="784"/>
      <c r="G47" s="553" t="s">
        <v>273</v>
      </c>
      <c r="H47" s="607"/>
    </row>
    <row r="48" spans="1:11" ht="15" hidden="1" x14ac:dyDescent="0.2">
      <c r="A48" s="607"/>
      <c r="B48" s="492"/>
      <c r="C48" s="556"/>
      <c r="D48" s="695"/>
      <c r="E48" s="785"/>
      <c r="F48" s="785"/>
      <c r="G48" s="494"/>
      <c r="H48" s="607"/>
    </row>
    <row r="49" spans="1:23" ht="15" hidden="1" x14ac:dyDescent="0.2">
      <c r="A49" s="607"/>
      <c r="B49" s="492"/>
      <c r="C49" s="556"/>
      <c r="D49" s="695"/>
      <c r="E49" s="785"/>
      <c r="F49" s="785"/>
      <c r="G49" s="494"/>
      <c r="H49" s="607"/>
    </row>
    <row r="50" spans="1:23" ht="15" hidden="1" x14ac:dyDescent="0.2">
      <c r="A50" s="607"/>
      <c r="B50" s="495"/>
      <c r="C50" s="495"/>
      <c r="D50" s="495"/>
      <c r="E50" s="495"/>
      <c r="F50" s="496" t="s">
        <v>362</v>
      </c>
      <c r="G50" s="497">
        <f>G48+G49</f>
        <v>0</v>
      </c>
      <c r="H50" s="607"/>
    </row>
    <row r="51" spans="1:23" ht="21" customHeight="1" x14ac:dyDescent="0.2">
      <c r="A51" s="489"/>
      <c r="B51" s="489"/>
      <c r="C51" s="489"/>
      <c r="D51" s="489"/>
      <c r="E51" s="489"/>
      <c r="F51" s="489"/>
      <c r="G51" s="489"/>
      <c r="H51" s="489"/>
    </row>
    <row r="52" spans="1:23" ht="61.5" customHeight="1" x14ac:dyDescent="0.2">
      <c r="A52" s="787" t="s">
        <v>480</v>
      </c>
      <c r="B52" s="787"/>
      <c r="C52" s="787"/>
      <c r="D52" s="787"/>
      <c r="E52" s="787"/>
      <c r="F52" s="787"/>
      <c r="G52" s="787"/>
      <c r="H52" s="787"/>
    </row>
    <row r="53" spans="1:23" ht="15.75" hidden="1" customHeight="1" x14ac:dyDescent="0.2">
      <c r="A53" s="453"/>
      <c r="C53" s="788" t="s">
        <v>270</v>
      </c>
      <c r="D53" s="788"/>
      <c r="E53" s="499">
        <v>1823.85</v>
      </c>
      <c r="F53" s="789" t="s">
        <v>276</v>
      </c>
      <c r="G53" s="789"/>
      <c r="H53" s="453"/>
    </row>
    <row r="54" spans="1:23" ht="15.75" hidden="1" customHeight="1" x14ac:dyDescent="0.2">
      <c r="A54" s="453"/>
      <c r="C54" s="788"/>
      <c r="D54" s="788"/>
      <c r="E54" s="499"/>
      <c r="F54" s="789"/>
      <c r="G54" s="789"/>
      <c r="H54" s="453"/>
    </row>
    <row r="55" spans="1:23" ht="15.75" hidden="1" customHeight="1" x14ac:dyDescent="0.2">
      <c r="A55" s="453"/>
      <c r="C55" s="788"/>
      <c r="D55" s="788"/>
      <c r="E55" s="499"/>
      <c r="F55" s="789"/>
      <c r="G55" s="789"/>
      <c r="H55" s="453"/>
    </row>
    <row r="56" spans="1:23" ht="15.75" hidden="1" customHeight="1" x14ac:dyDescent="0.2">
      <c r="A56" s="453"/>
      <c r="C56" s="788" t="s">
        <v>243</v>
      </c>
      <c r="D56" s="788"/>
      <c r="E56" s="499">
        <f>1689.92+2978.07</f>
        <v>4667.99</v>
      </c>
      <c r="F56" s="789" t="s">
        <v>277</v>
      </c>
      <c r="G56" s="789"/>
      <c r="H56" s="453"/>
    </row>
    <row r="57" spans="1:23" ht="16.5" hidden="1" thickBot="1" x14ac:dyDescent="0.25">
      <c r="A57" s="453"/>
      <c r="B57" s="461"/>
      <c r="C57" s="794" t="s">
        <v>219</v>
      </c>
      <c r="D57" s="794"/>
      <c r="E57" s="458">
        <f>SUM(E53:E56)</f>
        <v>6491.84</v>
      </c>
      <c r="F57" s="461"/>
      <c r="G57" s="461"/>
      <c r="H57" s="453"/>
    </row>
    <row r="58" spans="1:23" ht="9.75" customHeight="1" x14ac:dyDescent="0.2">
      <c r="A58" s="453"/>
      <c r="B58" s="544"/>
      <c r="C58" s="545"/>
      <c r="D58" s="545"/>
      <c r="E58" s="557"/>
      <c r="F58" s="544"/>
      <c r="G58" s="544"/>
      <c r="H58" s="453"/>
    </row>
    <row r="59" spans="1:23" ht="33" customHeight="1" x14ac:dyDescent="0.25">
      <c r="A59" s="790" t="s">
        <v>384</v>
      </c>
      <c r="B59" s="790"/>
      <c r="C59" s="790"/>
      <c r="D59" s="790"/>
      <c r="E59" s="790"/>
      <c r="F59" s="790"/>
      <c r="G59" s="790"/>
      <c r="H59" s="790"/>
    </row>
    <row r="60" spans="1:23" ht="11.25" hidden="1" customHeight="1" x14ac:dyDescent="0.2">
      <c r="A60" s="689"/>
      <c r="B60" s="689"/>
      <c r="C60" s="689"/>
      <c r="D60" s="689"/>
      <c r="E60" s="689"/>
      <c r="F60" s="689"/>
      <c r="G60" s="689"/>
      <c r="H60" s="689"/>
    </row>
    <row r="61" spans="1:23" ht="47.25" hidden="1" customHeight="1" x14ac:dyDescent="0.2">
      <c r="A61" s="782" t="s">
        <v>424</v>
      </c>
      <c r="B61" s="782"/>
      <c r="C61" s="782"/>
      <c r="D61" s="782"/>
      <c r="E61" s="782"/>
      <c r="F61" s="782"/>
      <c r="G61" s="782"/>
      <c r="H61" s="782"/>
    </row>
    <row r="62" spans="1:23" ht="8.25" customHeight="1" x14ac:dyDescent="0.2">
      <c r="A62" s="453"/>
      <c r="B62" s="544"/>
      <c r="C62" s="545"/>
      <c r="D62" s="545"/>
      <c r="E62" s="557"/>
      <c r="F62" s="544"/>
      <c r="G62" s="544"/>
      <c r="H62" s="453"/>
    </row>
    <row r="63" spans="1:23" ht="97.5" customHeight="1" x14ac:dyDescent="0.2">
      <c r="A63" s="787" t="s">
        <v>483</v>
      </c>
      <c r="B63" s="787"/>
      <c r="C63" s="787"/>
      <c r="D63" s="787"/>
      <c r="E63" s="787"/>
      <c r="F63" s="787"/>
      <c r="G63" s="787"/>
      <c r="H63" s="787"/>
      <c r="V63" s="488"/>
      <c r="W63" s="487"/>
    </row>
    <row r="64" spans="1:23" ht="47.25" x14ac:dyDescent="0.2">
      <c r="A64" s="460"/>
      <c r="B64" s="798" t="s">
        <v>210</v>
      </c>
      <c r="C64" s="798"/>
      <c r="D64" s="463" t="s">
        <v>211</v>
      </c>
      <c r="E64" s="454" t="s">
        <v>212</v>
      </c>
      <c r="F64" s="463" t="s">
        <v>213</v>
      </c>
      <c r="G64" s="463" t="s">
        <v>481</v>
      </c>
      <c r="H64" s="460"/>
      <c r="V64" s="488"/>
      <c r="W64" s="487"/>
    </row>
    <row r="65" spans="1:23" ht="15.75" customHeight="1" x14ac:dyDescent="0.2">
      <c r="A65" s="460"/>
      <c r="B65" s="797" t="s">
        <v>11</v>
      </c>
      <c r="C65" s="797"/>
      <c r="D65" s="797"/>
      <c r="E65" s="462"/>
      <c r="F65" s="462"/>
      <c r="G65" s="462"/>
      <c r="H65" s="460"/>
      <c r="V65" s="488"/>
      <c r="W65" s="487"/>
    </row>
    <row r="66" spans="1:23" ht="15.75" customHeight="1" x14ac:dyDescent="0.2">
      <c r="A66" s="460"/>
      <c r="B66" s="795" t="s">
        <v>244</v>
      </c>
      <c r="C66" s="795"/>
      <c r="D66" s="462">
        <f>'April 20 Revenues &amp; Expenses'!G38</f>
        <v>4681.5600000000004</v>
      </c>
      <c r="E66" s="462">
        <f>'April 20 Revenues &amp; Expenses'!F39</f>
        <v>1500</v>
      </c>
      <c r="F66" s="690">
        <f>-D66-E66+G66</f>
        <v>-2599.64</v>
      </c>
      <c r="G66" s="462">
        <f>'April 20 Revenues &amp; Expenses'!K38+'April 20 Revenues &amp; Expenses'!K39</f>
        <v>3581.9200000000005</v>
      </c>
      <c r="H66" s="460"/>
      <c r="V66" s="488"/>
      <c r="W66" s="487"/>
    </row>
    <row r="67" spans="1:23" ht="15.75" customHeight="1" x14ac:dyDescent="0.2">
      <c r="A67" s="460"/>
      <c r="B67" s="795" t="s">
        <v>245</v>
      </c>
      <c r="C67" s="795"/>
      <c r="D67" s="462">
        <f>'April 20 Revenues &amp; Expenses'!G37</f>
        <v>25000</v>
      </c>
      <c r="E67" s="462"/>
      <c r="F67" s="462">
        <f>G67-E67-D67</f>
        <v>-7979.9399999999987</v>
      </c>
      <c r="G67" s="462">
        <f>'April 20 Revenues &amp; Expenses'!K37</f>
        <v>17020.060000000001</v>
      </c>
      <c r="H67" s="460"/>
      <c r="V67" s="488"/>
      <c r="W67" s="487"/>
    </row>
    <row r="68" spans="1:23" ht="15.75" customHeight="1" x14ac:dyDescent="0.2">
      <c r="A68" s="460"/>
      <c r="B68" s="797" t="s">
        <v>17</v>
      </c>
      <c r="C68" s="797"/>
      <c r="D68" s="462"/>
      <c r="E68" s="462"/>
      <c r="F68" s="462"/>
      <c r="G68" s="462"/>
      <c r="H68" s="460"/>
      <c r="V68" s="488"/>
    </row>
    <row r="69" spans="1:23" ht="15.75" customHeight="1" x14ac:dyDescent="0.2">
      <c r="A69" s="460"/>
      <c r="B69" s="795" t="s">
        <v>482</v>
      </c>
      <c r="C69" s="795"/>
      <c r="D69" s="679">
        <v>0</v>
      </c>
      <c r="E69" s="679">
        <v>50000</v>
      </c>
      <c r="F69" s="690">
        <f>-'April 20 Revenues &amp; Expenses'!H41</f>
        <v>-13854.63</v>
      </c>
      <c r="G69" s="679">
        <f>'April 20 Revenues &amp; Expenses'!K41</f>
        <v>36145.370000000003</v>
      </c>
      <c r="H69" s="460"/>
      <c r="V69" s="488"/>
    </row>
    <row r="70" spans="1:23" ht="15.75" customHeight="1" x14ac:dyDescent="0.2">
      <c r="A70" s="460"/>
      <c r="B70" s="797" t="s">
        <v>423</v>
      </c>
      <c r="C70" s="797"/>
      <c r="D70" s="722"/>
      <c r="E70" s="722"/>
      <c r="F70" s="722"/>
      <c r="G70" s="722"/>
      <c r="H70" s="460"/>
      <c r="V70" s="488"/>
    </row>
    <row r="71" spans="1:23" ht="15.75" customHeight="1" x14ac:dyDescent="0.2">
      <c r="A71" s="460"/>
      <c r="B71" s="795" t="s">
        <v>425</v>
      </c>
      <c r="C71" s="795"/>
      <c r="D71" s="722">
        <f>'April 20 Revenues &amp; Expenses'!G44</f>
        <v>6032.85</v>
      </c>
      <c r="E71" s="722"/>
      <c r="F71" s="722">
        <f>-D71-E71+G71</f>
        <v>-2804.25</v>
      </c>
      <c r="G71" s="722">
        <f>'April 20 Revenues &amp; Expenses'!K44</f>
        <v>3228.6000000000004</v>
      </c>
      <c r="H71" s="460"/>
      <c r="V71" s="488"/>
    </row>
    <row r="72" spans="1:23" ht="15.75" hidden="1" customHeight="1" x14ac:dyDescent="0.2">
      <c r="A72" s="460"/>
      <c r="B72" s="797" t="s">
        <v>246</v>
      </c>
      <c r="C72" s="797"/>
      <c r="D72" s="462"/>
      <c r="E72" s="462"/>
      <c r="F72" s="462"/>
      <c r="G72" s="462"/>
      <c r="H72" s="460"/>
      <c r="V72" s="488"/>
    </row>
    <row r="73" spans="1:23" ht="15.75" hidden="1" customHeight="1" x14ac:dyDescent="0.2">
      <c r="A73" s="460"/>
      <c r="B73" s="795" t="s">
        <v>247</v>
      </c>
      <c r="C73" s="795"/>
      <c r="D73" s="462"/>
      <c r="E73" s="616"/>
      <c r="F73" s="616"/>
      <c r="G73" s="462">
        <f>'April 20 Revenues &amp; Expenses'!K12</f>
        <v>0</v>
      </c>
      <c r="H73" s="460"/>
      <c r="V73" s="488"/>
    </row>
    <row r="74" spans="1:23" ht="7.5" customHeight="1" x14ac:dyDescent="0.2">
      <c r="A74" s="460"/>
      <c r="B74" s="799"/>
      <c r="C74" s="799"/>
      <c r="D74" s="462"/>
      <c r="E74" s="462"/>
      <c r="F74" s="462"/>
      <c r="G74" s="462"/>
      <c r="H74" s="460"/>
      <c r="V74" s="488"/>
    </row>
    <row r="75" spans="1:23" ht="15.75" customHeight="1" thickBot="1" x14ac:dyDescent="0.25">
      <c r="A75" s="460"/>
      <c r="B75" s="796" t="s">
        <v>248</v>
      </c>
      <c r="C75" s="796"/>
      <c r="D75" s="455">
        <f>SUM(D65:D74)</f>
        <v>35714.410000000003</v>
      </c>
      <c r="E75" s="455">
        <f>SUM(E65:E74)</f>
        <v>51500</v>
      </c>
      <c r="F75" s="455">
        <f>SUM(F65:F74)</f>
        <v>-27238.46</v>
      </c>
      <c r="G75" s="455">
        <f>SUM(G65:G74)</f>
        <v>59975.950000000004</v>
      </c>
      <c r="H75" s="460"/>
      <c r="V75" s="488"/>
    </row>
    <row r="76" spans="1:23" ht="11.25" customHeight="1" thickTop="1" x14ac:dyDescent="0.2">
      <c r="A76" s="460"/>
      <c r="B76" s="485"/>
      <c r="C76" s="485"/>
      <c r="D76" s="486"/>
      <c r="E76" s="486"/>
      <c r="F76" s="486"/>
      <c r="G76" s="486"/>
      <c r="H76" s="460"/>
      <c r="V76" s="488"/>
    </row>
    <row r="77" spans="1:23" ht="67.5" customHeight="1" x14ac:dyDescent="0.2">
      <c r="A77" s="787" t="s">
        <v>484</v>
      </c>
      <c r="B77" s="787"/>
      <c r="C77" s="787"/>
      <c r="D77" s="787"/>
      <c r="E77" s="787"/>
      <c r="F77" s="787"/>
      <c r="G77" s="787"/>
      <c r="H77" s="787"/>
    </row>
    <row r="78" spans="1:23" ht="47.25" x14ac:dyDescent="0.2">
      <c r="A78" s="460"/>
      <c r="B78" s="798" t="s">
        <v>210</v>
      </c>
      <c r="C78" s="798"/>
      <c r="D78" s="463" t="s">
        <v>211</v>
      </c>
      <c r="E78" s="454" t="s">
        <v>212</v>
      </c>
      <c r="F78" s="463" t="s">
        <v>213</v>
      </c>
      <c r="G78" s="680" t="s">
        <v>481</v>
      </c>
      <c r="H78" s="460"/>
    </row>
    <row r="79" spans="1:23" ht="15.75" customHeight="1" x14ac:dyDescent="0.2">
      <c r="A79" s="460"/>
      <c r="B79" s="793" t="s">
        <v>214</v>
      </c>
      <c r="C79" s="793"/>
      <c r="D79" s="462">
        <v>0</v>
      </c>
      <c r="E79" s="462">
        <f>52000-10400</f>
        <v>41600</v>
      </c>
      <c r="F79" s="462">
        <f>-'April 20 Revenues &amp; Expenses'!J55</f>
        <v>-17333.333333333332</v>
      </c>
      <c r="G79" s="462">
        <f t="shared" ref="G79:G84" si="1">D79+E79+F79</f>
        <v>24266.666666666668</v>
      </c>
      <c r="H79" s="460"/>
    </row>
    <row r="80" spans="1:23" ht="15.75" customHeight="1" x14ac:dyDescent="0.2">
      <c r="A80" s="460"/>
      <c r="B80" s="793" t="s">
        <v>255</v>
      </c>
      <c r="C80" s="793"/>
      <c r="D80" s="462">
        <v>0</v>
      </c>
      <c r="E80" s="462">
        <v>19000</v>
      </c>
      <c r="F80" s="462">
        <f>-'April 20 Revenues &amp; Expenses'!J56</f>
        <v>-6333.333333333333</v>
      </c>
      <c r="G80" s="462">
        <f t="shared" si="1"/>
        <v>12666.666666666668</v>
      </c>
      <c r="H80" s="460"/>
    </row>
    <row r="81" spans="1:11" ht="15.75" customHeight="1" x14ac:dyDescent="0.2">
      <c r="A81" s="460"/>
      <c r="B81" s="793" t="s">
        <v>215</v>
      </c>
      <c r="C81" s="793"/>
      <c r="D81" s="462">
        <v>16139</v>
      </c>
      <c r="E81" s="462">
        <f>'April 20 Revenues &amp; Expenses'!H60</f>
        <v>1825</v>
      </c>
      <c r="F81" s="462">
        <f>-'April 20 Revenues &amp; Expenses'!J60</f>
        <v>-1651.67</v>
      </c>
      <c r="G81" s="462">
        <f t="shared" si="1"/>
        <v>16312.33</v>
      </c>
      <c r="H81" s="460"/>
    </row>
    <row r="82" spans="1:11" ht="15.75" customHeight="1" x14ac:dyDescent="0.2">
      <c r="A82" s="460"/>
      <c r="B82" s="793" t="s">
        <v>216</v>
      </c>
      <c r="C82" s="793"/>
      <c r="D82" s="462">
        <v>9461.82</v>
      </c>
      <c r="E82" s="462">
        <f>'April 20 Revenues &amp; Expenses'!H61</f>
        <v>0</v>
      </c>
      <c r="F82" s="462">
        <f>-'April 20 Revenues &amp; Expenses'!J61</f>
        <v>-2112.65</v>
      </c>
      <c r="G82" s="462">
        <f t="shared" si="1"/>
        <v>7349.17</v>
      </c>
      <c r="H82" s="460"/>
    </row>
    <row r="83" spans="1:11" ht="15.75" customHeight="1" x14ac:dyDescent="0.2">
      <c r="A83" s="460"/>
      <c r="B83" s="793" t="s">
        <v>304</v>
      </c>
      <c r="C83" s="793"/>
      <c r="D83" s="462">
        <v>2898.7</v>
      </c>
      <c r="E83" s="462"/>
      <c r="F83" s="462">
        <f>-'April 20 Revenues &amp; Expenses'!H43</f>
        <v>0</v>
      </c>
      <c r="G83" s="462">
        <f t="shared" si="1"/>
        <v>2898.7</v>
      </c>
      <c r="H83" s="460"/>
    </row>
    <row r="84" spans="1:11" ht="15.75" x14ac:dyDescent="0.2">
      <c r="A84" s="460"/>
      <c r="B84" s="793" t="s">
        <v>217</v>
      </c>
      <c r="C84" s="793"/>
      <c r="D84" s="462">
        <v>807.18</v>
      </c>
      <c r="E84" s="462"/>
      <c r="F84" s="462">
        <f>-'April 20 Revenues &amp; Expenses'!J59</f>
        <v>0</v>
      </c>
      <c r="G84" s="462">
        <f t="shared" si="1"/>
        <v>807.18</v>
      </c>
      <c r="H84" s="460"/>
      <c r="K84" s="715"/>
    </row>
    <row r="85" spans="1:11" ht="18.75" hidden="1" customHeight="1" x14ac:dyDescent="0.2">
      <c r="A85" s="460"/>
      <c r="B85" s="793"/>
      <c r="C85" s="793"/>
      <c r="D85" s="462"/>
      <c r="E85" s="462"/>
      <c r="F85" s="462"/>
      <c r="G85" s="462"/>
      <c r="H85" s="460"/>
      <c r="K85" s="715"/>
    </row>
    <row r="86" spans="1:11" ht="15.75" customHeight="1" thickBot="1" x14ac:dyDescent="0.25">
      <c r="A86" s="460"/>
      <c r="B86" s="792" t="s">
        <v>218</v>
      </c>
      <c r="C86" s="792"/>
      <c r="D86" s="455">
        <f>SUM(D79:D85)</f>
        <v>29306.7</v>
      </c>
      <c r="E86" s="455">
        <f>SUM(E79:E85)</f>
        <v>62425</v>
      </c>
      <c r="F86" s="455">
        <f>SUM(F79:F85)</f>
        <v>-27430.986666666664</v>
      </c>
      <c r="G86" s="455">
        <f>SUM(G79:G85)</f>
        <v>64300.713333333333</v>
      </c>
      <c r="H86" s="460"/>
    </row>
    <row r="87" spans="1:11" ht="16.5" thickTop="1" x14ac:dyDescent="0.2">
      <c r="A87" s="453"/>
      <c r="B87" s="461"/>
      <c r="C87" s="461"/>
      <c r="D87" s="461"/>
      <c r="E87" s="461"/>
      <c r="F87" s="461"/>
      <c r="G87" s="461"/>
      <c r="H87" s="453"/>
    </row>
    <row r="88" spans="1:11" ht="15.75" customHeight="1" x14ac:dyDescent="0.2"/>
    <row r="89" spans="1:11" ht="6.75" customHeight="1" x14ac:dyDescent="0.2"/>
  </sheetData>
  <mergeCells count="65">
    <mergeCell ref="A59:H59"/>
    <mergeCell ref="A23:H23"/>
    <mergeCell ref="A25:H25"/>
    <mergeCell ref="A1:H1"/>
    <mergeCell ref="A2:H2"/>
    <mergeCell ref="A3:H3"/>
    <mergeCell ref="C11:D11"/>
    <mergeCell ref="C12:D12"/>
    <mergeCell ref="B10:C10"/>
    <mergeCell ref="A4:H4"/>
    <mergeCell ref="A5:H5"/>
    <mergeCell ref="A9:H9"/>
    <mergeCell ref="B65:D65"/>
    <mergeCell ref="A77:H77"/>
    <mergeCell ref="B82:C82"/>
    <mergeCell ref="B83:C83"/>
    <mergeCell ref="B85:C85"/>
    <mergeCell ref="B74:C74"/>
    <mergeCell ref="B68:C68"/>
    <mergeCell ref="B70:C70"/>
    <mergeCell ref="B71:C71"/>
    <mergeCell ref="B69:C69"/>
    <mergeCell ref="A34:H34"/>
    <mergeCell ref="B46:G46"/>
    <mergeCell ref="B86:C86"/>
    <mergeCell ref="B84:C84"/>
    <mergeCell ref="B79:C79"/>
    <mergeCell ref="B80:C80"/>
    <mergeCell ref="C57:D57"/>
    <mergeCell ref="B81:C81"/>
    <mergeCell ref="B73:C73"/>
    <mergeCell ref="B75:C75"/>
    <mergeCell ref="B72:C72"/>
    <mergeCell ref="A63:H63"/>
    <mergeCell ref="B64:C64"/>
    <mergeCell ref="B66:C66"/>
    <mergeCell ref="B67:C67"/>
    <mergeCell ref="B78:C78"/>
    <mergeCell ref="E36:F36"/>
    <mergeCell ref="E38:F38"/>
    <mergeCell ref="E40:F40"/>
    <mergeCell ref="E41:F41"/>
    <mergeCell ref="E42:F42"/>
    <mergeCell ref="A61:H61"/>
    <mergeCell ref="E47:F47"/>
    <mergeCell ref="E43:F43"/>
    <mergeCell ref="E39:F39"/>
    <mergeCell ref="E37:F37"/>
    <mergeCell ref="A52:H52"/>
    <mergeCell ref="C53:D53"/>
    <mergeCell ref="F53:G53"/>
    <mergeCell ref="E48:F48"/>
    <mergeCell ref="C56:D56"/>
    <mergeCell ref="F56:G56"/>
    <mergeCell ref="C54:D54"/>
    <mergeCell ref="F54:G54"/>
    <mergeCell ref="C55:D55"/>
    <mergeCell ref="F55:G55"/>
    <mergeCell ref="E49:F49"/>
    <mergeCell ref="C13:D13"/>
    <mergeCell ref="C14:D14"/>
    <mergeCell ref="C15:D15"/>
    <mergeCell ref="C17:D17"/>
    <mergeCell ref="B18:D18"/>
    <mergeCell ref="C16:D16"/>
  </mergeCells>
  <pageMargins left="1" right="0" top="0.5" bottom="0.5" header="0.3" footer="0.3"/>
  <pageSetup scale="56" fitToHeight="4" orientation="portrait" r:id="rId1"/>
  <headerFooter>
    <oddFooter>&amp;CPage #&amp;P of &amp;N</oddFooter>
  </headerFooter>
  <rowBreaks count="1" manualBreakCount="1">
    <brk id="32"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340"/>
  <sheetViews>
    <sheetView topLeftCell="A537" workbookViewId="0">
      <selection activeCell="N526" sqref="N526"/>
    </sheetView>
  </sheetViews>
  <sheetFormatPr defaultRowHeight="14.25" x14ac:dyDescent="0.2"/>
  <cols>
    <col min="1" max="1" width="22.875" style="533" customWidth="1"/>
    <col min="2" max="2" width="9" style="506"/>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30" t="s">
        <v>259</v>
      </c>
      <c r="B3" s="502" t="s">
        <v>260</v>
      </c>
    </row>
    <row r="4" spans="1:2" ht="15" thickTop="1" x14ac:dyDescent="0.2">
      <c r="A4" s="531">
        <v>42370</v>
      </c>
      <c r="B4" s="503">
        <v>316020.78000000003</v>
      </c>
    </row>
    <row r="5" spans="1:2" x14ac:dyDescent="0.2">
      <c r="A5" s="532">
        <v>42373</v>
      </c>
      <c r="B5" s="504">
        <v>315970.78000000003</v>
      </c>
    </row>
    <row r="6" spans="1:2" x14ac:dyDescent="0.2">
      <c r="A6" s="532">
        <v>42374</v>
      </c>
      <c r="B6" s="504">
        <v>320557.63</v>
      </c>
    </row>
    <row r="7" spans="1:2" x14ac:dyDescent="0.2">
      <c r="A7" s="532">
        <v>42375</v>
      </c>
      <c r="B7" s="504">
        <f>B6</f>
        <v>320557.63</v>
      </c>
    </row>
    <row r="8" spans="1:2" x14ac:dyDescent="0.2">
      <c r="A8" s="532">
        <v>42376</v>
      </c>
      <c r="B8" s="504">
        <v>323108.86</v>
      </c>
    </row>
    <row r="9" spans="1:2" x14ac:dyDescent="0.2">
      <c r="A9" s="532">
        <v>42377</v>
      </c>
      <c r="B9" s="504">
        <f>B8</f>
        <v>323108.86</v>
      </c>
    </row>
    <row r="10" spans="1:2" x14ac:dyDescent="0.2">
      <c r="A10" s="532">
        <v>42380</v>
      </c>
      <c r="B10" s="504">
        <v>323239.86</v>
      </c>
    </row>
    <row r="11" spans="1:2" x14ac:dyDescent="0.2">
      <c r="A11" s="532">
        <v>42381</v>
      </c>
      <c r="B11" s="504">
        <v>288792.71999999997</v>
      </c>
    </row>
    <row r="12" spans="1:2" x14ac:dyDescent="0.2">
      <c r="A12" s="532">
        <v>42382</v>
      </c>
      <c r="B12" s="504">
        <f>B11</f>
        <v>288792.71999999997</v>
      </c>
    </row>
    <row r="13" spans="1:2" x14ac:dyDescent="0.2">
      <c r="A13" s="532">
        <v>42383</v>
      </c>
      <c r="B13" s="504">
        <v>277881.3</v>
      </c>
    </row>
    <row r="14" spans="1:2" x14ac:dyDescent="0.2">
      <c r="A14" s="532">
        <v>42384</v>
      </c>
      <c r="B14" s="504">
        <v>293922.15000000002</v>
      </c>
    </row>
    <row r="15" spans="1:2" x14ac:dyDescent="0.2">
      <c r="A15" s="532">
        <v>42387</v>
      </c>
      <c r="B15" s="504">
        <f>B14</f>
        <v>293922.15000000002</v>
      </c>
    </row>
    <row r="16" spans="1:2" x14ac:dyDescent="0.2">
      <c r="A16" s="532">
        <v>42388</v>
      </c>
      <c r="B16" s="504">
        <f>B14</f>
        <v>293922.15000000002</v>
      </c>
    </row>
    <row r="17" spans="1:2" x14ac:dyDescent="0.2">
      <c r="A17" s="532">
        <v>42389</v>
      </c>
      <c r="B17" s="504">
        <v>294002.2</v>
      </c>
    </row>
    <row r="18" spans="1:2" x14ac:dyDescent="0.2">
      <c r="A18" s="532">
        <v>42390</v>
      </c>
      <c r="B18" s="504">
        <v>285645.33</v>
      </c>
    </row>
    <row r="19" spans="1:2" x14ac:dyDescent="0.2">
      <c r="A19" s="532">
        <v>42391</v>
      </c>
      <c r="B19" s="504">
        <f>B18</f>
        <v>285645.33</v>
      </c>
    </row>
    <row r="20" spans="1:2" x14ac:dyDescent="0.2">
      <c r="A20" s="532">
        <v>42394</v>
      </c>
      <c r="B20" s="504">
        <v>310939.57</v>
      </c>
    </row>
    <row r="21" spans="1:2" x14ac:dyDescent="0.2">
      <c r="A21" s="532">
        <v>42395</v>
      </c>
      <c r="B21" s="504">
        <v>285520.28000000003</v>
      </c>
    </row>
    <row r="22" spans="1:2" x14ac:dyDescent="0.2">
      <c r="A22" s="532">
        <v>42396</v>
      </c>
      <c r="B22" s="504">
        <f>B21</f>
        <v>285520.28000000003</v>
      </c>
    </row>
    <row r="23" spans="1:2" x14ac:dyDescent="0.2">
      <c r="A23" s="532">
        <v>42397</v>
      </c>
      <c r="B23" s="504">
        <v>282022.58</v>
      </c>
    </row>
    <row r="24" spans="1:2" x14ac:dyDescent="0.2">
      <c r="A24" s="532">
        <v>42398</v>
      </c>
      <c r="B24" s="504">
        <v>294848.15999999997</v>
      </c>
    </row>
    <row r="25" spans="1:2" x14ac:dyDescent="0.2">
      <c r="A25" s="532">
        <v>42401</v>
      </c>
      <c r="B25" s="504">
        <v>295971.7</v>
      </c>
    </row>
    <row r="26" spans="1:2" x14ac:dyDescent="0.2">
      <c r="A26" s="532">
        <v>42402</v>
      </c>
      <c r="B26" s="504">
        <v>342700.41</v>
      </c>
    </row>
    <row r="27" spans="1:2" x14ac:dyDescent="0.2">
      <c r="A27" s="532">
        <v>42403</v>
      </c>
      <c r="B27" s="504">
        <f>B26</f>
        <v>342700.41</v>
      </c>
    </row>
    <row r="28" spans="1:2" x14ac:dyDescent="0.2">
      <c r="A28" s="532">
        <v>42404</v>
      </c>
      <c r="B28" s="504">
        <v>337638.63</v>
      </c>
    </row>
    <row r="29" spans="1:2" x14ac:dyDescent="0.2">
      <c r="A29" s="532">
        <v>42405</v>
      </c>
      <c r="B29" s="504">
        <v>367843.39</v>
      </c>
    </row>
    <row r="30" spans="1:2" x14ac:dyDescent="0.2">
      <c r="A30" s="532">
        <v>42408</v>
      </c>
      <c r="B30" s="504">
        <v>367773.39</v>
      </c>
    </row>
    <row r="31" spans="1:2" x14ac:dyDescent="0.2">
      <c r="A31" s="532">
        <v>42409</v>
      </c>
      <c r="B31" s="504">
        <v>339527.33</v>
      </c>
    </row>
    <row r="32" spans="1:2" x14ac:dyDescent="0.2">
      <c r="A32" s="532">
        <v>42410</v>
      </c>
      <c r="B32" s="504">
        <f>B31</f>
        <v>339527.33</v>
      </c>
    </row>
    <row r="33" spans="1:2" x14ac:dyDescent="0.2">
      <c r="A33" s="532">
        <v>42411</v>
      </c>
      <c r="B33" s="504">
        <v>336968.79</v>
      </c>
    </row>
    <row r="34" spans="1:2" x14ac:dyDescent="0.2">
      <c r="A34" s="532">
        <v>42412</v>
      </c>
      <c r="B34" s="504">
        <v>337055.76</v>
      </c>
    </row>
    <row r="35" spans="1:2" x14ac:dyDescent="0.2">
      <c r="A35" s="532">
        <v>42415</v>
      </c>
      <c r="B35" s="504">
        <f>B34</f>
        <v>337055.76</v>
      </c>
    </row>
    <row r="36" spans="1:2" x14ac:dyDescent="0.2">
      <c r="A36" s="532">
        <v>42416</v>
      </c>
      <c r="B36" s="504">
        <f>B35</f>
        <v>337055.76</v>
      </c>
    </row>
    <row r="37" spans="1:2" x14ac:dyDescent="0.2">
      <c r="A37" s="532">
        <v>42417</v>
      </c>
      <c r="B37" s="504">
        <v>365266.06</v>
      </c>
    </row>
    <row r="38" spans="1:2" x14ac:dyDescent="0.2">
      <c r="A38" s="532">
        <v>42418</v>
      </c>
      <c r="B38" s="504">
        <v>360871.98</v>
      </c>
    </row>
    <row r="39" spans="1:2" x14ac:dyDescent="0.2">
      <c r="A39" s="532">
        <v>42419</v>
      </c>
      <c r="B39" s="504">
        <f>B38</f>
        <v>360871.98</v>
      </c>
    </row>
    <row r="40" spans="1:2" x14ac:dyDescent="0.2">
      <c r="A40" s="532">
        <v>42421</v>
      </c>
      <c r="B40" s="504">
        <f>B39</f>
        <v>360871.98</v>
      </c>
    </row>
    <row r="41" spans="1:2" x14ac:dyDescent="0.2">
      <c r="A41" s="532">
        <v>42423</v>
      </c>
      <c r="B41" s="504">
        <v>355845.62</v>
      </c>
    </row>
    <row r="42" spans="1:2" x14ac:dyDescent="0.2">
      <c r="A42" s="532">
        <v>42424</v>
      </c>
      <c r="B42" s="504">
        <f>B41</f>
        <v>355845.62</v>
      </c>
    </row>
    <row r="43" spans="1:2" x14ac:dyDescent="0.2">
      <c r="A43" s="532">
        <v>42425</v>
      </c>
      <c r="B43" s="504">
        <v>345399.7</v>
      </c>
    </row>
    <row r="44" spans="1:2" x14ac:dyDescent="0.2">
      <c r="A44" s="532">
        <v>42426</v>
      </c>
      <c r="B44" s="504">
        <v>370500.69</v>
      </c>
    </row>
    <row r="45" spans="1:2" x14ac:dyDescent="0.2">
      <c r="A45" s="532">
        <v>42429</v>
      </c>
      <c r="B45" s="504">
        <v>389846.49</v>
      </c>
    </row>
    <row r="46" spans="1:2" x14ac:dyDescent="0.2">
      <c r="A46" s="532">
        <v>42430</v>
      </c>
      <c r="B46" s="504">
        <f>B45</f>
        <v>389846.49</v>
      </c>
    </row>
    <row r="47" spans="1:2" x14ac:dyDescent="0.2">
      <c r="A47" s="532">
        <v>42431</v>
      </c>
      <c r="B47" s="504">
        <f>B46</f>
        <v>389846.49</v>
      </c>
    </row>
    <row r="48" spans="1:2" x14ac:dyDescent="0.2">
      <c r="A48" s="532">
        <v>42432</v>
      </c>
      <c r="B48" s="504">
        <v>378391.97</v>
      </c>
    </row>
    <row r="49" spans="1:2" x14ac:dyDescent="0.2">
      <c r="A49" s="532">
        <v>42433</v>
      </c>
      <c r="B49" s="504">
        <v>424034.23</v>
      </c>
    </row>
    <row r="50" spans="1:2" x14ac:dyDescent="0.2">
      <c r="A50" s="532">
        <v>42436</v>
      </c>
      <c r="B50" s="504">
        <f>B49</f>
        <v>424034.23</v>
      </c>
    </row>
    <row r="51" spans="1:2" x14ac:dyDescent="0.2">
      <c r="A51" s="532">
        <v>42437</v>
      </c>
      <c r="B51" s="504">
        <v>386665.73</v>
      </c>
    </row>
    <row r="52" spans="1:2" x14ac:dyDescent="0.2">
      <c r="A52" s="532">
        <v>42438</v>
      </c>
      <c r="B52" s="504">
        <f>B51</f>
        <v>386665.73</v>
      </c>
    </row>
    <row r="53" spans="1:2" x14ac:dyDescent="0.2">
      <c r="A53" s="532">
        <v>42439</v>
      </c>
      <c r="B53" s="504">
        <v>389219.85</v>
      </c>
    </row>
    <row r="54" spans="1:2" x14ac:dyDescent="0.2">
      <c r="A54" s="532">
        <v>42440</v>
      </c>
      <c r="B54" s="504">
        <v>406100.98</v>
      </c>
    </row>
    <row r="55" spans="1:2" x14ac:dyDescent="0.2">
      <c r="A55" s="532">
        <v>42443</v>
      </c>
      <c r="B55" s="504">
        <v>407873.33</v>
      </c>
    </row>
    <row r="56" spans="1:2" x14ac:dyDescent="0.2">
      <c r="A56" s="532">
        <v>42444</v>
      </c>
      <c r="B56" s="504">
        <v>407992.23</v>
      </c>
    </row>
    <row r="57" spans="1:2" x14ac:dyDescent="0.2">
      <c r="A57" s="532">
        <v>42445</v>
      </c>
      <c r="B57" s="504">
        <v>433808.81</v>
      </c>
    </row>
    <row r="58" spans="1:2" x14ac:dyDescent="0.2">
      <c r="A58" s="532">
        <v>42446</v>
      </c>
      <c r="B58" s="504">
        <v>422290.94</v>
      </c>
    </row>
    <row r="59" spans="1:2" x14ac:dyDescent="0.2">
      <c r="A59" s="532">
        <v>42447</v>
      </c>
      <c r="B59" s="504">
        <v>468026.54</v>
      </c>
    </row>
    <row r="60" spans="1:2" x14ac:dyDescent="0.2">
      <c r="A60" s="532">
        <v>42450</v>
      </c>
      <c r="B60" s="504">
        <v>348026.54</v>
      </c>
    </row>
    <row r="61" spans="1:2" x14ac:dyDescent="0.2">
      <c r="A61" s="532">
        <v>42451</v>
      </c>
      <c r="B61" s="504">
        <v>312876.71000000002</v>
      </c>
    </row>
    <row r="62" spans="1:2" x14ac:dyDescent="0.2">
      <c r="A62" s="532">
        <v>42452</v>
      </c>
      <c r="B62" s="504">
        <v>314939.26</v>
      </c>
    </row>
    <row r="63" spans="1:2" x14ac:dyDescent="0.2">
      <c r="A63" s="532">
        <v>42453</v>
      </c>
      <c r="B63" s="504">
        <v>309254.23</v>
      </c>
    </row>
    <row r="64" spans="1:2" x14ac:dyDescent="0.2">
      <c r="A64" s="532">
        <v>42454</v>
      </c>
      <c r="B64" s="504">
        <v>308314.94</v>
      </c>
    </row>
    <row r="65" spans="1:2" x14ac:dyDescent="0.2">
      <c r="A65" s="532">
        <v>42457</v>
      </c>
      <c r="B65" s="504">
        <f>B64</f>
        <v>308314.94</v>
      </c>
    </row>
    <row r="66" spans="1:2" x14ac:dyDescent="0.2">
      <c r="A66" s="532">
        <v>42458</v>
      </c>
      <c r="B66" s="504">
        <v>308501.75</v>
      </c>
    </row>
    <row r="67" spans="1:2" x14ac:dyDescent="0.2">
      <c r="A67" s="532">
        <v>42459</v>
      </c>
      <c r="B67" s="504">
        <f>B66</f>
        <v>308501.75</v>
      </c>
    </row>
    <row r="68" spans="1:2" x14ac:dyDescent="0.2">
      <c r="A68" s="532">
        <v>42460</v>
      </c>
      <c r="B68" s="504">
        <v>309191.53000000003</v>
      </c>
    </row>
    <row r="69" spans="1:2" x14ac:dyDescent="0.2">
      <c r="A69" s="532">
        <v>42461</v>
      </c>
      <c r="B69" s="504">
        <f>B68</f>
        <v>309191.53000000003</v>
      </c>
    </row>
    <row r="70" spans="1:2" x14ac:dyDescent="0.2">
      <c r="A70" s="532">
        <v>42464</v>
      </c>
      <c r="B70" s="504">
        <v>273521.59999999998</v>
      </c>
    </row>
    <row r="71" spans="1:2" x14ac:dyDescent="0.2">
      <c r="A71" s="532">
        <v>42465</v>
      </c>
      <c r="B71" s="504">
        <f>B70</f>
        <v>273521.59999999998</v>
      </c>
    </row>
    <row r="72" spans="1:2" x14ac:dyDescent="0.2">
      <c r="A72" s="532">
        <v>42466</v>
      </c>
      <c r="B72" s="504">
        <v>272690.59999999998</v>
      </c>
    </row>
    <row r="73" spans="1:2" x14ac:dyDescent="0.2">
      <c r="A73" s="532">
        <v>42467</v>
      </c>
      <c r="B73" s="504">
        <v>269582.73</v>
      </c>
    </row>
    <row r="74" spans="1:2" x14ac:dyDescent="0.2">
      <c r="A74" s="532">
        <v>42468</v>
      </c>
      <c r="B74" s="504">
        <f>B73</f>
        <v>269582.73</v>
      </c>
    </row>
    <row r="75" spans="1:2" x14ac:dyDescent="0.2">
      <c r="A75" s="532">
        <v>42471</v>
      </c>
      <c r="B75" s="504">
        <v>269763.98</v>
      </c>
    </row>
    <row r="76" spans="1:2" x14ac:dyDescent="0.2">
      <c r="A76" s="532">
        <v>42472</v>
      </c>
      <c r="B76" s="504">
        <f>B75</f>
        <v>269763.98</v>
      </c>
    </row>
    <row r="77" spans="1:2" x14ac:dyDescent="0.2">
      <c r="A77" s="532">
        <v>42473</v>
      </c>
      <c r="B77" s="504">
        <v>269925.98</v>
      </c>
    </row>
    <row r="78" spans="1:2" x14ac:dyDescent="0.2">
      <c r="A78" s="532">
        <v>42474</v>
      </c>
      <c r="B78" s="504">
        <v>262853.87</v>
      </c>
    </row>
    <row r="79" spans="1:2" x14ac:dyDescent="0.2">
      <c r="A79" s="532">
        <v>42475</v>
      </c>
      <c r="B79" s="504">
        <v>285492.90999999997</v>
      </c>
    </row>
    <row r="80" spans="1:2" x14ac:dyDescent="0.2">
      <c r="A80" s="532">
        <v>42478</v>
      </c>
      <c r="B80" s="504">
        <v>248936.49</v>
      </c>
    </row>
    <row r="81" spans="1:2" x14ac:dyDescent="0.2">
      <c r="A81" s="532">
        <v>42479</v>
      </c>
      <c r="B81" s="504">
        <v>299276.93</v>
      </c>
    </row>
    <row r="82" spans="1:2" x14ac:dyDescent="0.2">
      <c r="A82" s="532">
        <v>42480</v>
      </c>
      <c r="B82" s="504">
        <v>298671.93</v>
      </c>
    </row>
    <row r="83" spans="1:2" x14ac:dyDescent="0.2">
      <c r="A83" s="532">
        <v>42481</v>
      </c>
      <c r="B83" s="504">
        <v>300188.76</v>
      </c>
    </row>
    <row r="84" spans="1:2" x14ac:dyDescent="0.2">
      <c r="A84" s="532">
        <v>42482</v>
      </c>
      <c r="B84" s="504">
        <v>320014.86</v>
      </c>
    </row>
    <row r="85" spans="1:2" x14ac:dyDescent="0.2">
      <c r="A85" s="532">
        <v>42485</v>
      </c>
      <c r="B85" s="504">
        <v>316702.44</v>
      </c>
    </row>
    <row r="86" spans="1:2" x14ac:dyDescent="0.2">
      <c r="A86" s="532">
        <v>42486</v>
      </c>
      <c r="B86" s="504">
        <f>B85</f>
        <v>316702.44</v>
      </c>
    </row>
    <row r="87" spans="1:2" x14ac:dyDescent="0.2">
      <c r="A87" s="532">
        <v>42487</v>
      </c>
      <c r="B87" s="504">
        <v>316945.44</v>
      </c>
    </row>
    <row r="88" spans="1:2" x14ac:dyDescent="0.2">
      <c r="A88" s="532">
        <v>42488</v>
      </c>
      <c r="B88" s="504">
        <v>320979.96999999997</v>
      </c>
    </row>
    <row r="89" spans="1:2" x14ac:dyDescent="0.2">
      <c r="A89" s="532">
        <v>42489</v>
      </c>
      <c r="B89" s="504">
        <f>B88</f>
        <v>320979.96999999997</v>
      </c>
    </row>
    <row r="90" spans="1:2" x14ac:dyDescent="0.2">
      <c r="A90" s="532">
        <v>42492</v>
      </c>
      <c r="B90" s="504">
        <v>285992.84000000003</v>
      </c>
    </row>
    <row r="91" spans="1:2" x14ac:dyDescent="0.2">
      <c r="A91" s="532">
        <v>42493</v>
      </c>
      <c r="B91" s="504">
        <v>286063.08</v>
      </c>
    </row>
    <row r="92" spans="1:2" x14ac:dyDescent="0.2">
      <c r="A92" s="532">
        <v>42494</v>
      </c>
      <c r="B92" s="504">
        <v>314586.46000000002</v>
      </c>
    </row>
    <row r="93" spans="1:2" x14ac:dyDescent="0.2">
      <c r="A93" s="532">
        <v>42495</v>
      </c>
      <c r="B93" s="504">
        <v>317747.52</v>
      </c>
    </row>
    <row r="94" spans="1:2" x14ac:dyDescent="0.2">
      <c r="A94" s="532">
        <v>42496</v>
      </c>
      <c r="B94" s="504">
        <f>B93</f>
        <v>317747.52</v>
      </c>
    </row>
    <row r="95" spans="1:2" x14ac:dyDescent="0.2">
      <c r="A95" s="532">
        <v>42499</v>
      </c>
      <c r="B95" s="504">
        <v>317647.52</v>
      </c>
    </row>
    <row r="96" spans="1:2" x14ac:dyDescent="0.2">
      <c r="A96" s="532">
        <v>42500</v>
      </c>
      <c r="B96" s="504">
        <v>354645.16</v>
      </c>
    </row>
    <row r="97" spans="1:2" x14ac:dyDescent="0.2">
      <c r="A97" s="532">
        <v>42501</v>
      </c>
      <c r="B97" s="504">
        <f>B96</f>
        <v>354645.16</v>
      </c>
    </row>
    <row r="98" spans="1:2" x14ac:dyDescent="0.2">
      <c r="A98" s="532">
        <v>42502</v>
      </c>
      <c r="B98" s="504">
        <v>334676.08</v>
      </c>
    </row>
    <row r="99" spans="1:2" x14ac:dyDescent="0.2">
      <c r="A99" s="532">
        <v>42503</v>
      </c>
      <c r="B99" s="504">
        <v>335053.34999999998</v>
      </c>
    </row>
    <row r="100" spans="1:2" x14ac:dyDescent="0.2">
      <c r="A100" s="532">
        <v>42506</v>
      </c>
      <c r="B100" s="504">
        <v>299641.7</v>
      </c>
    </row>
    <row r="101" spans="1:2" x14ac:dyDescent="0.2">
      <c r="A101" s="532">
        <v>42507</v>
      </c>
      <c r="B101" s="504">
        <f>B100</f>
        <v>299641.7</v>
      </c>
    </row>
    <row r="102" spans="1:2" x14ac:dyDescent="0.2">
      <c r="A102" s="532">
        <v>42508</v>
      </c>
      <c r="B102" s="504">
        <v>316034.81</v>
      </c>
    </row>
    <row r="103" spans="1:2" x14ac:dyDescent="0.2">
      <c r="A103" s="532">
        <v>42509</v>
      </c>
      <c r="B103" s="504">
        <v>320069.11</v>
      </c>
    </row>
    <row r="104" spans="1:2" x14ac:dyDescent="0.2">
      <c r="A104" s="532">
        <v>42510</v>
      </c>
      <c r="B104" s="504">
        <v>328514.03000000003</v>
      </c>
    </row>
    <row r="105" spans="1:2" x14ac:dyDescent="0.2">
      <c r="A105" s="532">
        <v>42513</v>
      </c>
      <c r="B105" s="504">
        <f>B104</f>
        <v>328514.03000000003</v>
      </c>
    </row>
    <row r="106" spans="1:2" x14ac:dyDescent="0.2">
      <c r="A106" s="532">
        <v>42514</v>
      </c>
      <c r="B106" s="504">
        <v>334541.26</v>
      </c>
    </row>
    <row r="107" spans="1:2" x14ac:dyDescent="0.2">
      <c r="A107" s="532">
        <v>42515</v>
      </c>
      <c r="B107" s="505">
        <v>329880.45</v>
      </c>
    </row>
    <row r="108" spans="1:2" x14ac:dyDescent="0.2">
      <c r="A108" s="532">
        <v>42516</v>
      </c>
      <c r="B108" s="506">
        <v>337992.17</v>
      </c>
    </row>
    <row r="109" spans="1:2" x14ac:dyDescent="0.2">
      <c r="A109" s="532">
        <v>42517</v>
      </c>
      <c r="B109" s="506">
        <v>347755.4</v>
      </c>
    </row>
    <row r="110" spans="1:2" x14ac:dyDescent="0.2">
      <c r="A110" s="532">
        <v>42520</v>
      </c>
      <c r="B110" s="506">
        <v>347755.4</v>
      </c>
    </row>
    <row r="111" spans="1:2" x14ac:dyDescent="0.2">
      <c r="A111" s="532">
        <v>42521</v>
      </c>
      <c r="B111" s="506">
        <v>312817.88</v>
      </c>
    </row>
    <row r="112" spans="1:2" x14ac:dyDescent="0.2">
      <c r="A112" s="532">
        <v>42522</v>
      </c>
      <c r="B112" s="506">
        <v>314571.3</v>
      </c>
    </row>
    <row r="113" spans="1:2" x14ac:dyDescent="0.2">
      <c r="A113" s="532">
        <v>42523</v>
      </c>
      <c r="B113" s="506">
        <v>302515.78000000003</v>
      </c>
    </row>
    <row r="114" spans="1:2" x14ac:dyDescent="0.2">
      <c r="A114" s="532">
        <v>42524</v>
      </c>
      <c r="B114" s="506">
        <v>302516</v>
      </c>
    </row>
    <row r="115" spans="1:2" x14ac:dyDescent="0.2">
      <c r="A115" s="532">
        <v>42527</v>
      </c>
      <c r="B115" s="506">
        <v>302516</v>
      </c>
    </row>
    <row r="116" spans="1:2" x14ac:dyDescent="0.2">
      <c r="A116" s="532">
        <v>42528</v>
      </c>
      <c r="B116" s="506">
        <v>302516</v>
      </c>
    </row>
    <row r="117" spans="1:2" x14ac:dyDescent="0.2">
      <c r="A117" s="532">
        <v>42529</v>
      </c>
      <c r="B117" s="506">
        <v>279865.95</v>
      </c>
    </row>
    <row r="118" spans="1:2" x14ac:dyDescent="0.2">
      <c r="A118" s="532">
        <v>42530</v>
      </c>
      <c r="B118" s="506">
        <v>279866</v>
      </c>
    </row>
    <row r="119" spans="1:2" x14ac:dyDescent="0.2">
      <c r="A119" s="532">
        <v>42531</v>
      </c>
      <c r="B119" s="506">
        <v>279866</v>
      </c>
    </row>
    <row r="120" spans="1:2" x14ac:dyDescent="0.2">
      <c r="A120" s="532">
        <v>42534</v>
      </c>
      <c r="B120" s="506">
        <v>279866</v>
      </c>
    </row>
    <row r="121" spans="1:2" x14ac:dyDescent="0.2">
      <c r="A121" s="532">
        <v>42535</v>
      </c>
      <c r="B121" s="506">
        <v>279866</v>
      </c>
    </row>
    <row r="122" spans="1:2" x14ac:dyDescent="0.2">
      <c r="A122" s="532">
        <v>42536</v>
      </c>
      <c r="B122" s="506">
        <v>290096.01</v>
      </c>
    </row>
    <row r="123" spans="1:2" x14ac:dyDescent="0.2">
      <c r="A123" s="532">
        <v>42537</v>
      </c>
      <c r="B123" s="506">
        <v>247423.5</v>
      </c>
    </row>
    <row r="124" spans="1:2" x14ac:dyDescent="0.2">
      <c r="A124" s="532">
        <v>42538</v>
      </c>
      <c r="B124" s="506">
        <v>247424</v>
      </c>
    </row>
    <row r="125" spans="1:2" x14ac:dyDescent="0.2">
      <c r="A125" s="532">
        <v>42541</v>
      </c>
      <c r="B125" s="506">
        <v>247424</v>
      </c>
    </row>
    <row r="126" spans="1:2" x14ac:dyDescent="0.2">
      <c r="A126" s="532">
        <v>42542</v>
      </c>
      <c r="B126" s="506">
        <v>255459.85</v>
      </c>
    </row>
    <row r="127" spans="1:2" x14ac:dyDescent="0.2">
      <c r="A127" s="532">
        <v>42543</v>
      </c>
      <c r="B127" s="506">
        <v>255460</v>
      </c>
    </row>
    <row r="128" spans="1:2" x14ac:dyDescent="0.2">
      <c r="A128" s="507">
        <f>A127+1</f>
        <v>42544</v>
      </c>
      <c r="B128" s="506">
        <v>240780.4</v>
      </c>
    </row>
    <row r="129" spans="1:2" x14ac:dyDescent="0.2">
      <c r="A129" s="507">
        <f>A128+1</f>
        <v>42545</v>
      </c>
      <c r="B129" s="506">
        <v>240780</v>
      </c>
    </row>
    <row r="130" spans="1:2" x14ac:dyDescent="0.2">
      <c r="A130" s="507">
        <f>A125+7</f>
        <v>42548</v>
      </c>
      <c r="B130" s="506">
        <v>205735.12</v>
      </c>
    </row>
    <row r="131" spans="1:2" x14ac:dyDescent="0.2">
      <c r="A131" s="507">
        <f>A126+7</f>
        <v>42549</v>
      </c>
      <c r="B131" s="506">
        <v>207489.37</v>
      </c>
    </row>
    <row r="132" spans="1:2" x14ac:dyDescent="0.2">
      <c r="A132" s="507">
        <f t="shared" ref="A132:A195" si="0">A127+7</f>
        <v>42550</v>
      </c>
      <c r="B132" s="506">
        <v>213757.9</v>
      </c>
    </row>
    <row r="133" spans="1:2" x14ac:dyDescent="0.2">
      <c r="A133" s="507">
        <f t="shared" si="0"/>
        <v>42551</v>
      </c>
      <c r="B133" s="506">
        <v>220332.56</v>
      </c>
    </row>
    <row r="134" spans="1:2" x14ac:dyDescent="0.2">
      <c r="A134" s="507">
        <f t="shared" si="0"/>
        <v>42552</v>
      </c>
      <c r="B134" s="506">
        <v>212813.84</v>
      </c>
    </row>
    <row r="135" spans="1:2" x14ac:dyDescent="0.2">
      <c r="A135" s="507">
        <f t="shared" si="0"/>
        <v>42555</v>
      </c>
      <c r="B135" s="506">
        <v>212814</v>
      </c>
    </row>
    <row r="136" spans="1:2" x14ac:dyDescent="0.2">
      <c r="A136" s="507">
        <f t="shared" si="0"/>
        <v>42556</v>
      </c>
      <c r="B136" s="506">
        <v>236539.45</v>
      </c>
    </row>
    <row r="137" spans="1:2" x14ac:dyDescent="0.2">
      <c r="A137" s="507">
        <f t="shared" si="0"/>
        <v>42557</v>
      </c>
      <c r="B137" s="506">
        <v>234224.42</v>
      </c>
    </row>
    <row r="138" spans="1:2" x14ac:dyDescent="0.2">
      <c r="A138" s="507">
        <f t="shared" si="0"/>
        <v>42558</v>
      </c>
      <c r="B138" s="506">
        <v>234132.08</v>
      </c>
    </row>
    <row r="139" spans="1:2" x14ac:dyDescent="0.2">
      <c r="A139" s="507">
        <f t="shared" si="0"/>
        <v>42559</v>
      </c>
      <c r="B139" s="506">
        <v>234132.08</v>
      </c>
    </row>
    <row r="140" spans="1:2" x14ac:dyDescent="0.2">
      <c r="A140" s="507">
        <f t="shared" si="0"/>
        <v>42562</v>
      </c>
      <c r="B140" s="506">
        <v>199890.85</v>
      </c>
    </row>
    <row r="141" spans="1:2" x14ac:dyDescent="0.2">
      <c r="A141" s="507">
        <f t="shared" si="0"/>
        <v>42563</v>
      </c>
      <c r="B141" s="506">
        <v>221114.27</v>
      </c>
    </row>
    <row r="142" spans="1:2" x14ac:dyDescent="0.2">
      <c r="A142" s="507">
        <f t="shared" si="0"/>
        <v>42564</v>
      </c>
      <c r="B142" s="506">
        <v>221114</v>
      </c>
    </row>
    <row r="143" spans="1:2" x14ac:dyDescent="0.2">
      <c r="A143" s="507">
        <f t="shared" si="0"/>
        <v>42565</v>
      </c>
      <c r="B143" s="506">
        <v>214752.25</v>
      </c>
    </row>
    <row r="144" spans="1:2" x14ac:dyDescent="0.2">
      <c r="A144" s="507">
        <f t="shared" si="0"/>
        <v>42566</v>
      </c>
      <c r="B144" s="506">
        <v>294578.96999999997</v>
      </c>
    </row>
    <row r="145" spans="1:2" x14ac:dyDescent="0.2">
      <c r="A145" s="507">
        <f t="shared" si="0"/>
        <v>42569</v>
      </c>
      <c r="B145" s="506">
        <v>294579</v>
      </c>
    </row>
    <row r="146" spans="1:2" x14ac:dyDescent="0.2">
      <c r="A146" s="507">
        <f t="shared" si="0"/>
        <v>42570</v>
      </c>
      <c r="B146" s="506">
        <v>294579</v>
      </c>
    </row>
    <row r="147" spans="1:2" x14ac:dyDescent="0.2">
      <c r="A147" s="507">
        <f t="shared" si="0"/>
        <v>42571</v>
      </c>
      <c r="B147" s="506">
        <v>328195.42</v>
      </c>
    </row>
    <row r="148" spans="1:2" x14ac:dyDescent="0.2">
      <c r="A148" s="507">
        <f t="shared" si="0"/>
        <v>42572</v>
      </c>
      <c r="B148" s="506">
        <v>407865.86</v>
      </c>
    </row>
    <row r="149" spans="1:2" x14ac:dyDescent="0.2">
      <c r="A149" s="507">
        <f t="shared" si="0"/>
        <v>42573</v>
      </c>
      <c r="B149" s="506">
        <v>409053.93</v>
      </c>
    </row>
    <row r="150" spans="1:2" x14ac:dyDescent="0.2">
      <c r="A150" s="507">
        <f t="shared" si="0"/>
        <v>42576</v>
      </c>
      <c r="B150" s="506">
        <v>372421.56</v>
      </c>
    </row>
    <row r="151" spans="1:2" x14ac:dyDescent="0.2">
      <c r="A151" s="507">
        <f t="shared" si="0"/>
        <v>42577</v>
      </c>
      <c r="B151" s="506">
        <v>375562.78</v>
      </c>
    </row>
    <row r="152" spans="1:2" x14ac:dyDescent="0.2">
      <c r="A152" s="507">
        <f t="shared" si="0"/>
        <v>42578</v>
      </c>
      <c r="B152" s="506">
        <v>375563</v>
      </c>
    </row>
    <row r="153" spans="1:2" x14ac:dyDescent="0.2">
      <c r="A153" s="507">
        <f t="shared" si="0"/>
        <v>42579</v>
      </c>
      <c r="B153" s="506">
        <v>366510.98</v>
      </c>
    </row>
    <row r="154" spans="1:2" x14ac:dyDescent="0.2">
      <c r="A154" s="507">
        <f t="shared" si="0"/>
        <v>42580</v>
      </c>
      <c r="B154" s="506">
        <v>366609.48</v>
      </c>
    </row>
    <row r="155" spans="1:2" x14ac:dyDescent="0.2">
      <c r="A155" s="507">
        <f t="shared" si="0"/>
        <v>42583</v>
      </c>
      <c r="B155" s="506">
        <v>382689.69</v>
      </c>
    </row>
    <row r="156" spans="1:2" x14ac:dyDescent="0.2">
      <c r="A156" s="507">
        <f t="shared" si="0"/>
        <v>42584</v>
      </c>
      <c r="B156" s="506">
        <v>382690</v>
      </c>
    </row>
    <row r="157" spans="1:2" x14ac:dyDescent="0.2">
      <c r="A157" s="507">
        <f t="shared" si="0"/>
        <v>42585</v>
      </c>
      <c r="B157" s="506">
        <v>387013.59</v>
      </c>
    </row>
    <row r="158" spans="1:2" x14ac:dyDescent="0.2">
      <c r="A158" s="507">
        <f t="shared" si="0"/>
        <v>42586</v>
      </c>
      <c r="B158" s="506">
        <v>382543.7</v>
      </c>
    </row>
    <row r="159" spans="1:2" x14ac:dyDescent="0.2">
      <c r="A159" s="507">
        <f t="shared" si="0"/>
        <v>42587</v>
      </c>
      <c r="B159" s="506">
        <v>382544</v>
      </c>
    </row>
    <row r="160" spans="1:2" x14ac:dyDescent="0.2">
      <c r="A160" s="507">
        <f t="shared" si="0"/>
        <v>42590</v>
      </c>
      <c r="B160" s="506">
        <v>344510.17</v>
      </c>
    </row>
    <row r="161" spans="1:2" x14ac:dyDescent="0.2">
      <c r="A161" s="507">
        <f t="shared" si="0"/>
        <v>42591</v>
      </c>
      <c r="B161" s="506">
        <v>350095.94</v>
      </c>
    </row>
    <row r="162" spans="1:2" x14ac:dyDescent="0.2">
      <c r="A162" s="507">
        <f t="shared" si="0"/>
        <v>42592</v>
      </c>
      <c r="B162" s="506">
        <v>350096</v>
      </c>
    </row>
    <row r="163" spans="1:2" x14ac:dyDescent="0.2">
      <c r="A163" s="507">
        <f t="shared" si="0"/>
        <v>42593</v>
      </c>
      <c r="B163" s="506">
        <v>355079.15</v>
      </c>
    </row>
    <row r="164" spans="1:2" x14ac:dyDescent="0.2">
      <c r="A164" s="507">
        <f t="shared" si="0"/>
        <v>42594</v>
      </c>
      <c r="B164" s="506">
        <v>356502.11</v>
      </c>
    </row>
    <row r="165" spans="1:2" x14ac:dyDescent="0.2">
      <c r="A165" s="507">
        <f t="shared" si="0"/>
        <v>42597</v>
      </c>
      <c r="B165" s="506">
        <v>408622.46</v>
      </c>
    </row>
    <row r="166" spans="1:2" x14ac:dyDescent="0.2">
      <c r="A166" s="507">
        <f t="shared" si="0"/>
        <v>42598</v>
      </c>
      <c r="B166" s="506">
        <v>408622</v>
      </c>
    </row>
    <row r="167" spans="1:2" x14ac:dyDescent="0.2">
      <c r="A167" s="507">
        <f t="shared" si="0"/>
        <v>42599</v>
      </c>
      <c r="B167" s="506">
        <v>408622</v>
      </c>
    </row>
    <row r="168" spans="1:2" x14ac:dyDescent="0.2">
      <c r="A168" s="507">
        <f t="shared" si="0"/>
        <v>42600</v>
      </c>
      <c r="B168" s="506">
        <v>409931.67</v>
      </c>
    </row>
    <row r="169" spans="1:2" x14ac:dyDescent="0.2">
      <c r="A169" s="507">
        <f t="shared" si="0"/>
        <v>42601</v>
      </c>
      <c r="B169" s="506">
        <v>410189.3</v>
      </c>
    </row>
    <row r="170" spans="1:2" x14ac:dyDescent="0.2">
      <c r="A170" s="507">
        <f t="shared" si="0"/>
        <v>42604</v>
      </c>
      <c r="B170" s="506">
        <v>370399.56</v>
      </c>
    </row>
    <row r="171" spans="1:2" x14ac:dyDescent="0.2">
      <c r="A171" s="507">
        <f t="shared" si="0"/>
        <v>42605</v>
      </c>
      <c r="B171" s="506">
        <v>370399.56</v>
      </c>
    </row>
    <row r="172" spans="1:2" x14ac:dyDescent="0.2">
      <c r="A172" s="507">
        <f t="shared" si="0"/>
        <v>42606</v>
      </c>
      <c r="B172" s="506">
        <v>370400</v>
      </c>
    </row>
    <row r="173" spans="1:2" x14ac:dyDescent="0.2">
      <c r="A173" s="507">
        <f t="shared" si="0"/>
        <v>42607</v>
      </c>
      <c r="B173" s="506">
        <v>359591.19</v>
      </c>
    </row>
    <row r="174" spans="1:2" x14ac:dyDescent="0.2">
      <c r="A174" s="507">
        <f t="shared" si="0"/>
        <v>42608</v>
      </c>
      <c r="B174" s="506">
        <v>399163.14</v>
      </c>
    </row>
    <row r="175" spans="1:2" x14ac:dyDescent="0.2">
      <c r="A175" s="507">
        <f t="shared" si="0"/>
        <v>42611</v>
      </c>
      <c r="B175" s="506">
        <v>407196.62</v>
      </c>
    </row>
    <row r="176" spans="1:2" x14ac:dyDescent="0.2">
      <c r="A176" s="507">
        <f t="shared" si="0"/>
        <v>42612</v>
      </c>
      <c r="B176" s="506">
        <v>422526.97</v>
      </c>
    </row>
    <row r="177" spans="1:5" x14ac:dyDescent="0.2">
      <c r="A177" s="507">
        <f t="shared" si="0"/>
        <v>42613</v>
      </c>
      <c r="B177" s="506">
        <v>479216.05</v>
      </c>
    </row>
    <row r="178" spans="1:5" x14ac:dyDescent="0.2">
      <c r="A178" s="507">
        <f t="shared" si="0"/>
        <v>42614</v>
      </c>
      <c r="B178" s="506">
        <v>479216</v>
      </c>
    </row>
    <row r="179" spans="1:5" x14ac:dyDescent="0.2">
      <c r="A179" s="507">
        <f t="shared" si="0"/>
        <v>42615</v>
      </c>
      <c r="B179" s="506">
        <v>479216</v>
      </c>
    </row>
    <row r="180" spans="1:5" x14ac:dyDescent="0.2">
      <c r="A180" s="507">
        <f t="shared" si="0"/>
        <v>42618</v>
      </c>
      <c r="B180" s="506">
        <v>479216</v>
      </c>
    </row>
    <row r="181" spans="1:5" x14ac:dyDescent="0.2">
      <c r="A181" s="507">
        <f t="shared" si="0"/>
        <v>42619</v>
      </c>
      <c r="B181" s="506">
        <v>440784.82</v>
      </c>
    </row>
    <row r="182" spans="1:5" x14ac:dyDescent="0.2">
      <c r="A182" s="507">
        <f t="shared" si="0"/>
        <v>42620</v>
      </c>
      <c r="B182" s="506">
        <v>440785</v>
      </c>
      <c r="D182" s="508"/>
      <c r="E182" s="509"/>
    </row>
    <row r="183" spans="1:5" x14ac:dyDescent="0.2">
      <c r="A183" s="507">
        <f t="shared" si="0"/>
        <v>42621</v>
      </c>
      <c r="B183" s="506">
        <v>445373.31</v>
      </c>
    </row>
    <row r="184" spans="1:5" x14ac:dyDescent="0.2">
      <c r="A184" s="507">
        <f t="shared" si="0"/>
        <v>42622</v>
      </c>
      <c r="B184" s="506">
        <v>463896.46</v>
      </c>
      <c r="D184" s="508"/>
      <c r="E184" s="509"/>
    </row>
    <row r="185" spans="1:5" x14ac:dyDescent="0.2">
      <c r="A185" s="507">
        <f t="shared" si="0"/>
        <v>42625</v>
      </c>
      <c r="B185" s="506">
        <v>463296.46</v>
      </c>
      <c r="D185" s="508"/>
      <c r="E185" s="509"/>
    </row>
    <row r="186" spans="1:5" x14ac:dyDescent="0.2">
      <c r="A186" s="507">
        <f t="shared" si="0"/>
        <v>42626</v>
      </c>
      <c r="B186" s="506">
        <v>465024.54</v>
      </c>
      <c r="D186" s="508"/>
      <c r="E186" s="509"/>
    </row>
    <row r="187" spans="1:5" x14ac:dyDescent="0.2">
      <c r="A187" s="507">
        <f t="shared" si="0"/>
        <v>42627</v>
      </c>
      <c r="B187" s="506">
        <v>465025</v>
      </c>
      <c r="D187" s="508"/>
      <c r="E187" s="509"/>
    </row>
    <row r="188" spans="1:5" x14ac:dyDescent="0.2">
      <c r="A188" s="507">
        <f t="shared" si="0"/>
        <v>42628</v>
      </c>
      <c r="B188" s="506">
        <v>447444.34</v>
      </c>
      <c r="D188" s="508"/>
      <c r="E188" s="509"/>
    </row>
    <row r="189" spans="1:5" x14ac:dyDescent="0.2">
      <c r="A189" s="507">
        <f t="shared" si="0"/>
        <v>42629</v>
      </c>
      <c r="B189" s="506">
        <v>451135.42</v>
      </c>
      <c r="D189" s="508"/>
      <c r="E189" s="509"/>
    </row>
    <row r="190" spans="1:5" x14ac:dyDescent="0.2">
      <c r="A190" s="507">
        <f t="shared" si="0"/>
        <v>42632</v>
      </c>
      <c r="B190" s="506">
        <v>413924.51</v>
      </c>
      <c r="D190" s="508"/>
      <c r="E190" s="509"/>
    </row>
    <row r="191" spans="1:5" x14ac:dyDescent="0.2">
      <c r="A191" s="507">
        <f t="shared" si="0"/>
        <v>42633</v>
      </c>
      <c r="B191" s="506">
        <v>395080.96000000002</v>
      </c>
      <c r="D191" s="508"/>
      <c r="E191" s="509"/>
    </row>
    <row r="192" spans="1:5" x14ac:dyDescent="0.2">
      <c r="A192" s="507">
        <f t="shared" si="0"/>
        <v>42634</v>
      </c>
      <c r="B192" s="506">
        <v>393852.1</v>
      </c>
      <c r="D192" s="508"/>
      <c r="E192" s="509"/>
    </row>
    <row r="193" spans="1:5" x14ac:dyDescent="0.2">
      <c r="A193" s="507">
        <f t="shared" si="0"/>
        <v>42635</v>
      </c>
      <c r="B193" s="506">
        <v>397757.18</v>
      </c>
      <c r="D193" s="508"/>
      <c r="E193" s="509"/>
    </row>
    <row r="194" spans="1:5" x14ac:dyDescent="0.2">
      <c r="A194" s="507">
        <f t="shared" si="0"/>
        <v>42636</v>
      </c>
      <c r="B194" s="506">
        <v>397757</v>
      </c>
      <c r="D194" s="508"/>
      <c r="E194" s="509"/>
    </row>
    <row r="195" spans="1:5" x14ac:dyDescent="0.2">
      <c r="A195" s="507">
        <f t="shared" si="0"/>
        <v>42639</v>
      </c>
      <c r="B195" s="506">
        <v>397757</v>
      </c>
      <c r="D195" s="508"/>
      <c r="E195" s="509"/>
    </row>
    <row r="196" spans="1:5" x14ac:dyDescent="0.2">
      <c r="A196" s="507">
        <f t="shared" ref="A196:A259" si="1">A191+7</f>
        <v>42640</v>
      </c>
      <c r="B196" s="506">
        <v>403105.59</v>
      </c>
      <c r="D196" s="508"/>
      <c r="E196" s="509"/>
    </row>
    <row r="197" spans="1:5" x14ac:dyDescent="0.2">
      <c r="A197" s="507">
        <f t="shared" si="1"/>
        <v>42641</v>
      </c>
      <c r="B197" s="506">
        <v>394170.51</v>
      </c>
      <c r="D197" s="508"/>
      <c r="E197" s="509"/>
    </row>
    <row r="198" spans="1:5" x14ac:dyDescent="0.2">
      <c r="A198" s="507">
        <f t="shared" si="1"/>
        <v>42642</v>
      </c>
      <c r="B198" s="506">
        <v>397917.56</v>
      </c>
      <c r="D198" s="508"/>
      <c r="E198" s="509"/>
    </row>
    <row r="199" spans="1:5" x14ac:dyDescent="0.2">
      <c r="A199" s="507">
        <f t="shared" si="1"/>
        <v>42643</v>
      </c>
      <c r="B199" s="506">
        <v>397918</v>
      </c>
      <c r="D199" s="508"/>
      <c r="E199" s="509"/>
    </row>
    <row r="200" spans="1:5" x14ac:dyDescent="0.2">
      <c r="A200" s="507">
        <f t="shared" si="1"/>
        <v>42646</v>
      </c>
      <c r="B200" s="506">
        <v>361701.8</v>
      </c>
      <c r="D200" s="508"/>
      <c r="E200" s="509"/>
    </row>
    <row r="201" spans="1:5" x14ac:dyDescent="0.2">
      <c r="A201" s="507">
        <f t="shared" si="1"/>
        <v>42647</v>
      </c>
      <c r="B201" s="506">
        <v>362031.95</v>
      </c>
      <c r="D201" s="508"/>
      <c r="E201" s="509"/>
    </row>
    <row r="202" spans="1:5" x14ac:dyDescent="0.2">
      <c r="A202" s="507">
        <f t="shared" si="1"/>
        <v>42648</v>
      </c>
      <c r="B202" s="506">
        <v>362032</v>
      </c>
    </row>
    <row r="203" spans="1:5" x14ac:dyDescent="0.2">
      <c r="A203" s="507">
        <f t="shared" si="1"/>
        <v>42649</v>
      </c>
      <c r="B203" s="506">
        <v>360433.13</v>
      </c>
    </row>
    <row r="204" spans="1:5" x14ac:dyDescent="0.2">
      <c r="A204" s="507">
        <f t="shared" si="1"/>
        <v>42650</v>
      </c>
      <c r="B204" s="506">
        <v>361754.66</v>
      </c>
    </row>
    <row r="205" spans="1:5" x14ac:dyDescent="0.2">
      <c r="A205" s="507">
        <f t="shared" si="1"/>
        <v>42653</v>
      </c>
      <c r="B205" s="506">
        <v>361755</v>
      </c>
    </row>
    <row r="206" spans="1:5" x14ac:dyDescent="0.2">
      <c r="A206" s="507">
        <f t="shared" si="1"/>
        <v>42654</v>
      </c>
      <c r="B206" s="506">
        <v>361755</v>
      </c>
    </row>
    <row r="207" spans="1:5" x14ac:dyDescent="0.2">
      <c r="A207" s="507">
        <f t="shared" si="1"/>
        <v>42655</v>
      </c>
      <c r="B207" s="506">
        <v>365429.62</v>
      </c>
    </row>
    <row r="208" spans="1:5" x14ac:dyDescent="0.2">
      <c r="A208" s="507">
        <f t="shared" si="1"/>
        <v>42656</v>
      </c>
      <c r="B208" s="506">
        <v>375400.83</v>
      </c>
    </row>
    <row r="209" spans="1:2" x14ac:dyDescent="0.2">
      <c r="A209" s="507">
        <f t="shared" si="1"/>
        <v>42657</v>
      </c>
      <c r="B209" s="506">
        <v>375484.03</v>
      </c>
    </row>
    <row r="210" spans="1:2" x14ac:dyDescent="0.2">
      <c r="A210" s="507">
        <f t="shared" si="1"/>
        <v>42660</v>
      </c>
      <c r="B210" s="506">
        <v>339702.96</v>
      </c>
    </row>
    <row r="211" spans="1:2" x14ac:dyDescent="0.2">
      <c r="A211" s="507">
        <f t="shared" si="1"/>
        <v>42661</v>
      </c>
      <c r="B211" s="506">
        <v>343741.39</v>
      </c>
    </row>
    <row r="212" spans="1:2" x14ac:dyDescent="0.2">
      <c r="A212" s="507">
        <f t="shared" si="1"/>
        <v>42662</v>
      </c>
      <c r="B212" s="506">
        <v>343741</v>
      </c>
    </row>
    <row r="213" spans="1:2" x14ac:dyDescent="0.2">
      <c r="A213" s="507">
        <f t="shared" si="1"/>
        <v>42663</v>
      </c>
      <c r="B213" s="506">
        <v>332267.31</v>
      </c>
    </row>
    <row r="214" spans="1:2" x14ac:dyDescent="0.2">
      <c r="A214" s="507">
        <f t="shared" si="1"/>
        <v>42664</v>
      </c>
      <c r="B214" s="506">
        <v>332482.06</v>
      </c>
    </row>
    <row r="215" spans="1:2" x14ac:dyDescent="0.2">
      <c r="A215" s="507">
        <f t="shared" si="1"/>
        <v>42667</v>
      </c>
      <c r="B215" s="506">
        <v>332482</v>
      </c>
    </row>
    <row r="216" spans="1:2" x14ac:dyDescent="0.2">
      <c r="A216" s="507">
        <f t="shared" si="1"/>
        <v>42668</v>
      </c>
      <c r="B216" s="506">
        <v>337085.39</v>
      </c>
    </row>
    <row r="217" spans="1:2" x14ac:dyDescent="0.2">
      <c r="A217" s="507">
        <f t="shared" si="1"/>
        <v>42669</v>
      </c>
      <c r="B217" s="506">
        <v>337085</v>
      </c>
    </row>
    <row r="218" spans="1:2" x14ac:dyDescent="0.2">
      <c r="A218" s="507">
        <f t="shared" si="1"/>
        <v>42670</v>
      </c>
      <c r="B218" s="506">
        <v>333113.26</v>
      </c>
    </row>
    <row r="219" spans="1:2" x14ac:dyDescent="0.2">
      <c r="A219" s="507">
        <f t="shared" si="1"/>
        <v>42671</v>
      </c>
      <c r="B219" s="506">
        <v>360993.03</v>
      </c>
    </row>
    <row r="220" spans="1:2" x14ac:dyDescent="0.2">
      <c r="A220" s="507">
        <f t="shared" si="1"/>
        <v>42674</v>
      </c>
      <c r="B220" s="506">
        <v>350567.25</v>
      </c>
    </row>
    <row r="221" spans="1:2" x14ac:dyDescent="0.2">
      <c r="A221" s="507">
        <f t="shared" si="1"/>
        <v>42675</v>
      </c>
      <c r="B221" s="506">
        <v>350939.21</v>
      </c>
    </row>
    <row r="222" spans="1:2" x14ac:dyDescent="0.2">
      <c r="A222" s="507">
        <f t="shared" si="1"/>
        <v>42676</v>
      </c>
      <c r="B222" s="506">
        <v>350939</v>
      </c>
    </row>
    <row r="223" spans="1:2" x14ac:dyDescent="0.2">
      <c r="A223" s="507">
        <f t="shared" si="1"/>
        <v>42677</v>
      </c>
      <c r="B223" s="506">
        <v>344148.64</v>
      </c>
    </row>
    <row r="224" spans="1:2" x14ac:dyDescent="0.2">
      <c r="A224" s="507">
        <f t="shared" si="1"/>
        <v>42678</v>
      </c>
      <c r="B224" s="506">
        <v>399084.27</v>
      </c>
    </row>
    <row r="225" spans="1:2" x14ac:dyDescent="0.2">
      <c r="A225" s="507">
        <f t="shared" si="1"/>
        <v>42681</v>
      </c>
      <c r="B225" s="506">
        <v>399084</v>
      </c>
    </row>
    <row r="226" spans="1:2" x14ac:dyDescent="0.2">
      <c r="A226" s="507">
        <f t="shared" si="1"/>
        <v>42682</v>
      </c>
      <c r="B226" s="506">
        <v>403667.29</v>
      </c>
    </row>
    <row r="227" spans="1:2" x14ac:dyDescent="0.2">
      <c r="A227" s="507">
        <f t="shared" si="1"/>
        <v>42683</v>
      </c>
      <c r="B227" s="506">
        <v>403667</v>
      </c>
    </row>
    <row r="228" spans="1:2" x14ac:dyDescent="0.2">
      <c r="A228" s="507">
        <f t="shared" si="1"/>
        <v>42684</v>
      </c>
      <c r="B228" s="506">
        <v>383477.25</v>
      </c>
    </row>
    <row r="229" spans="1:2" x14ac:dyDescent="0.2">
      <c r="A229" s="507">
        <f t="shared" si="1"/>
        <v>42685</v>
      </c>
      <c r="B229" s="506">
        <v>383477</v>
      </c>
    </row>
    <row r="230" spans="1:2" x14ac:dyDescent="0.2">
      <c r="A230" s="507">
        <f t="shared" si="1"/>
        <v>42688</v>
      </c>
      <c r="B230" s="506">
        <v>347717.6</v>
      </c>
    </row>
    <row r="231" spans="1:2" x14ac:dyDescent="0.2">
      <c r="A231" s="507">
        <f t="shared" si="1"/>
        <v>42689</v>
      </c>
      <c r="B231" s="506">
        <v>347836.75</v>
      </c>
    </row>
    <row r="232" spans="1:2" x14ac:dyDescent="0.2">
      <c r="A232" s="507">
        <f t="shared" si="1"/>
        <v>42690</v>
      </c>
      <c r="B232" s="506">
        <v>347836.75</v>
      </c>
    </row>
    <row r="233" spans="1:2" x14ac:dyDescent="0.2">
      <c r="A233" s="507">
        <f t="shared" si="1"/>
        <v>42691</v>
      </c>
      <c r="B233" s="506">
        <v>350935.56</v>
      </c>
    </row>
    <row r="234" spans="1:2" x14ac:dyDescent="0.2">
      <c r="A234" s="507">
        <f t="shared" si="1"/>
        <v>42692</v>
      </c>
      <c r="B234" s="506">
        <v>350936</v>
      </c>
    </row>
    <row r="235" spans="1:2" x14ac:dyDescent="0.2">
      <c r="A235" s="507">
        <f t="shared" si="1"/>
        <v>42695</v>
      </c>
      <c r="B235" s="506">
        <v>350936</v>
      </c>
    </row>
    <row r="236" spans="1:2" x14ac:dyDescent="0.2">
      <c r="A236" s="507">
        <f t="shared" si="1"/>
        <v>42696</v>
      </c>
      <c r="B236" s="506">
        <v>351588.06</v>
      </c>
    </row>
    <row r="237" spans="1:2" x14ac:dyDescent="0.2">
      <c r="A237" s="507">
        <f t="shared" si="1"/>
        <v>42697</v>
      </c>
      <c r="B237" s="506">
        <v>349477.96</v>
      </c>
    </row>
    <row r="238" spans="1:2" x14ac:dyDescent="0.2">
      <c r="A238" s="507">
        <f t="shared" si="1"/>
        <v>42698</v>
      </c>
      <c r="B238" s="506">
        <v>349478</v>
      </c>
    </row>
    <row r="239" spans="1:2" x14ac:dyDescent="0.2">
      <c r="A239" s="507">
        <f t="shared" si="1"/>
        <v>42699</v>
      </c>
      <c r="B239" s="506">
        <v>368170.66</v>
      </c>
    </row>
    <row r="240" spans="1:2" x14ac:dyDescent="0.2">
      <c r="A240" s="507">
        <f t="shared" si="1"/>
        <v>42702</v>
      </c>
      <c r="B240" s="506">
        <v>368170.66</v>
      </c>
    </row>
    <row r="241" spans="1:2" x14ac:dyDescent="0.2">
      <c r="A241" s="507">
        <f t="shared" si="1"/>
        <v>42703</v>
      </c>
      <c r="B241" s="506">
        <v>328902.64</v>
      </c>
    </row>
    <row r="242" spans="1:2" x14ac:dyDescent="0.2">
      <c r="A242" s="507">
        <f t="shared" si="1"/>
        <v>42704</v>
      </c>
      <c r="B242" s="506">
        <v>338455.85</v>
      </c>
    </row>
    <row r="243" spans="1:2" x14ac:dyDescent="0.2">
      <c r="A243" s="507">
        <f t="shared" si="1"/>
        <v>42705</v>
      </c>
      <c r="B243" s="506">
        <v>336997.18</v>
      </c>
    </row>
    <row r="244" spans="1:2" x14ac:dyDescent="0.2">
      <c r="A244" s="507">
        <f t="shared" si="1"/>
        <v>42706</v>
      </c>
      <c r="B244" s="506">
        <v>342825.59</v>
      </c>
    </row>
    <row r="245" spans="1:2" x14ac:dyDescent="0.2">
      <c r="A245" s="507">
        <f t="shared" si="1"/>
        <v>42709</v>
      </c>
      <c r="B245" s="506">
        <v>342826</v>
      </c>
    </row>
    <row r="246" spans="1:2" x14ac:dyDescent="0.2">
      <c r="A246" s="507">
        <f t="shared" si="1"/>
        <v>42710</v>
      </c>
      <c r="B246" s="506">
        <v>344457.81</v>
      </c>
    </row>
    <row r="247" spans="1:2" x14ac:dyDescent="0.2">
      <c r="A247" s="507">
        <f t="shared" si="1"/>
        <v>42711</v>
      </c>
      <c r="B247" s="506">
        <v>366772.64</v>
      </c>
    </row>
    <row r="248" spans="1:2" x14ac:dyDescent="0.2">
      <c r="A248" s="507">
        <f t="shared" si="1"/>
        <v>42712</v>
      </c>
      <c r="B248" s="506">
        <v>366772.6</v>
      </c>
    </row>
    <row r="249" spans="1:2" x14ac:dyDescent="0.2">
      <c r="A249" s="507">
        <f t="shared" si="1"/>
        <v>42713</v>
      </c>
      <c r="B249" s="506">
        <v>366773</v>
      </c>
    </row>
    <row r="250" spans="1:2" x14ac:dyDescent="0.2">
      <c r="A250" s="507">
        <f t="shared" si="1"/>
        <v>42716</v>
      </c>
      <c r="B250" s="506">
        <v>366773</v>
      </c>
    </row>
    <row r="251" spans="1:2" x14ac:dyDescent="0.2">
      <c r="A251" s="507">
        <f t="shared" si="1"/>
        <v>42717</v>
      </c>
      <c r="B251" s="506">
        <v>346535.44</v>
      </c>
    </row>
    <row r="252" spans="1:2" x14ac:dyDescent="0.2">
      <c r="A252" s="507">
        <f t="shared" si="1"/>
        <v>42718</v>
      </c>
      <c r="B252" s="506">
        <v>346535</v>
      </c>
    </row>
    <row r="253" spans="1:2" x14ac:dyDescent="0.2">
      <c r="A253" s="507">
        <f t="shared" si="1"/>
        <v>42719</v>
      </c>
      <c r="B253" s="506">
        <v>335522.11</v>
      </c>
    </row>
    <row r="254" spans="1:2" x14ac:dyDescent="0.2">
      <c r="A254" s="507">
        <f t="shared" si="1"/>
        <v>42720</v>
      </c>
      <c r="B254" s="506">
        <v>335675.99</v>
      </c>
    </row>
    <row r="255" spans="1:2" x14ac:dyDescent="0.2">
      <c r="A255" s="507">
        <f t="shared" si="1"/>
        <v>42723</v>
      </c>
      <c r="B255" s="506">
        <v>357268.43</v>
      </c>
    </row>
    <row r="256" spans="1:2" x14ac:dyDescent="0.2">
      <c r="A256" s="507">
        <f t="shared" si="1"/>
        <v>42724</v>
      </c>
      <c r="B256" s="506">
        <v>357268</v>
      </c>
    </row>
    <row r="257" spans="1:2" x14ac:dyDescent="0.2">
      <c r="A257" s="507">
        <f t="shared" si="1"/>
        <v>42725</v>
      </c>
      <c r="B257" s="506">
        <v>366192.91</v>
      </c>
    </row>
    <row r="258" spans="1:2" x14ac:dyDescent="0.2">
      <c r="A258" s="507">
        <f t="shared" si="1"/>
        <v>42726</v>
      </c>
      <c r="B258" s="506">
        <v>377001.67</v>
      </c>
    </row>
    <row r="259" spans="1:2" x14ac:dyDescent="0.2">
      <c r="A259" s="507">
        <f t="shared" si="1"/>
        <v>42727</v>
      </c>
      <c r="B259" s="506">
        <v>377329.67</v>
      </c>
    </row>
    <row r="260" spans="1:2" x14ac:dyDescent="0.2">
      <c r="A260" s="507">
        <f t="shared" ref="A260:A264" si="2">A255+7</f>
        <v>42730</v>
      </c>
      <c r="B260" s="506">
        <v>377330</v>
      </c>
    </row>
    <row r="261" spans="1:2" x14ac:dyDescent="0.2">
      <c r="A261" s="507">
        <f t="shared" si="2"/>
        <v>42731</v>
      </c>
      <c r="B261" s="506">
        <v>339782.53</v>
      </c>
    </row>
    <row r="262" spans="1:2" x14ac:dyDescent="0.2">
      <c r="A262" s="507">
        <f t="shared" si="2"/>
        <v>42732</v>
      </c>
      <c r="B262" s="506">
        <v>339783</v>
      </c>
    </row>
    <row r="263" spans="1:2" x14ac:dyDescent="0.2">
      <c r="A263" s="507">
        <f t="shared" si="2"/>
        <v>42733</v>
      </c>
      <c r="B263" s="506">
        <v>337987.77</v>
      </c>
    </row>
    <row r="264" spans="1:2" x14ac:dyDescent="0.2">
      <c r="A264" s="507">
        <f t="shared" si="2"/>
        <v>42734</v>
      </c>
      <c r="B264" s="506">
        <v>354814.33</v>
      </c>
    </row>
    <row r="265" spans="1:2" x14ac:dyDescent="0.2">
      <c r="A265" s="528">
        <v>42737</v>
      </c>
      <c r="B265" s="529">
        <v>354814</v>
      </c>
    </row>
    <row r="266" spans="1:2" x14ac:dyDescent="0.2">
      <c r="A266" s="528">
        <v>42738</v>
      </c>
      <c r="B266" s="529">
        <v>361866.86</v>
      </c>
    </row>
    <row r="267" spans="1:2" x14ac:dyDescent="0.2">
      <c r="A267" s="528">
        <v>42739</v>
      </c>
      <c r="B267" s="529">
        <v>363519.32</v>
      </c>
    </row>
    <row r="268" spans="1:2" x14ac:dyDescent="0.2">
      <c r="A268" s="528">
        <v>42740</v>
      </c>
      <c r="B268" s="529">
        <v>361866.66</v>
      </c>
    </row>
    <row r="269" spans="1:2" x14ac:dyDescent="0.2">
      <c r="A269" s="528">
        <v>42741</v>
      </c>
      <c r="B269" s="529">
        <v>363519</v>
      </c>
    </row>
    <row r="270" spans="1:2" x14ac:dyDescent="0.2">
      <c r="A270" s="528">
        <v>42744</v>
      </c>
      <c r="B270" s="529">
        <v>363543.47</v>
      </c>
    </row>
    <row r="271" spans="1:2" x14ac:dyDescent="0.2">
      <c r="A271" s="528">
        <v>42745</v>
      </c>
      <c r="B271" s="529">
        <v>328707.83</v>
      </c>
    </row>
    <row r="272" spans="1:2" x14ac:dyDescent="0.2">
      <c r="A272" s="528">
        <v>42746</v>
      </c>
      <c r="B272" s="529">
        <v>328708</v>
      </c>
    </row>
    <row r="273" spans="1:2" x14ac:dyDescent="0.2">
      <c r="A273" s="528">
        <v>42747</v>
      </c>
      <c r="B273" s="529">
        <v>321086.01</v>
      </c>
    </row>
    <row r="274" spans="1:2" x14ac:dyDescent="0.2">
      <c r="A274" s="528">
        <v>42748</v>
      </c>
      <c r="B274" s="529">
        <v>334097.28000000003</v>
      </c>
    </row>
    <row r="275" spans="1:2" x14ac:dyDescent="0.2">
      <c r="A275" s="528">
        <v>42751</v>
      </c>
      <c r="B275" s="529">
        <v>334097</v>
      </c>
    </row>
    <row r="276" spans="1:2" x14ac:dyDescent="0.2">
      <c r="A276" s="528">
        <v>42752</v>
      </c>
      <c r="B276" s="529">
        <v>268850.96000000002</v>
      </c>
    </row>
    <row r="277" spans="1:2" x14ac:dyDescent="0.2">
      <c r="A277" s="528">
        <v>42753</v>
      </c>
      <c r="B277" s="529">
        <v>268851</v>
      </c>
    </row>
    <row r="278" spans="1:2" x14ac:dyDescent="0.2">
      <c r="A278" s="528">
        <v>42754</v>
      </c>
      <c r="B278" s="529">
        <v>269075.21000000002</v>
      </c>
    </row>
    <row r="279" spans="1:2" x14ac:dyDescent="0.2">
      <c r="A279" s="528">
        <v>42755</v>
      </c>
      <c r="B279" s="529">
        <v>270983.21000000002</v>
      </c>
    </row>
    <row r="280" spans="1:2" x14ac:dyDescent="0.2">
      <c r="A280" s="528">
        <v>42758</v>
      </c>
      <c r="B280" s="529">
        <v>270983</v>
      </c>
    </row>
    <row r="281" spans="1:2" x14ac:dyDescent="0.2">
      <c r="A281" s="528">
        <v>42759</v>
      </c>
      <c r="B281" s="529">
        <v>270723.98</v>
      </c>
    </row>
    <row r="282" spans="1:2" x14ac:dyDescent="0.2">
      <c r="A282" s="528">
        <v>42760</v>
      </c>
      <c r="B282" s="529">
        <v>281353.09999999998</v>
      </c>
    </row>
    <row r="283" spans="1:2" x14ac:dyDescent="0.2">
      <c r="A283" s="528">
        <v>42761</v>
      </c>
      <c r="B283" s="529">
        <v>274313.84999999998</v>
      </c>
    </row>
    <row r="284" spans="1:2" x14ac:dyDescent="0.2">
      <c r="A284" s="528">
        <v>42762</v>
      </c>
      <c r="B284" s="529">
        <v>296447.59999999998</v>
      </c>
    </row>
    <row r="285" spans="1:2" x14ac:dyDescent="0.2">
      <c r="A285" s="528">
        <v>42765</v>
      </c>
      <c r="B285" s="529">
        <v>295107.96000000002</v>
      </c>
    </row>
    <row r="286" spans="1:2" x14ac:dyDescent="0.2">
      <c r="A286" s="528">
        <v>42766</v>
      </c>
      <c r="B286" s="529">
        <v>314030.53000000003</v>
      </c>
    </row>
    <row r="287" spans="1:2" x14ac:dyDescent="0.2">
      <c r="A287" s="528">
        <v>42767</v>
      </c>
      <c r="B287" s="529">
        <v>314031</v>
      </c>
    </row>
    <row r="288" spans="1:2" x14ac:dyDescent="0.2">
      <c r="A288" s="528">
        <v>42768</v>
      </c>
      <c r="B288" s="529">
        <v>312808.53999999998</v>
      </c>
    </row>
    <row r="289" spans="1:2" x14ac:dyDescent="0.2">
      <c r="A289" s="528">
        <v>42769</v>
      </c>
      <c r="B289" s="529">
        <v>316461.53999999998</v>
      </c>
    </row>
    <row r="290" spans="1:2" x14ac:dyDescent="0.2">
      <c r="A290" s="528">
        <v>42772</v>
      </c>
      <c r="B290" s="529">
        <v>316462</v>
      </c>
    </row>
    <row r="291" spans="1:2" x14ac:dyDescent="0.2">
      <c r="A291" s="528">
        <v>42773</v>
      </c>
      <c r="B291" s="529">
        <v>289560.21999999997</v>
      </c>
    </row>
    <row r="292" spans="1:2" x14ac:dyDescent="0.2">
      <c r="A292" s="528">
        <v>42774</v>
      </c>
      <c r="B292" s="529">
        <v>297310.21999999997</v>
      </c>
    </row>
    <row r="293" spans="1:2" x14ac:dyDescent="0.2">
      <c r="A293" s="528">
        <v>42775</v>
      </c>
      <c r="B293" s="529">
        <v>352433.91</v>
      </c>
    </row>
    <row r="294" spans="1:2" x14ac:dyDescent="0.2">
      <c r="A294" s="528">
        <v>42776</v>
      </c>
      <c r="B294" s="529">
        <v>352434</v>
      </c>
    </row>
    <row r="295" spans="1:2" x14ac:dyDescent="0.2">
      <c r="A295" s="528">
        <v>42779</v>
      </c>
      <c r="B295" s="529">
        <v>352434</v>
      </c>
    </row>
    <row r="296" spans="1:2" x14ac:dyDescent="0.2">
      <c r="A296" s="528">
        <v>42780</v>
      </c>
      <c r="B296" s="529">
        <v>352434</v>
      </c>
    </row>
    <row r="297" spans="1:2" x14ac:dyDescent="0.2">
      <c r="A297" s="528">
        <v>42781</v>
      </c>
      <c r="B297" s="529">
        <v>352542.46</v>
      </c>
    </row>
    <row r="298" spans="1:2" x14ac:dyDescent="0.2">
      <c r="A298" s="528">
        <v>42782</v>
      </c>
      <c r="B298" s="529">
        <v>383231.99</v>
      </c>
    </row>
    <row r="299" spans="1:2" x14ac:dyDescent="0.2">
      <c r="A299" s="528">
        <v>42783</v>
      </c>
      <c r="B299" s="563">
        <v>404679.36</v>
      </c>
    </row>
    <row r="300" spans="1:2" x14ac:dyDescent="0.2">
      <c r="A300" s="528">
        <v>42785</v>
      </c>
      <c r="B300" s="529">
        <v>404679</v>
      </c>
    </row>
    <row r="301" spans="1:2" x14ac:dyDescent="0.2">
      <c r="A301" s="528">
        <v>42787</v>
      </c>
      <c r="B301" s="529">
        <v>368703.72</v>
      </c>
    </row>
    <row r="302" spans="1:2" x14ac:dyDescent="0.2">
      <c r="A302" s="528">
        <v>42788</v>
      </c>
      <c r="B302" s="529">
        <v>368203.72</v>
      </c>
    </row>
    <row r="303" spans="1:2" x14ac:dyDescent="0.2">
      <c r="A303" s="528">
        <v>42789</v>
      </c>
      <c r="B303" s="529">
        <v>349211.92</v>
      </c>
    </row>
    <row r="304" spans="1:2" x14ac:dyDescent="0.2">
      <c r="A304" s="528">
        <v>42790</v>
      </c>
      <c r="B304" s="529">
        <v>384176.45</v>
      </c>
    </row>
    <row r="305" spans="1:2" x14ac:dyDescent="0.2">
      <c r="A305" s="528">
        <v>42793</v>
      </c>
      <c r="B305" s="529">
        <v>384176</v>
      </c>
    </row>
    <row r="306" spans="1:2" x14ac:dyDescent="0.2">
      <c r="A306" s="528">
        <v>42794</v>
      </c>
      <c r="B306" s="529">
        <v>384176</v>
      </c>
    </row>
    <row r="307" spans="1:2" x14ac:dyDescent="0.2">
      <c r="A307" s="528">
        <v>42795</v>
      </c>
      <c r="B307" s="529">
        <v>384176</v>
      </c>
    </row>
    <row r="308" spans="1:2" x14ac:dyDescent="0.2">
      <c r="A308" s="528">
        <v>42796</v>
      </c>
      <c r="B308" s="529">
        <v>395396.43</v>
      </c>
    </row>
    <row r="309" spans="1:2" x14ac:dyDescent="0.2">
      <c r="A309" s="528">
        <v>42797</v>
      </c>
      <c r="B309" s="529">
        <v>395396</v>
      </c>
    </row>
    <row r="310" spans="1:2" x14ac:dyDescent="0.2">
      <c r="A310" s="528">
        <v>42800</v>
      </c>
      <c r="B310" s="529">
        <v>395396</v>
      </c>
    </row>
    <row r="311" spans="1:2" x14ac:dyDescent="0.2">
      <c r="A311" s="528">
        <v>42801</v>
      </c>
      <c r="B311" s="529">
        <v>361856.47</v>
      </c>
    </row>
    <row r="312" spans="1:2" x14ac:dyDescent="0.2">
      <c r="A312" s="528">
        <v>42802</v>
      </c>
      <c r="B312" s="529">
        <v>361856</v>
      </c>
    </row>
    <row r="313" spans="1:2" x14ac:dyDescent="0.2">
      <c r="A313" s="528">
        <v>42803</v>
      </c>
      <c r="B313" s="529">
        <v>349877.16</v>
      </c>
    </row>
    <row r="314" spans="1:2" x14ac:dyDescent="0.2">
      <c r="A314" s="528">
        <v>42804</v>
      </c>
      <c r="B314" s="529">
        <v>359297.81</v>
      </c>
    </row>
    <row r="315" spans="1:2" x14ac:dyDescent="0.2">
      <c r="A315" s="528">
        <v>42807</v>
      </c>
      <c r="B315" s="529">
        <v>361678.91</v>
      </c>
    </row>
    <row r="316" spans="1:2" x14ac:dyDescent="0.2">
      <c r="A316" s="528">
        <v>42808</v>
      </c>
      <c r="B316" s="529">
        <v>361679</v>
      </c>
    </row>
    <row r="317" spans="1:2" x14ac:dyDescent="0.2">
      <c r="A317" s="528">
        <v>42809</v>
      </c>
      <c r="B317" s="529">
        <v>370843.37</v>
      </c>
    </row>
    <row r="318" spans="1:2" x14ac:dyDescent="0.2">
      <c r="A318" s="528">
        <v>42810</v>
      </c>
      <c r="B318" s="529">
        <v>377566.07</v>
      </c>
    </row>
    <row r="319" spans="1:2" x14ac:dyDescent="0.2">
      <c r="A319" s="528">
        <v>42811</v>
      </c>
      <c r="B319" s="529">
        <v>370373.97</v>
      </c>
    </row>
    <row r="320" spans="1:2" x14ac:dyDescent="0.2">
      <c r="A320" s="528">
        <v>42814</v>
      </c>
      <c r="B320" s="529">
        <v>338340.3</v>
      </c>
    </row>
    <row r="321" spans="1:2" x14ac:dyDescent="0.2">
      <c r="A321" s="528">
        <v>42815</v>
      </c>
      <c r="B321" s="529">
        <v>338340</v>
      </c>
    </row>
    <row r="322" spans="1:2" x14ac:dyDescent="0.2">
      <c r="A322" s="528">
        <v>42816</v>
      </c>
      <c r="B322" s="529">
        <v>338340</v>
      </c>
    </row>
    <row r="323" spans="1:2" x14ac:dyDescent="0.2">
      <c r="A323" s="528">
        <v>42817</v>
      </c>
      <c r="B323" s="529">
        <f>25944.71+322493.66</f>
        <v>348438.37</v>
      </c>
    </row>
    <row r="324" spans="1:2" x14ac:dyDescent="0.2">
      <c r="A324" s="528">
        <v>42818</v>
      </c>
      <c r="B324" s="529">
        <v>348438</v>
      </c>
    </row>
    <row r="325" spans="1:2" x14ac:dyDescent="0.2">
      <c r="A325" s="528">
        <v>42821</v>
      </c>
      <c r="B325" s="529">
        <v>348360.51</v>
      </c>
    </row>
    <row r="326" spans="1:2" x14ac:dyDescent="0.2">
      <c r="A326" s="528">
        <v>42822</v>
      </c>
      <c r="B326" s="506">
        <v>348440.48</v>
      </c>
    </row>
    <row r="327" spans="1:2" x14ac:dyDescent="0.2">
      <c r="A327" s="528">
        <v>42823</v>
      </c>
      <c r="B327" s="506">
        <v>348440</v>
      </c>
    </row>
    <row r="328" spans="1:2" x14ac:dyDescent="0.2">
      <c r="A328" s="528">
        <v>42824</v>
      </c>
      <c r="B328" s="506">
        <v>350305.92</v>
      </c>
    </row>
    <row r="329" spans="1:2" x14ac:dyDescent="0.2">
      <c r="A329" s="528">
        <v>42825</v>
      </c>
      <c r="B329" s="506">
        <v>350306</v>
      </c>
    </row>
    <row r="330" spans="1:2" x14ac:dyDescent="0.2">
      <c r="A330" s="528">
        <v>42828</v>
      </c>
      <c r="B330" s="506">
        <v>350306</v>
      </c>
    </row>
    <row r="331" spans="1:2" x14ac:dyDescent="0.2">
      <c r="A331" s="528">
        <v>42829</v>
      </c>
      <c r="B331" s="506">
        <v>320389.65000000002</v>
      </c>
    </row>
    <row r="332" spans="1:2" x14ac:dyDescent="0.2">
      <c r="A332" s="528">
        <v>42830</v>
      </c>
      <c r="B332" s="506">
        <v>320390</v>
      </c>
    </row>
    <row r="333" spans="1:2" x14ac:dyDescent="0.2">
      <c r="A333" s="528">
        <v>42831</v>
      </c>
      <c r="B333" s="506">
        <v>313344</v>
      </c>
    </row>
    <row r="334" spans="1:2" x14ac:dyDescent="0.2">
      <c r="A334" s="528">
        <v>42832</v>
      </c>
      <c r="B334" s="506">
        <v>313344</v>
      </c>
    </row>
    <row r="335" spans="1:2" x14ac:dyDescent="0.2">
      <c r="A335" s="528">
        <v>42835</v>
      </c>
      <c r="B335" s="506">
        <v>306132.78000000003</v>
      </c>
    </row>
    <row r="336" spans="1:2" x14ac:dyDescent="0.2">
      <c r="A336" s="528">
        <v>42836</v>
      </c>
      <c r="B336" s="506">
        <v>286047.34999999998</v>
      </c>
    </row>
    <row r="337" spans="1:2" x14ac:dyDescent="0.2">
      <c r="A337" s="528">
        <v>42837</v>
      </c>
      <c r="B337" s="506">
        <v>286047</v>
      </c>
    </row>
    <row r="338" spans="1:2" x14ac:dyDescent="0.2">
      <c r="A338" s="528">
        <v>42838</v>
      </c>
      <c r="B338" s="506">
        <v>272128.99</v>
      </c>
    </row>
    <row r="339" spans="1:2" x14ac:dyDescent="0.2">
      <c r="A339" s="528">
        <v>42839</v>
      </c>
      <c r="B339" s="506">
        <v>272229.71000000002</v>
      </c>
    </row>
    <row r="340" spans="1:2" x14ac:dyDescent="0.2">
      <c r="A340" s="528">
        <v>42842</v>
      </c>
      <c r="B340" s="506">
        <v>236683.56</v>
      </c>
    </row>
    <row r="341" spans="1:2" x14ac:dyDescent="0.2">
      <c r="A341" s="528">
        <v>42843</v>
      </c>
      <c r="B341" s="506">
        <v>244114.64</v>
      </c>
    </row>
    <row r="342" spans="1:2" x14ac:dyDescent="0.2">
      <c r="A342" s="528">
        <v>42844</v>
      </c>
      <c r="B342" s="506">
        <v>244115</v>
      </c>
    </row>
    <row r="343" spans="1:2" x14ac:dyDescent="0.2">
      <c r="A343" s="528">
        <v>42845</v>
      </c>
      <c r="B343" s="506">
        <v>241798.76</v>
      </c>
    </row>
    <row r="344" spans="1:2" x14ac:dyDescent="0.2">
      <c r="A344" s="528">
        <v>42846</v>
      </c>
      <c r="B344" s="506">
        <v>241799</v>
      </c>
    </row>
    <row r="345" spans="1:2" x14ac:dyDescent="0.2">
      <c r="A345" s="528">
        <v>42849</v>
      </c>
      <c r="B345" s="506">
        <v>241973.76000000001</v>
      </c>
    </row>
    <row r="346" spans="1:2" x14ac:dyDescent="0.2">
      <c r="A346" s="528">
        <v>42850</v>
      </c>
      <c r="B346" s="506">
        <v>243364.2</v>
      </c>
    </row>
    <row r="347" spans="1:2" x14ac:dyDescent="0.2">
      <c r="A347" s="528">
        <v>42851</v>
      </c>
      <c r="B347" s="506">
        <v>243364</v>
      </c>
    </row>
    <row r="348" spans="1:2" x14ac:dyDescent="0.2">
      <c r="A348" s="528">
        <v>42852</v>
      </c>
      <c r="B348" s="506">
        <v>259265.45</v>
      </c>
    </row>
    <row r="349" spans="1:2" x14ac:dyDescent="0.2">
      <c r="A349" s="528">
        <v>42853</v>
      </c>
      <c r="B349" s="506">
        <v>290731.18</v>
      </c>
    </row>
    <row r="350" spans="1:2" x14ac:dyDescent="0.2">
      <c r="A350" s="528">
        <v>42856</v>
      </c>
      <c r="B350" s="506">
        <v>251486.17</v>
      </c>
    </row>
    <row r="351" spans="1:2" x14ac:dyDescent="0.2">
      <c r="A351" s="528">
        <v>42857</v>
      </c>
      <c r="B351" s="506">
        <v>253188.17</v>
      </c>
    </row>
    <row r="352" spans="1:2" x14ac:dyDescent="0.2">
      <c r="A352" s="528">
        <v>42858</v>
      </c>
      <c r="B352" s="506">
        <v>253188</v>
      </c>
    </row>
    <row r="353" spans="1:2" x14ac:dyDescent="0.2">
      <c r="A353" s="528">
        <v>42859</v>
      </c>
      <c r="B353" s="506">
        <v>232739.33</v>
      </c>
    </row>
    <row r="354" spans="1:2" x14ac:dyDescent="0.2">
      <c r="A354" s="528">
        <v>42860</v>
      </c>
      <c r="B354" s="506">
        <v>234049.33</v>
      </c>
    </row>
    <row r="355" spans="1:2" x14ac:dyDescent="0.2">
      <c r="A355" s="528">
        <v>42863</v>
      </c>
      <c r="B355" s="506">
        <v>314317.77</v>
      </c>
    </row>
    <row r="356" spans="1:2" x14ac:dyDescent="0.2">
      <c r="A356" s="528">
        <v>42864</v>
      </c>
      <c r="B356" s="506">
        <v>314318</v>
      </c>
    </row>
    <row r="357" spans="1:2" x14ac:dyDescent="0.2">
      <c r="A357" s="528">
        <v>42865</v>
      </c>
      <c r="B357" s="506">
        <v>314318</v>
      </c>
    </row>
    <row r="358" spans="1:2" x14ac:dyDescent="0.2">
      <c r="A358" s="528">
        <v>42866</v>
      </c>
      <c r="B358" s="506">
        <v>313971.28000000003</v>
      </c>
    </row>
    <row r="359" spans="1:2" x14ac:dyDescent="0.2">
      <c r="A359" s="528">
        <v>42867</v>
      </c>
      <c r="B359" s="506">
        <v>313971</v>
      </c>
    </row>
    <row r="360" spans="1:2" x14ac:dyDescent="0.2">
      <c r="A360" s="528">
        <v>42870</v>
      </c>
      <c r="B360" s="506">
        <v>271063.69</v>
      </c>
    </row>
    <row r="361" spans="1:2" x14ac:dyDescent="0.2">
      <c r="A361" s="528">
        <v>42871</v>
      </c>
      <c r="B361" s="506">
        <v>271064</v>
      </c>
    </row>
    <row r="362" spans="1:2" x14ac:dyDescent="0.2">
      <c r="A362" s="528">
        <v>42872</v>
      </c>
      <c r="B362" s="506">
        <v>271064</v>
      </c>
    </row>
    <row r="363" spans="1:2" x14ac:dyDescent="0.2">
      <c r="A363" s="528">
        <v>42873</v>
      </c>
      <c r="B363" s="506">
        <v>261497.73</v>
      </c>
    </row>
    <row r="364" spans="1:2" x14ac:dyDescent="0.2">
      <c r="A364" s="528">
        <v>42874</v>
      </c>
      <c r="B364" s="506">
        <v>311507.92</v>
      </c>
    </row>
    <row r="365" spans="1:2" x14ac:dyDescent="0.2">
      <c r="A365" s="528">
        <v>42877</v>
      </c>
      <c r="B365" s="506">
        <v>290080.52</v>
      </c>
    </row>
    <row r="366" spans="1:2" x14ac:dyDescent="0.2">
      <c r="A366" s="528">
        <v>42878</v>
      </c>
      <c r="B366" s="506">
        <v>290081</v>
      </c>
    </row>
    <row r="367" spans="1:2" x14ac:dyDescent="0.2">
      <c r="A367" s="528">
        <v>42879</v>
      </c>
      <c r="B367" s="506">
        <v>327080.46000000002</v>
      </c>
    </row>
    <row r="368" spans="1:2" x14ac:dyDescent="0.2">
      <c r="A368" s="528">
        <v>42880</v>
      </c>
      <c r="B368" s="506">
        <v>327080</v>
      </c>
    </row>
    <row r="369" spans="1:2" x14ac:dyDescent="0.2">
      <c r="A369" s="528">
        <v>42881</v>
      </c>
      <c r="B369" s="506">
        <v>336844.12</v>
      </c>
    </row>
    <row r="370" spans="1:2" x14ac:dyDescent="0.2">
      <c r="A370" s="528">
        <v>42884</v>
      </c>
      <c r="B370" s="506">
        <v>336844</v>
      </c>
    </row>
    <row r="371" spans="1:2" x14ac:dyDescent="0.2">
      <c r="A371" s="528">
        <v>42885</v>
      </c>
      <c r="B371" s="506">
        <v>300553.48</v>
      </c>
    </row>
    <row r="372" spans="1:2" x14ac:dyDescent="0.2">
      <c r="A372" s="528">
        <v>42886</v>
      </c>
      <c r="B372" s="506">
        <v>296887.5</v>
      </c>
    </row>
    <row r="373" spans="1:2" x14ac:dyDescent="0.2">
      <c r="A373" s="528">
        <v>42887</v>
      </c>
      <c r="B373" s="506">
        <v>297355.68</v>
      </c>
    </row>
    <row r="374" spans="1:2" x14ac:dyDescent="0.2">
      <c r="A374" s="528">
        <v>42888</v>
      </c>
      <c r="B374" s="506">
        <v>298760.68</v>
      </c>
    </row>
    <row r="375" spans="1:2" x14ac:dyDescent="0.2">
      <c r="A375" s="528">
        <v>42891</v>
      </c>
      <c r="B375" s="506">
        <v>279006.82</v>
      </c>
    </row>
    <row r="376" spans="1:2" x14ac:dyDescent="0.2">
      <c r="A376" s="528">
        <v>42892</v>
      </c>
      <c r="B376" s="506">
        <v>279007</v>
      </c>
    </row>
    <row r="377" spans="1:2" x14ac:dyDescent="0.2">
      <c r="A377" s="528">
        <v>42893</v>
      </c>
      <c r="B377" s="506">
        <v>279007</v>
      </c>
    </row>
    <row r="378" spans="1:2" x14ac:dyDescent="0.2">
      <c r="A378" s="528">
        <v>42894</v>
      </c>
      <c r="B378" s="506">
        <v>279112.07</v>
      </c>
    </row>
    <row r="379" spans="1:2" x14ac:dyDescent="0.2">
      <c r="A379" s="528">
        <v>42895</v>
      </c>
      <c r="B379" s="506">
        <v>279112</v>
      </c>
    </row>
    <row r="380" spans="1:2" x14ac:dyDescent="0.2">
      <c r="A380" s="528">
        <v>42898</v>
      </c>
      <c r="B380" s="506">
        <v>244072.02</v>
      </c>
    </row>
    <row r="381" spans="1:2" x14ac:dyDescent="0.2">
      <c r="A381" s="528">
        <v>42899</v>
      </c>
      <c r="B381" s="506">
        <v>249325.41</v>
      </c>
    </row>
    <row r="382" spans="1:2" x14ac:dyDescent="0.2">
      <c r="A382" s="528">
        <v>42900</v>
      </c>
      <c r="B382" s="506">
        <v>249325</v>
      </c>
    </row>
    <row r="383" spans="1:2" x14ac:dyDescent="0.2">
      <c r="A383" s="528">
        <v>42901</v>
      </c>
      <c r="B383" s="506">
        <v>252874.48</v>
      </c>
    </row>
    <row r="384" spans="1:2" x14ac:dyDescent="0.2">
      <c r="A384" s="528">
        <v>42902</v>
      </c>
      <c r="B384" s="506">
        <v>253128.65</v>
      </c>
    </row>
    <row r="385" spans="1:2" x14ac:dyDescent="0.2">
      <c r="A385" s="528">
        <v>42905</v>
      </c>
      <c r="B385" s="506">
        <v>255098.96</v>
      </c>
    </row>
    <row r="386" spans="1:2" x14ac:dyDescent="0.2">
      <c r="A386" s="528">
        <v>42906</v>
      </c>
      <c r="B386" s="506">
        <v>253521.42</v>
      </c>
    </row>
    <row r="387" spans="1:2" x14ac:dyDescent="0.2">
      <c r="A387" s="528">
        <v>42907</v>
      </c>
      <c r="B387" s="506">
        <v>253521</v>
      </c>
    </row>
    <row r="388" spans="1:2" x14ac:dyDescent="0.2">
      <c r="A388" s="528">
        <v>42908</v>
      </c>
      <c r="B388" s="506">
        <v>235912.36</v>
      </c>
    </row>
    <row r="389" spans="1:2" x14ac:dyDescent="0.2">
      <c r="A389" s="528">
        <v>42909</v>
      </c>
      <c r="B389" s="506">
        <v>235912</v>
      </c>
    </row>
    <row r="390" spans="1:2" x14ac:dyDescent="0.2">
      <c r="A390" s="528">
        <v>42912</v>
      </c>
      <c r="B390" s="564">
        <v>198879.76</v>
      </c>
    </row>
    <row r="391" spans="1:2" x14ac:dyDescent="0.2">
      <c r="A391" s="528">
        <v>42913</v>
      </c>
      <c r="B391" s="506">
        <v>199009.76</v>
      </c>
    </row>
    <row r="392" spans="1:2" x14ac:dyDescent="0.2">
      <c r="A392" s="528">
        <v>42914</v>
      </c>
      <c r="B392" s="506">
        <v>199010</v>
      </c>
    </row>
    <row r="393" spans="1:2" x14ac:dyDescent="0.2">
      <c r="A393" s="528">
        <v>42915</v>
      </c>
      <c r="B393" s="506">
        <v>210354</v>
      </c>
    </row>
    <row r="394" spans="1:2" x14ac:dyDescent="0.2">
      <c r="A394" s="528">
        <v>42916</v>
      </c>
      <c r="B394" s="506">
        <v>260779.62</v>
      </c>
    </row>
    <row r="395" spans="1:2" x14ac:dyDescent="0.2">
      <c r="A395" s="528">
        <v>42919</v>
      </c>
      <c r="B395" s="506">
        <v>260780</v>
      </c>
    </row>
    <row r="396" spans="1:2" x14ac:dyDescent="0.2">
      <c r="A396" s="528">
        <v>42920</v>
      </c>
      <c r="B396" s="506">
        <v>260780</v>
      </c>
    </row>
    <row r="397" spans="1:2" x14ac:dyDescent="0.2">
      <c r="A397" s="528">
        <v>42921</v>
      </c>
      <c r="B397" s="506">
        <v>260780</v>
      </c>
    </row>
    <row r="398" spans="1:2" x14ac:dyDescent="0.2">
      <c r="A398" s="528">
        <v>42922</v>
      </c>
      <c r="B398" s="506">
        <v>261774.11</v>
      </c>
    </row>
    <row r="399" spans="1:2" x14ac:dyDescent="0.2">
      <c r="A399" s="528">
        <v>42923</v>
      </c>
      <c r="B399" s="506">
        <v>261774</v>
      </c>
    </row>
    <row r="400" spans="1:2" x14ac:dyDescent="0.2">
      <c r="A400" s="528">
        <v>42926</v>
      </c>
      <c r="B400" s="506">
        <v>226950.89</v>
      </c>
    </row>
    <row r="401" spans="1:2" x14ac:dyDescent="0.2">
      <c r="A401" s="528">
        <v>42927</v>
      </c>
      <c r="B401" s="506">
        <v>226951</v>
      </c>
    </row>
    <row r="402" spans="1:2" x14ac:dyDescent="0.2">
      <c r="A402" s="528">
        <v>42928</v>
      </c>
      <c r="B402" s="506">
        <v>248711.94</v>
      </c>
    </row>
    <row r="403" spans="1:2" x14ac:dyDescent="0.2">
      <c r="A403" s="528">
        <v>42929</v>
      </c>
      <c r="B403" s="506">
        <v>256201.58</v>
      </c>
    </row>
    <row r="404" spans="1:2" x14ac:dyDescent="0.2">
      <c r="A404" s="528">
        <v>42930</v>
      </c>
      <c r="B404" s="506">
        <v>256272.97</v>
      </c>
    </row>
    <row r="405" spans="1:2" x14ac:dyDescent="0.2">
      <c r="A405" s="528">
        <v>42933</v>
      </c>
      <c r="B405" s="506">
        <v>256056.42</v>
      </c>
    </row>
    <row r="406" spans="1:2" x14ac:dyDescent="0.2">
      <c r="A406" s="528">
        <v>42934</v>
      </c>
      <c r="B406" s="506">
        <v>257213.96</v>
      </c>
    </row>
    <row r="407" spans="1:2" x14ac:dyDescent="0.2">
      <c r="A407" s="528">
        <v>42935</v>
      </c>
      <c r="B407" s="506">
        <v>257214</v>
      </c>
    </row>
    <row r="408" spans="1:2" x14ac:dyDescent="0.2">
      <c r="A408" s="528">
        <v>42936</v>
      </c>
      <c r="B408" s="506">
        <v>260075.5</v>
      </c>
    </row>
    <row r="409" spans="1:2" x14ac:dyDescent="0.2">
      <c r="A409" s="528">
        <v>42937</v>
      </c>
      <c r="B409" s="506">
        <v>339825.5</v>
      </c>
    </row>
    <row r="410" spans="1:2" x14ac:dyDescent="0.2">
      <c r="A410" s="528">
        <v>42940</v>
      </c>
      <c r="B410" s="506">
        <v>303182.65000000002</v>
      </c>
    </row>
    <row r="411" spans="1:2" x14ac:dyDescent="0.2">
      <c r="A411" s="528">
        <v>42941</v>
      </c>
      <c r="B411" s="506">
        <v>322340.12</v>
      </c>
    </row>
    <row r="412" spans="1:2" x14ac:dyDescent="0.2">
      <c r="A412" s="528">
        <v>42942</v>
      </c>
      <c r="B412" s="506">
        <v>322340</v>
      </c>
    </row>
    <row r="413" spans="1:2" x14ac:dyDescent="0.2">
      <c r="A413" s="528">
        <v>42943</v>
      </c>
      <c r="B413" s="506">
        <v>308772.78999999998</v>
      </c>
    </row>
    <row r="414" spans="1:2" x14ac:dyDescent="0.2">
      <c r="A414" s="528">
        <v>42944</v>
      </c>
      <c r="B414" s="506">
        <v>317343.40999999997</v>
      </c>
    </row>
    <row r="415" spans="1:2" x14ac:dyDescent="0.2">
      <c r="A415" s="528">
        <v>42947</v>
      </c>
      <c r="B415" s="506">
        <v>317343</v>
      </c>
    </row>
    <row r="416" spans="1:2" x14ac:dyDescent="0.2">
      <c r="A416" s="528">
        <v>42948</v>
      </c>
      <c r="B416" s="506">
        <v>369152.35</v>
      </c>
    </row>
    <row r="417" spans="1:2" x14ac:dyDescent="0.2">
      <c r="A417" s="528">
        <v>42949</v>
      </c>
      <c r="B417" s="506">
        <v>371061.94</v>
      </c>
    </row>
    <row r="418" spans="1:2" x14ac:dyDescent="0.2">
      <c r="A418" s="528">
        <v>42950</v>
      </c>
      <c r="B418" s="506">
        <v>372080.87</v>
      </c>
    </row>
    <row r="419" spans="1:2" x14ac:dyDescent="0.2">
      <c r="A419" s="528">
        <v>42951</v>
      </c>
      <c r="B419" s="506">
        <v>372080.87</v>
      </c>
    </row>
    <row r="420" spans="1:2" x14ac:dyDescent="0.2">
      <c r="A420" s="528">
        <v>42954</v>
      </c>
      <c r="B420" s="506">
        <v>336189.47</v>
      </c>
    </row>
    <row r="421" spans="1:2" x14ac:dyDescent="0.2">
      <c r="A421" s="528">
        <v>42955</v>
      </c>
      <c r="B421" s="506">
        <v>340998.07</v>
      </c>
    </row>
    <row r="422" spans="1:2" x14ac:dyDescent="0.2">
      <c r="A422" s="528">
        <v>42956</v>
      </c>
      <c r="B422" s="506">
        <v>332763.65000000002</v>
      </c>
    </row>
    <row r="423" spans="1:2" x14ac:dyDescent="0.2">
      <c r="A423" s="528">
        <v>42957</v>
      </c>
      <c r="B423" s="506">
        <v>375651.45</v>
      </c>
    </row>
    <row r="424" spans="1:2" x14ac:dyDescent="0.2">
      <c r="A424" s="528">
        <v>42958</v>
      </c>
      <c r="B424" s="506">
        <v>378293.21</v>
      </c>
    </row>
    <row r="425" spans="1:2" x14ac:dyDescent="0.2">
      <c r="A425" s="528">
        <v>42961</v>
      </c>
      <c r="B425" s="506">
        <v>378293</v>
      </c>
    </row>
    <row r="426" spans="1:2" x14ac:dyDescent="0.2">
      <c r="A426" s="528">
        <v>42962</v>
      </c>
      <c r="B426" s="506">
        <v>401190.06</v>
      </c>
    </row>
    <row r="427" spans="1:2" x14ac:dyDescent="0.2">
      <c r="A427" s="528">
        <v>42963</v>
      </c>
      <c r="B427" s="506">
        <v>401190</v>
      </c>
    </row>
    <row r="428" spans="1:2" x14ac:dyDescent="0.2">
      <c r="A428" s="528">
        <v>42964</v>
      </c>
      <c r="B428" s="506">
        <v>401569.72</v>
      </c>
    </row>
    <row r="429" spans="1:2" x14ac:dyDescent="0.2">
      <c r="A429" s="528">
        <v>42965</v>
      </c>
      <c r="B429" s="506">
        <v>403837.72</v>
      </c>
    </row>
    <row r="430" spans="1:2" x14ac:dyDescent="0.2">
      <c r="A430" s="528">
        <v>42968</v>
      </c>
      <c r="B430" s="506">
        <v>369495.17</v>
      </c>
    </row>
    <row r="431" spans="1:2" x14ac:dyDescent="0.2">
      <c r="A431" s="528">
        <v>42969</v>
      </c>
      <c r="B431" s="506">
        <v>379169.06</v>
      </c>
    </row>
    <row r="432" spans="1:2" x14ac:dyDescent="0.2">
      <c r="A432" s="528">
        <v>42970</v>
      </c>
      <c r="B432" s="506">
        <v>379169</v>
      </c>
    </row>
    <row r="433" spans="1:2" x14ac:dyDescent="0.2">
      <c r="A433" s="528">
        <v>42971</v>
      </c>
      <c r="B433" s="506">
        <v>372540.41</v>
      </c>
    </row>
    <row r="434" spans="1:2" x14ac:dyDescent="0.2">
      <c r="A434" s="528">
        <v>42972</v>
      </c>
      <c r="B434" s="506">
        <v>372540</v>
      </c>
    </row>
    <row r="435" spans="1:2" x14ac:dyDescent="0.2">
      <c r="A435" s="528">
        <v>42975</v>
      </c>
      <c r="B435" s="506">
        <v>372540</v>
      </c>
    </row>
    <row r="436" spans="1:2" x14ac:dyDescent="0.2">
      <c r="A436" s="528">
        <v>42976</v>
      </c>
      <c r="B436" s="506">
        <v>374625.25</v>
      </c>
    </row>
    <row r="437" spans="1:2" x14ac:dyDescent="0.2">
      <c r="A437" s="528">
        <v>42977</v>
      </c>
      <c r="B437" s="506">
        <v>382658.46</v>
      </c>
    </row>
    <row r="438" spans="1:2" x14ac:dyDescent="0.2">
      <c r="A438" s="528">
        <v>42978</v>
      </c>
      <c r="B438" s="506">
        <v>389160.26</v>
      </c>
    </row>
    <row r="439" spans="1:2" x14ac:dyDescent="0.2">
      <c r="A439" s="528">
        <v>42979</v>
      </c>
      <c r="B439" s="506">
        <v>389160</v>
      </c>
    </row>
    <row r="440" spans="1:2" x14ac:dyDescent="0.2">
      <c r="A440" s="528">
        <v>42982</v>
      </c>
      <c r="B440" s="506">
        <v>389160</v>
      </c>
    </row>
    <row r="441" spans="1:2" x14ac:dyDescent="0.2">
      <c r="A441" s="528">
        <v>42983</v>
      </c>
      <c r="B441" s="506">
        <v>352908.42</v>
      </c>
    </row>
    <row r="442" spans="1:2" x14ac:dyDescent="0.2">
      <c r="A442" s="528">
        <v>42984</v>
      </c>
      <c r="B442" s="506">
        <v>383959.41</v>
      </c>
    </row>
    <row r="443" spans="1:2" x14ac:dyDescent="0.2">
      <c r="A443" s="528">
        <v>42985</v>
      </c>
      <c r="B443" s="506">
        <v>403148.81</v>
      </c>
    </row>
    <row r="444" spans="1:2" x14ac:dyDescent="0.2">
      <c r="A444" s="528">
        <v>42986</v>
      </c>
      <c r="B444" s="506">
        <v>403344.11</v>
      </c>
    </row>
    <row r="445" spans="1:2" x14ac:dyDescent="0.2">
      <c r="A445" s="528">
        <v>42989</v>
      </c>
      <c r="B445" s="506">
        <v>403344</v>
      </c>
    </row>
    <row r="446" spans="1:2" x14ac:dyDescent="0.2">
      <c r="A446" s="528">
        <v>42990</v>
      </c>
      <c r="B446" s="506">
        <v>403344</v>
      </c>
    </row>
    <row r="447" spans="1:2" x14ac:dyDescent="0.2">
      <c r="A447" s="528">
        <v>42991</v>
      </c>
      <c r="B447" s="506">
        <v>403344</v>
      </c>
    </row>
    <row r="448" spans="1:2" x14ac:dyDescent="0.2">
      <c r="A448" s="528">
        <v>42992</v>
      </c>
      <c r="B448" s="506">
        <v>400016.8</v>
      </c>
    </row>
    <row r="449" spans="1:2" x14ac:dyDescent="0.2">
      <c r="A449" s="528">
        <v>42993</v>
      </c>
      <c r="B449" s="506">
        <v>400134.96</v>
      </c>
    </row>
    <row r="450" spans="1:2" x14ac:dyDescent="0.2">
      <c r="A450" s="528">
        <v>42996</v>
      </c>
      <c r="B450" s="506">
        <v>364805.11</v>
      </c>
    </row>
    <row r="451" spans="1:2" x14ac:dyDescent="0.2">
      <c r="A451" s="528">
        <v>42997</v>
      </c>
      <c r="B451" s="506">
        <v>364805</v>
      </c>
    </row>
    <row r="452" spans="1:2" x14ac:dyDescent="0.2">
      <c r="A452" s="528">
        <v>42998</v>
      </c>
      <c r="B452" s="506">
        <v>371804.33</v>
      </c>
    </row>
    <row r="453" spans="1:2" x14ac:dyDescent="0.2">
      <c r="A453" s="528">
        <v>42999</v>
      </c>
      <c r="B453" s="506">
        <v>370759.85</v>
      </c>
    </row>
    <row r="454" spans="1:2" x14ac:dyDescent="0.2">
      <c r="A454" s="528">
        <v>43000</v>
      </c>
      <c r="B454" s="506">
        <v>389878.66</v>
      </c>
    </row>
    <row r="455" spans="1:2" x14ac:dyDescent="0.2">
      <c r="A455" s="528">
        <v>43003</v>
      </c>
      <c r="B455" s="506">
        <v>393013.02</v>
      </c>
    </row>
    <row r="456" spans="1:2" x14ac:dyDescent="0.2">
      <c r="A456" s="528">
        <v>43004</v>
      </c>
      <c r="B456" s="506">
        <v>393593.22</v>
      </c>
    </row>
    <row r="457" spans="1:2" x14ac:dyDescent="0.2">
      <c r="A457" s="528">
        <v>43005</v>
      </c>
      <c r="B457" s="506">
        <v>393593</v>
      </c>
    </row>
    <row r="458" spans="1:2" x14ac:dyDescent="0.2">
      <c r="A458" s="528">
        <v>43006</v>
      </c>
      <c r="B458" s="506">
        <v>385433.95</v>
      </c>
    </row>
    <row r="459" spans="1:2" x14ac:dyDescent="0.2">
      <c r="A459" s="528">
        <v>43007</v>
      </c>
      <c r="B459" s="506">
        <v>385678.15</v>
      </c>
    </row>
    <row r="460" spans="1:2" x14ac:dyDescent="0.2">
      <c r="A460" s="528">
        <v>43010</v>
      </c>
      <c r="B460" s="506">
        <v>350949.28</v>
      </c>
    </row>
    <row r="461" spans="1:2" x14ac:dyDescent="0.2">
      <c r="A461" s="528">
        <v>43011</v>
      </c>
      <c r="B461" s="506">
        <v>352010.98</v>
      </c>
    </row>
    <row r="462" spans="1:2" x14ac:dyDescent="0.2">
      <c r="A462" s="528">
        <v>43012</v>
      </c>
      <c r="B462" s="506">
        <v>352011</v>
      </c>
    </row>
    <row r="463" spans="1:2" x14ac:dyDescent="0.2">
      <c r="A463" s="528">
        <v>43013</v>
      </c>
      <c r="B463" s="506">
        <v>348679</v>
      </c>
    </row>
    <row r="464" spans="1:2" x14ac:dyDescent="0.2">
      <c r="A464" s="528">
        <v>43014</v>
      </c>
      <c r="B464" s="506">
        <v>348679</v>
      </c>
    </row>
    <row r="465" spans="1:2" x14ac:dyDescent="0.2">
      <c r="A465" s="528">
        <v>43017</v>
      </c>
      <c r="B465" s="506">
        <v>348679</v>
      </c>
    </row>
    <row r="466" spans="1:2" x14ac:dyDescent="0.2">
      <c r="A466" s="528">
        <v>43018</v>
      </c>
      <c r="B466" s="506">
        <v>348679</v>
      </c>
    </row>
    <row r="467" spans="1:2" x14ac:dyDescent="0.2">
      <c r="A467" s="528">
        <v>43019</v>
      </c>
      <c r="B467" s="506">
        <v>348761.24</v>
      </c>
    </row>
    <row r="468" spans="1:2" x14ac:dyDescent="0.2">
      <c r="A468" s="528">
        <v>43020</v>
      </c>
      <c r="B468" s="506">
        <v>349998.26</v>
      </c>
    </row>
    <row r="469" spans="1:2" x14ac:dyDescent="0.2">
      <c r="A469" s="528">
        <v>43021</v>
      </c>
      <c r="B469" s="506">
        <v>370561.14</v>
      </c>
    </row>
    <row r="470" spans="1:2" x14ac:dyDescent="0.2">
      <c r="A470" s="528">
        <v>43024</v>
      </c>
      <c r="B470" s="506">
        <v>336220.14</v>
      </c>
    </row>
    <row r="471" spans="1:2" x14ac:dyDescent="0.2">
      <c r="A471" s="528">
        <v>43025</v>
      </c>
      <c r="B471" s="506">
        <v>336332.14</v>
      </c>
    </row>
    <row r="472" spans="1:2" x14ac:dyDescent="0.2">
      <c r="A472" s="528">
        <v>43026</v>
      </c>
      <c r="B472" s="506">
        <v>336332</v>
      </c>
    </row>
    <row r="473" spans="1:2" x14ac:dyDescent="0.2">
      <c r="A473" s="528">
        <v>43027</v>
      </c>
      <c r="B473" s="506">
        <v>339185.02</v>
      </c>
    </row>
    <row r="474" spans="1:2" x14ac:dyDescent="0.2">
      <c r="A474" s="528">
        <v>43028</v>
      </c>
      <c r="B474" s="506">
        <v>344936.35</v>
      </c>
    </row>
    <row r="475" spans="1:2" x14ac:dyDescent="0.2">
      <c r="A475" s="528">
        <v>43031</v>
      </c>
      <c r="B475" s="506">
        <v>344564.68</v>
      </c>
    </row>
    <row r="476" spans="1:2" x14ac:dyDescent="0.2">
      <c r="A476" s="528">
        <v>43032</v>
      </c>
      <c r="B476" s="506">
        <v>344565</v>
      </c>
    </row>
    <row r="477" spans="1:2" x14ac:dyDescent="0.2">
      <c r="A477" s="528">
        <v>43033</v>
      </c>
      <c r="B477" s="506">
        <v>344829.18</v>
      </c>
    </row>
    <row r="478" spans="1:2" x14ac:dyDescent="0.2">
      <c r="A478" s="528">
        <v>43034</v>
      </c>
      <c r="B478" s="506">
        <v>339942.05</v>
      </c>
    </row>
    <row r="479" spans="1:2" x14ac:dyDescent="0.2">
      <c r="A479" s="528">
        <v>43035</v>
      </c>
      <c r="B479" s="506">
        <v>360185.72</v>
      </c>
    </row>
    <row r="480" spans="1:2" x14ac:dyDescent="0.2">
      <c r="A480" s="528">
        <v>43038</v>
      </c>
      <c r="B480" s="506">
        <v>323067.73</v>
      </c>
    </row>
    <row r="481" spans="1:2" x14ac:dyDescent="0.2">
      <c r="A481" s="528">
        <v>43039</v>
      </c>
      <c r="B481" s="506">
        <v>323197.73</v>
      </c>
    </row>
    <row r="482" spans="1:2" x14ac:dyDescent="0.2">
      <c r="A482" s="528">
        <v>43040</v>
      </c>
      <c r="B482" s="506">
        <v>323198</v>
      </c>
    </row>
    <row r="483" spans="1:2" x14ac:dyDescent="0.2">
      <c r="A483" s="528">
        <v>43041</v>
      </c>
      <c r="B483" s="506">
        <v>341044.7</v>
      </c>
    </row>
    <row r="484" spans="1:2" x14ac:dyDescent="0.2">
      <c r="A484" s="528">
        <v>43042</v>
      </c>
      <c r="B484" s="506">
        <v>341676.17</v>
      </c>
    </row>
    <row r="485" spans="1:2" x14ac:dyDescent="0.2">
      <c r="A485" s="528">
        <v>43045</v>
      </c>
      <c r="B485" s="506">
        <v>341676</v>
      </c>
    </row>
    <row r="486" spans="1:2" x14ac:dyDescent="0.2">
      <c r="A486" s="528">
        <v>43046</v>
      </c>
      <c r="B486" s="506">
        <v>341676</v>
      </c>
    </row>
    <row r="487" spans="1:2" x14ac:dyDescent="0.2">
      <c r="A487" s="528">
        <v>43047</v>
      </c>
      <c r="B487" s="506">
        <v>379863.97</v>
      </c>
    </row>
    <row r="488" spans="1:2" x14ac:dyDescent="0.2">
      <c r="A488" s="528">
        <v>43048</v>
      </c>
      <c r="B488" s="506">
        <v>378842.06</v>
      </c>
    </row>
    <row r="489" spans="1:2" x14ac:dyDescent="0.2">
      <c r="A489" s="528">
        <v>43049</v>
      </c>
      <c r="B489" s="506">
        <v>378842</v>
      </c>
    </row>
    <row r="490" spans="1:2" x14ac:dyDescent="0.2">
      <c r="A490" s="528">
        <v>43052</v>
      </c>
      <c r="B490" s="506">
        <v>340784.14</v>
      </c>
    </row>
    <row r="491" spans="1:2" x14ac:dyDescent="0.2">
      <c r="A491" s="528">
        <v>43053</v>
      </c>
      <c r="B491" s="506">
        <v>340784</v>
      </c>
    </row>
    <row r="492" spans="1:2" x14ac:dyDescent="0.2">
      <c r="A492" s="528">
        <v>43054</v>
      </c>
      <c r="B492" s="506">
        <v>340895.76</v>
      </c>
    </row>
    <row r="493" spans="1:2" x14ac:dyDescent="0.2">
      <c r="A493" s="528">
        <v>43055</v>
      </c>
      <c r="B493" s="506">
        <v>354246.44</v>
      </c>
    </row>
    <row r="494" spans="1:2" x14ac:dyDescent="0.2">
      <c r="A494" s="528">
        <v>43056</v>
      </c>
      <c r="B494" s="506">
        <v>354246.44</v>
      </c>
    </row>
    <row r="495" spans="1:2" x14ac:dyDescent="0.2">
      <c r="A495" s="528">
        <v>43059</v>
      </c>
      <c r="B495" s="506">
        <v>354264.44</v>
      </c>
    </row>
    <row r="496" spans="1:2" x14ac:dyDescent="0.2">
      <c r="A496" s="528">
        <v>43060</v>
      </c>
      <c r="B496" s="506">
        <v>354264</v>
      </c>
    </row>
    <row r="497" spans="1:2" x14ac:dyDescent="0.2">
      <c r="A497" s="528">
        <v>43061</v>
      </c>
      <c r="B497" s="506">
        <v>357804.55</v>
      </c>
    </row>
    <row r="498" spans="1:2" x14ac:dyDescent="0.2">
      <c r="A498" s="528">
        <v>43062</v>
      </c>
      <c r="B498" s="506">
        <v>357805</v>
      </c>
    </row>
    <row r="499" spans="1:2" x14ac:dyDescent="0.2">
      <c r="A499" s="528">
        <v>43063</v>
      </c>
      <c r="B499" s="506">
        <v>361119.05</v>
      </c>
    </row>
    <row r="500" spans="1:2" x14ac:dyDescent="0.2">
      <c r="A500" s="528">
        <v>43066</v>
      </c>
      <c r="B500" s="506">
        <v>318415.71000000002</v>
      </c>
    </row>
    <row r="501" spans="1:2" x14ac:dyDescent="0.2">
      <c r="A501" s="528">
        <v>43067</v>
      </c>
      <c r="B501" s="506">
        <v>320237.53999999998</v>
      </c>
    </row>
    <row r="502" spans="1:2" x14ac:dyDescent="0.2">
      <c r="A502" s="528">
        <v>43068</v>
      </c>
      <c r="B502" s="506">
        <v>320237.53999999998</v>
      </c>
    </row>
    <row r="503" spans="1:2" x14ac:dyDescent="0.2">
      <c r="A503" s="528">
        <v>43069</v>
      </c>
      <c r="B503" s="506">
        <v>325286.46999999997</v>
      </c>
    </row>
    <row r="504" spans="1:2" x14ac:dyDescent="0.2">
      <c r="A504" s="528">
        <v>43070</v>
      </c>
      <c r="B504" s="506">
        <v>334247.03000000003</v>
      </c>
    </row>
    <row r="505" spans="1:2" x14ac:dyDescent="0.2">
      <c r="A505" s="528">
        <v>43073</v>
      </c>
      <c r="B505" s="506">
        <v>334247</v>
      </c>
    </row>
    <row r="506" spans="1:2" x14ac:dyDescent="0.2">
      <c r="A506" s="528">
        <v>43074</v>
      </c>
      <c r="B506" s="506">
        <v>334247.03000000003</v>
      </c>
    </row>
    <row r="507" spans="1:2" x14ac:dyDescent="0.2">
      <c r="A507" s="528">
        <v>43075</v>
      </c>
      <c r="B507" s="506">
        <v>334247</v>
      </c>
    </row>
    <row r="508" spans="1:2" x14ac:dyDescent="0.2">
      <c r="A508" s="528">
        <v>43076</v>
      </c>
      <c r="B508" s="506">
        <v>323171.46000000002</v>
      </c>
    </row>
    <row r="509" spans="1:2" x14ac:dyDescent="0.2">
      <c r="A509" s="528">
        <v>43077</v>
      </c>
      <c r="B509" s="506">
        <v>324229.90999999997</v>
      </c>
    </row>
    <row r="510" spans="1:2" x14ac:dyDescent="0.2">
      <c r="A510" s="528">
        <v>43080</v>
      </c>
      <c r="B510" s="506">
        <v>324230</v>
      </c>
    </row>
    <row r="511" spans="1:2" x14ac:dyDescent="0.2">
      <c r="A511" s="528">
        <v>43081</v>
      </c>
      <c r="B511" s="506">
        <v>286030.39</v>
      </c>
    </row>
    <row r="512" spans="1:2" x14ac:dyDescent="0.2">
      <c r="A512" s="528">
        <v>43082</v>
      </c>
      <c r="B512" s="506">
        <v>286197.44</v>
      </c>
    </row>
    <row r="513" spans="1:14" x14ac:dyDescent="0.2">
      <c r="A513" s="528">
        <v>43083</v>
      </c>
      <c r="B513" s="506">
        <v>280065.2</v>
      </c>
    </row>
    <row r="514" spans="1:14" x14ac:dyDescent="0.2">
      <c r="A514" s="528">
        <v>43084</v>
      </c>
      <c r="B514" s="506">
        <v>284409.09999999998</v>
      </c>
    </row>
    <row r="515" spans="1:14" x14ac:dyDescent="0.2">
      <c r="A515" s="528">
        <v>43087</v>
      </c>
      <c r="B515" s="506">
        <v>285119.09999999998</v>
      </c>
    </row>
    <row r="516" spans="1:14" x14ac:dyDescent="0.2">
      <c r="A516" s="528">
        <v>43088</v>
      </c>
      <c r="B516" s="506">
        <v>285395.49</v>
      </c>
    </row>
    <row r="517" spans="1:14" x14ac:dyDescent="0.2">
      <c r="A517" s="528">
        <v>43089</v>
      </c>
      <c r="B517" s="506">
        <v>285395</v>
      </c>
    </row>
    <row r="518" spans="1:14" x14ac:dyDescent="0.2">
      <c r="A518" s="528">
        <v>43090</v>
      </c>
      <c r="B518" s="506">
        <v>285542.49</v>
      </c>
    </row>
    <row r="519" spans="1:14" x14ac:dyDescent="0.2">
      <c r="A519" s="528">
        <v>43091</v>
      </c>
      <c r="B519" s="506">
        <v>285542</v>
      </c>
    </row>
    <row r="520" spans="1:14" x14ac:dyDescent="0.2">
      <c r="A520" s="528">
        <v>43094</v>
      </c>
      <c r="B520" s="506">
        <v>285542</v>
      </c>
    </row>
    <row r="521" spans="1:14" x14ac:dyDescent="0.2">
      <c r="A521" s="528">
        <v>43095</v>
      </c>
      <c r="B521" s="506">
        <v>248584.72</v>
      </c>
    </row>
    <row r="522" spans="1:14" x14ac:dyDescent="0.2">
      <c r="A522" s="528">
        <v>43096</v>
      </c>
      <c r="B522" s="506">
        <v>248585</v>
      </c>
    </row>
    <row r="523" spans="1:14" x14ac:dyDescent="0.2">
      <c r="A523" s="528">
        <v>43097</v>
      </c>
      <c r="B523" s="506">
        <v>270685.83</v>
      </c>
    </row>
    <row r="524" spans="1:14" x14ac:dyDescent="0.2">
      <c r="A524" s="528">
        <v>43098</v>
      </c>
      <c r="B524" s="506">
        <v>282558.58</v>
      </c>
    </row>
    <row r="525" spans="1:14" x14ac:dyDescent="0.2">
      <c r="A525" s="528">
        <v>43101</v>
      </c>
      <c r="B525" s="506">
        <v>282559</v>
      </c>
      <c r="F525" s="508"/>
      <c r="G525" t="s">
        <v>193</v>
      </c>
      <c r="H525" t="s">
        <v>222</v>
      </c>
      <c r="J525" t="s">
        <v>378</v>
      </c>
      <c r="K525" t="s">
        <v>222</v>
      </c>
      <c r="N525">
        <f>0.034</f>
        <v>3.4000000000000002E-2</v>
      </c>
    </row>
    <row r="526" spans="1:14" x14ac:dyDescent="0.2">
      <c r="A526" s="528">
        <v>43102</v>
      </c>
      <c r="B526" s="506">
        <v>282508.58</v>
      </c>
      <c r="F526" s="508">
        <v>42370</v>
      </c>
      <c r="G526" s="509">
        <v>369484</v>
      </c>
      <c r="H526" s="611">
        <v>31036</v>
      </c>
      <c r="J526" s="508">
        <v>42461</v>
      </c>
      <c r="K526" s="611">
        <v>151036</v>
      </c>
      <c r="N526" s="712">
        <f>K526*N525/12 +K526</f>
        <v>151463.93533333333</v>
      </c>
    </row>
    <row r="527" spans="1:14" x14ac:dyDescent="0.2">
      <c r="A527" s="528">
        <v>43103</v>
      </c>
      <c r="B527" s="506">
        <v>282509</v>
      </c>
      <c r="F527" s="508">
        <v>42401</v>
      </c>
      <c r="G527" s="509">
        <v>295493.53000000003</v>
      </c>
      <c r="H527" s="611">
        <v>31035.72</v>
      </c>
      <c r="J527" s="508">
        <v>42491</v>
      </c>
      <c r="K527" s="611">
        <v>151087.09</v>
      </c>
      <c r="N527" s="712">
        <f>N$525*N526/12 +N526</f>
        <v>151893.08315011111</v>
      </c>
    </row>
    <row r="528" spans="1:14" x14ac:dyDescent="0.2">
      <c r="A528" s="528">
        <v>43104</v>
      </c>
      <c r="B528" s="506">
        <v>283213.14</v>
      </c>
      <c r="F528" s="508">
        <v>42430</v>
      </c>
      <c r="G528" s="509">
        <v>255865.07</v>
      </c>
      <c r="H528" s="611">
        <v>151035.72</v>
      </c>
      <c r="J528" s="508">
        <v>42551</v>
      </c>
      <c r="K528" s="611">
        <v>151336.84</v>
      </c>
      <c r="N528" s="712">
        <f t="shared" ref="N528:N577" si="3">N$525*N527/12 +N527</f>
        <v>152323.4468857031</v>
      </c>
    </row>
    <row r="529" spans="1:14" x14ac:dyDescent="0.2">
      <c r="A529" s="528">
        <v>43105</v>
      </c>
      <c r="B529" s="506">
        <v>297779.06</v>
      </c>
      <c r="F529" s="508">
        <v>42461</v>
      </c>
      <c r="G529" s="509">
        <v>294098.96000000002</v>
      </c>
      <c r="H529" s="611">
        <v>151036</v>
      </c>
      <c r="J529" s="508">
        <v>42582</v>
      </c>
      <c r="K529" s="611">
        <v>151611.29999999999</v>
      </c>
      <c r="N529" s="712">
        <f t="shared" si="3"/>
        <v>152755.0299852126</v>
      </c>
    </row>
    <row r="530" spans="1:14" x14ac:dyDescent="0.2">
      <c r="A530" s="528">
        <v>43108</v>
      </c>
      <c r="B530" s="506">
        <v>263886.2</v>
      </c>
      <c r="F530" s="508">
        <v>42491</v>
      </c>
      <c r="G530" s="509">
        <v>333922.02</v>
      </c>
      <c r="H530" s="611">
        <v>151087.09</v>
      </c>
      <c r="J530" s="508">
        <v>42583</v>
      </c>
      <c r="K530" s="611">
        <v>151776.70000000001</v>
      </c>
      <c r="N530" s="712">
        <f t="shared" si="3"/>
        <v>153187.83590350405</v>
      </c>
    </row>
    <row r="531" spans="1:14" x14ac:dyDescent="0.2">
      <c r="A531" s="528">
        <v>43109</v>
      </c>
      <c r="B531" s="506">
        <v>277030.96999999997</v>
      </c>
      <c r="F531" s="508">
        <v>42551</v>
      </c>
      <c r="G531" s="509">
        <v>384005.8</v>
      </c>
      <c r="H531" s="611">
        <v>151336.84</v>
      </c>
      <c r="J531" s="508">
        <v>42614</v>
      </c>
      <c r="K531" s="611">
        <v>151844.44</v>
      </c>
      <c r="N531" s="712">
        <f t="shared" si="3"/>
        <v>153621.86810523065</v>
      </c>
    </row>
    <row r="532" spans="1:14" x14ac:dyDescent="0.2">
      <c r="A532" s="528">
        <v>43110</v>
      </c>
      <c r="B532" s="506">
        <v>277031</v>
      </c>
      <c r="F532" s="508">
        <v>42582</v>
      </c>
      <c r="G532" s="509">
        <v>292004.15999999997</v>
      </c>
      <c r="H532" s="611">
        <v>151611.29999999999</v>
      </c>
      <c r="J532" s="508">
        <v>42644</v>
      </c>
      <c r="K532" s="611">
        <v>152036.04</v>
      </c>
      <c r="N532" s="712">
        <f t="shared" si="3"/>
        <v>154057.13006486214</v>
      </c>
    </row>
    <row r="533" spans="1:14" x14ac:dyDescent="0.2">
      <c r="A533" s="528">
        <v>43111</v>
      </c>
      <c r="B533" s="506">
        <v>281394.14</v>
      </c>
      <c r="F533" s="508">
        <v>42583</v>
      </c>
      <c r="G533" s="509">
        <v>182562.29</v>
      </c>
      <c r="H533" s="611">
        <v>151776.70000000001</v>
      </c>
      <c r="J533" s="508">
        <v>42675</v>
      </c>
      <c r="K533" s="611">
        <v>152464.91</v>
      </c>
      <c r="N533" s="712">
        <f t="shared" si="3"/>
        <v>154493.6252667126</v>
      </c>
    </row>
    <row r="534" spans="1:14" x14ac:dyDescent="0.2">
      <c r="A534" s="528">
        <v>43112</v>
      </c>
      <c r="B534" s="506">
        <v>281470.18</v>
      </c>
      <c r="F534" s="508">
        <v>42614</v>
      </c>
      <c r="G534" s="509">
        <v>242442.87</v>
      </c>
      <c r="H534" s="611">
        <v>151844.44</v>
      </c>
      <c r="J534" s="508">
        <v>42705</v>
      </c>
      <c r="K534" s="611">
        <v>154533.13</v>
      </c>
      <c r="N534" s="712">
        <f t="shared" si="3"/>
        <v>154931.35720496828</v>
      </c>
    </row>
    <row r="535" spans="1:14" x14ac:dyDescent="0.2">
      <c r="A535" s="528">
        <v>43115</v>
      </c>
      <c r="B535" s="506">
        <v>281470</v>
      </c>
      <c r="F535" s="508">
        <v>42644</v>
      </c>
      <c r="G535" s="509">
        <v>247104.37</v>
      </c>
      <c r="H535" s="611">
        <v>152036.04</v>
      </c>
      <c r="J535" s="508">
        <v>42736</v>
      </c>
      <c r="K535" s="611">
        <v>155633.59</v>
      </c>
      <c r="N535" s="712">
        <f t="shared" si="3"/>
        <v>155370.3293837157</v>
      </c>
    </row>
    <row r="536" spans="1:14" x14ac:dyDescent="0.2">
      <c r="A536" s="528">
        <v>43116</v>
      </c>
      <c r="B536" s="506">
        <v>284325.94</v>
      </c>
      <c r="F536" s="508">
        <v>42675</v>
      </c>
      <c r="G536" s="509">
        <v>246462.95</v>
      </c>
      <c r="H536" s="611">
        <v>152464.91</v>
      </c>
      <c r="J536" s="508">
        <v>42767</v>
      </c>
      <c r="K536" s="611">
        <v>158448.25</v>
      </c>
      <c r="N536" s="712">
        <f t="shared" si="3"/>
        <v>155810.54531696957</v>
      </c>
    </row>
    <row r="537" spans="1:14" x14ac:dyDescent="0.2">
      <c r="A537" s="528">
        <v>43117</v>
      </c>
      <c r="B537" s="506">
        <v>305911.78000000003</v>
      </c>
      <c r="F537" s="508">
        <v>42705</v>
      </c>
      <c r="G537" s="509">
        <v>249839.51</v>
      </c>
      <c r="H537" s="611">
        <v>154533.13</v>
      </c>
      <c r="J537" s="508">
        <v>42795</v>
      </c>
      <c r="K537" s="611">
        <v>159113.29</v>
      </c>
      <c r="N537" s="712">
        <f t="shared" si="3"/>
        <v>156252.00852870097</v>
      </c>
    </row>
    <row r="538" spans="1:14" x14ac:dyDescent="0.2">
      <c r="A538" s="528">
        <v>43118</v>
      </c>
      <c r="B538" s="506">
        <v>305752.93</v>
      </c>
      <c r="F538" s="508">
        <v>42736</v>
      </c>
      <c r="G538" s="509">
        <v>351420</v>
      </c>
      <c r="H538" s="611">
        <v>155633.59</v>
      </c>
      <c r="J538" s="508">
        <v>42826</v>
      </c>
      <c r="K538" s="611">
        <v>159614.53</v>
      </c>
      <c r="N538" s="712">
        <f t="shared" si="3"/>
        <v>156694.72255286563</v>
      </c>
    </row>
    <row r="539" spans="1:14" x14ac:dyDescent="0.2">
      <c r="A539" s="528">
        <v>43119</v>
      </c>
      <c r="B539" s="506">
        <v>332730.14</v>
      </c>
      <c r="F539" s="508">
        <v>42767</v>
      </c>
      <c r="G539" s="509">
        <v>253330</v>
      </c>
      <c r="H539" s="611">
        <v>158448.25</v>
      </c>
      <c r="J539" s="508">
        <v>42856</v>
      </c>
      <c r="K539" s="611">
        <v>160436.21</v>
      </c>
      <c r="N539" s="712">
        <f t="shared" si="3"/>
        <v>157138.69093343208</v>
      </c>
    </row>
    <row r="540" spans="1:14" x14ac:dyDescent="0.2">
      <c r="A540" s="528">
        <v>43122</v>
      </c>
      <c r="B540" s="506">
        <v>291419.49</v>
      </c>
      <c r="F540" s="508">
        <v>42795</v>
      </c>
      <c r="G540" s="509">
        <v>280744</v>
      </c>
      <c r="H540" s="611">
        <v>159113.29</v>
      </c>
      <c r="J540" s="508">
        <v>42887</v>
      </c>
      <c r="K540" s="611">
        <v>160443.22</v>
      </c>
      <c r="N540" s="712">
        <f t="shared" si="3"/>
        <v>157583.91722441014</v>
      </c>
    </row>
    <row r="541" spans="1:14" x14ac:dyDescent="0.2">
      <c r="A541" s="528">
        <v>43123</v>
      </c>
      <c r="B541" s="506">
        <v>293419.65000000002</v>
      </c>
      <c r="F541" s="508">
        <v>42826</v>
      </c>
      <c r="G541" s="509">
        <v>319478.15999999997</v>
      </c>
      <c r="H541" s="611">
        <v>159614.53</v>
      </c>
      <c r="J541" s="508">
        <v>42917</v>
      </c>
      <c r="K541" s="611">
        <v>161526.35999999999</v>
      </c>
      <c r="N541" s="712">
        <f t="shared" si="3"/>
        <v>158030.40498987929</v>
      </c>
    </row>
    <row r="542" spans="1:14" x14ac:dyDescent="0.2">
      <c r="A542" s="528">
        <v>43124</v>
      </c>
      <c r="B542" s="506">
        <v>293420</v>
      </c>
      <c r="F542" s="508">
        <v>42856</v>
      </c>
      <c r="G542" s="509">
        <v>241828.1</v>
      </c>
      <c r="H542" s="611">
        <v>160436.21</v>
      </c>
      <c r="J542" s="508">
        <v>42948</v>
      </c>
      <c r="K542" s="611">
        <v>162013.01</v>
      </c>
      <c r="N542" s="712">
        <f t="shared" si="3"/>
        <v>158478.15780401728</v>
      </c>
    </row>
    <row r="543" spans="1:14" x14ac:dyDescent="0.2">
      <c r="A543" s="528">
        <v>43125</v>
      </c>
      <c r="B543" s="506">
        <v>301331.82</v>
      </c>
      <c r="F543" s="508">
        <v>42887</v>
      </c>
      <c r="G543" s="509">
        <v>248981.18</v>
      </c>
      <c r="H543" s="611">
        <v>160443.22</v>
      </c>
      <c r="J543" s="508">
        <v>42979</v>
      </c>
      <c r="K543" s="611">
        <v>163493.49</v>
      </c>
      <c r="M543" s="611"/>
      <c r="N543" s="712">
        <f t="shared" si="3"/>
        <v>158927.17925112866</v>
      </c>
    </row>
    <row r="544" spans="1:14" x14ac:dyDescent="0.2">
      <c r="A544" s="528">
        <v>43126</v>
      </c>
      <c r="B544" s="506">
        <v>327084.28999999998</v>
      </c>
      <c r="F544" s="508">
        <v>42917</v>
      </c>
      <c r="G544" s="509">
        <v>268937.63</v>
      </c>
      <c r="H544" s="611">
        <v>161526.35999999999</v>
      </c>
      <c r="J544" s="508">
        <v>43009</v>
      </c>
      <c r="K544" s="611">
        <v>164090.28</v>
      </c>
      <c r="M544" s="245"/>
      <c r="N544" s="712">
        <f t="shared" si="3"/>
        <v>159377.47292567353</v>
      </c>
    </row>
    <row r="545" spans="1:14" x14ac:dyDescent="0.2">
      <c r="A545" s="528">
        <v>43129</v>
      </c>
      <c r="B545" s="506">
        <v>327084</v>
      </c>
      <c r="F545" s="508">
        <v>42948</v>
      </c>
      <c r="G545" s="509">
        <v>198251.6</v>
      </c>
      <c r="H545" s="611">
        <v>162013.01</v>
      </c>
      <c r="J545" s="508">
        <v>43040</v>
      </c>
      <c r="K545" s="611">
        <v>164908.01</v>
      </c>
      <c r="M545" s="245"/>
      <c r="N545" s="712">
        <f t="shared" si="3"/>
        <v>159829.04243229626</v>
      </c>
    </row>
    <row r="546" spans="1:14" x14ac:dyDescent="0.2">
      <c r="A546" s="528">
        <v>43130</v>
      </c>
      <c r="B546" s="506">
        <v>327084</v>
      </c>
      <c r="F546" s="508">
        <v>42979</v>
      </c>
      <c r="G546" s="509">
        <v>178964.63</v>
      </c>
      <c r="H546" s="611">
        <v>163493.49</v>
      </c>
      <c r="J546" s="508">
        <v>43070</v>
      </c>
      <c r="K546" s="611">
        <v>164937.87</v>
      </c>
      <c r="M546" s="245"/>
      <c r="N546" s="712">
        <f t="shared" si="3"/>
        <v>160281.89138585443</v>
      </c>
    </row>
    <row r="547" spans="1:14" x14ac:dyDescent="0.2">
      <c r="A547" s="528">
        <v>43131</v>
      </c>
      <c r="B547" s="506">
        <v>337130.63</v>
      </c>
      <c r="F547" s="508">
        <v>43009</v>
      </c>
      <c r="G547" s="509">
        <v>199171.39</v>
      </c>
      <c r="H547" s="611">
        <v>164090.28</v>
      </c>
      <c r="J547" s="508">
        <v>43101</v>
      </c>
      <c r="K547" s="611">
        <v>167966.33</v>
      </c>
      <c r="M547" s="245"/>
      <c r="N547" s="712">
        <f t="shared" si="3"/>
        <v>160736.02341144768</v>
      </c>
    </row>
    <row r="548" spans="1:14" x14ac:dyDescent="0.2">
      <c r="A548" s="528">
        <v>43132</v>
      </c>
      <c r="B548" s="506">
        <v>334292.59999999998</v>
      </c>
      <c r="F548" s="508">
        <v>43040</v>
      </c>
      <c r="G548" s="509">
        <v>180584.58</v>
      </c>
      <c r="H548" s="611">
        <v>164908.01</v>
      </c>
      <c r="J548" s="508">
        <v>43132</v>
      </c>
      <c r="K548" s="611">
        <v>164746.72</v>
      </c>
      <c r="M548" s="245"/>
      <c r="N548" s="712">
        <f t="shared" si="3"/>
        <v>161191.44214444677</v>
      </c>
    </row>
    <row r="549" spans="1:14" x14ac:dyDescent="0.2">
      <c r="A549" s="528">
        <v>43133</v>
      </c>
      <c r="B549" s="506">
        <v>335977.23</v>
      </c>
      <c r="F549" s="508">
        <v>43070</v>
      </c>
      <c r="G549" s="509">
        <v>258260.86</v>
      </c>
      <c r="H549" s="611">
        <v>164937.87</v>
      </c>
      <c r="J549" s="508">
        <v>43160</v>
      </c>
      <c r="K549" s="611">
        <v>163400.39000000001</v>
      </c>
      <c r="N549" s="712">
        <f t="shared" si="3"/>
        <v>161648.15123052269</v>
      </c>
    </row>
    <row r="550" spans="1:14" x14ac:dyDescent="0.2">
      <c r="A550" s="528">
        <v>43136</v>
      </c>
      <c r="B550" s="506">
        <v>300614.99</v>
      </c>
      <c r="F550" s="508">
        <v>43101</v>
      </c>
      <c r="G550" s="509">
        <v>297556.56</v>
      </c>
      <c r="H550" s="611">
        <v>167966.33</v>
      </c>
      <c r="J550" s="508">
        <v>43191</v>
      </c>
      <c r="K550" s="611">
        <v>163874.63</v>
      </c>
      <c r="N550" s="712">
        <f t="shared" si="3"/>
        <v>162106.15432567583</v>
      </c>
    </row>
    <row r="551" spans="1:14" x14ac:dyDescent="0.2">
      <c r="A551" s="528">
        <v>43137</v>
      </c>
      <c r="B551" s="506">
        <v>295509.53999999998</v>
      </c>
      <c r="F551" s="508">
        <v>43132</v>
      </c>
      <c r="G551" s="509">
        <v>287550</v>
      </c>
      <c r="H551" s="611">
        <v>164746.72</v>
      </c>
      <c r="J551" s="508">
        <v>43221</v>
      </c>
      <c r="K551" s="611">
        <v>165109.67000000001</v>
      </c>
      <c r="N551" s="712">
        <f t="shared" si="3"/>
        <v>162565.45509626524</v>
      </c>
    </row>
    <row r="552" spans="1:14" x14ac:dyDescent="0.2">
      <c r="A552" s="528">
        <v>43138</v>
      </c>
      <c r="B552" s="506">
        <v>295510</v>
      </c>
      <c r="F552" s="508">
        <v>43160</v>
      </c>
      <c r="G552" s="509">
        <v>277699.34999999998</v>
      </c>
      <c r="H552" s="611">
        <v>163400.39000000001</v>
      </c>
      <c r="J552" s="508">
        <v>43252</v>
      </c>
      <c r="K552" s="611">
        <v>164894.5</v>
      </c>
      <c r="M552" s="611"/>
      <c r="N552" s="712">
        <f t="shared" si="3"/>
        <v>163026.05721903799</v>
      </c>
    </row>
    <row r="553" spans="1:14" x14ac:dyDescent="0.2">
      <c r="A553" s="528">
        <v>43139</v>
      </c>
      <c r="B553" s="506">
        <v>295623.09999999998</v>
      </c>
      <c r="F553" s="508">
        <v>43191</v>
      </c>
      <c r="G553" s="509">
        <v>310068.02</v>
      </c>
      <c r="H553" s="611">
        <v>163874.63</v>
      </c>
      <c r="J553" s="508">
        <v>43282</v>
      </c>
      <c r="K553" s="611">
        <v>168308.43</v>
      </c>
      <c r="N553" s="712">
        <f t="shared" si="3"/>
        <v>163487.96438115858</v>
      </c>
    </row>
    <row r="554" spans="1:14" x14ac:dyDescent="0.2">
      <c r="A554" s="528">
        <v>43140</v>
      </c>
      <c r="B554" s="506">
        <v>295623</v>
      </c>
      <c r="F554" s="508">
        <v>43221</v>
      </c>
      <c r="G554" s="509">
        <v>338828.68</v>
      </c>
      <c r="H554" s="611">
        <v>165109.67000000001</v>
      </c>
      <c r="J554" s="508">
        <v>43313</v>
      </c>
      <c r="K554" s="611">
        <v>169314.31</v>
      </c>
      <c r="M554" s="509"/>
      <c r="N554" s="712">
        <f t="shared" si="3"/>
        <v>163951.18028023854</v>
      </c>
    </row>
    <row r="555" spans="1:14" x14ac:dyDescent="0.2">
      <c r="A555" s="528">
        <v>43143</v>
      </c>
      <c r="B555" s="506">
        <v>299232.09999999998</v>
      </c>
      <c r="F555" s="508">
        <v>43252</v>
      </c>
      <c r="G555" s="509">
        <v>316601.96000000002</v>
      </c>
      <c r="H555" s="611">
        <v>164894.5</v>
      </c>
      <c r="J555" s="508">
        <v>43344</v>
      </c>
      <c r="K555" s="611">
        <v>170138.99</v>
      </c>
      <c r="N555" s="712">
        <f t="shared" si="3"/>
        <v>164415.70862436589</v>
      </c>
    </row>
    <row r="556" spans="1:14" x14ac:dyDescent="0.2">
      <c r="A556" s="528">
        <v>43144</v>
      </c>
      <c r="B556" s="506">
        <v>304422.01</v>
      </c>
      <c r="F556" s="508">
        <v>43282</v>
      </c>
      <c r="G556" s="509">
        <v>282196.90999999997</v>
      </c>
      <c r="H556" s="611">
        <v>168308.43</v>
      </c>
      <c r="J556" s="508">
        <v>43374</v>
      </c>
      <c r="K556" s="611">
        <v>164332.01</v>
      </c>
      <c r="M556" s="628"/>
      <c r="N556" s="712">
        <f t="shared" si="3"/>
        <v>164881.55313213493</v>
      </c>
    </row>
    <row r="557" spans="1:14" x14ac:dyDescent="0.2">
      <c r="A557" s="528">
        <v>43145</v>
      </c>
      <c r="B557" s="506">
        <v>330191.24</v>
      </c>
      <c r="F557" s="508">
        <v>43313</v>
      </c>
      <c r="G557" s="509">
        <v>287391.71999999997</v>
      </c>
      <c r="H557" s="611">
        <v>169314.31</v>
      </c>
      <c r="J557" s="508">
        <v>43405</v>
      </c>
      <c r="K557" s="611">
        <v>166031.76999999999</v>
      </c>
      <c r="N557" s="712">
        <f t="shared" si="3"/>
        <v>165348.71753267598</v>
      </c>
    </row>
    <row r="558" spans="1:14" x14ac:dyDescent="0.2">
      <c r="A558" s="528">
        <v>43146</v>
      </c>
      <c r="B558" s="506">
        <v>313471.64</v>
      </c>
      <c r="F558" s="508">
        <v>43344</v>
      </c>
      <c r="G558" s="509">
        <v>327095.84000000003</v>
      </c>
      <c r="H558" s="611">
        <v>170138.99</v>
      </c>
      <c r="J558" s="508">
        <v>43435</v>
      </c>
      <c r="K558" s="611">
        <v>159621.23000000001</v>
      </c>
      <c r="N558" s="712">
        <f t="shared" si="3"/>
        <v>165817.20556568523</v>
      </c>
    </row>
    <row r="559" spans="1:14" x14ac:dyDescent="0.2">
      <c r="A559" s="528">
        <v>43147</v>
      </c>
      <c r="B559" s="506">
        <v>313472</v>
      </c>
      <c r="F559" s="508">
        <v>43374</v>
      </c>
      <c r="G559" s="509">
        <v>233504.28</v>
      </c>
      <c r="H559" s="611">
        <v>164332.01</v>
      </c>
      <c r="J559" s="508">
        <v>43466</v>
      </c>
      <c r="K559" s="611">
        <v>166873.93</v>
      </c>
      <c r="N559" s="712">
        <f t="shared" si="3"/>
        <v>166287.02098145467</v>
      </c>
    </row>
    <row r="560" spans="1:14" x14ac:dyDescent="0.2">
      <c r="A560" s="528">
        <v>43150</v>
      </c>
      <c r="B560" s="506">
        <v>313472</v>
      </c>
      <c r="F560" s="508">
        <v>43405</v>
      </c>
      <c r="G560" s="509">
        <v>166530.44</v>
      </c>
      <c r="H560" s="611">
        <v>166031.76999999999</v>
      </c>
      <c r="J560" s="508">
        <v>43497</v>
      </c>
      <c r="K560" s="611">
        <v>170486.28</v>
      </c>
      <c r="N560" s="712">
        <f t="shared" si="3"/>
        <v>166758.16754090213</v>
      </c>
    </row>
    <row r="561" spans="1:14" x14ac:dyDescent="0.2">
      <c r="A561" s="528">
        <v>43151</v>
      </c>
      <c r="B561" s="506">
        <v>277471.58</v>
      </c>
      <c r="F561" s="508">
        <v>43435</v>
      </c>
      <c r="G561" s="509">
        <v>245292.72</v>
      </c>
      <c r="H561" s="611">
        <v>159621.23000000001</v>
      </c>
      <c r="J561" s="508">
        <v>43525</v>
      </c>
      <c r="K561" s="611">
        <v>171537.16</v>
      </c>
      <c r="N561" s="712">
        <f t="shared" si="3"/>
        <v>167230.64901560135</v>
      </c>
    </row>
    <row r="562" spans="1:14" x14ac:dyDescent="0.2">
      <c r="A562" s="528">
        <v>43152</v>
      </c>
      <c r="B562" s="506">
        <v>287526.92</v>
      </c>
      <c r="F562" s="508">
        <v>43466</v>
      </c>
      <c r="G562" s="509">
        <v>322895</v>
      </c>
      <c r="H562" s="611">
        <v>166873.93</v>
      </c>
      <c r="J562" s="508">
        <v>43556</v>
      </c>
      <c r="K562" s="611">
        <v>174601.21</v>
      </c>
      <c r="N562" s="712">
        <f t="shared" si="3"/>
        <v>167704.46918781221</v>
      </c>
    </row>
    <row r="563" spans="1:14" x14ac:dyDescent="0.2">
      <c r="A563" s="528">
        <v>43153</v>
      </c>
      <c r="B563" s="506">
        <v>296486.64</v>
      </c>
      <c r="F563" s="508">
        <v>43497</v>
      </c>
      <c r="G563" s="509">
        <v>388590.24</v>
      </c>
      <c r="H563" s="611">
        <v>170486.28</v>
      </c>
      <c r="J563" s="508">
        <v>43586</v>
      </c>
      <c r="K563" s="611">
        <v>169831.32</v>
      </c>
      <c r="N563" s="712">
        <f t="shared" si="3"/>
        <v>168179.63185051101</v>
      </c>
    </row>
    <row r="564" spans="1:14" x14ac:dyDescent="0.2">
      <c r="A564" s="528">
        <v>43154</v>
      </c>
      <c r="B564" s="506">
        <v>296487</v>
      </c>
      <c r="F564" s="508">
        <v>43525</v>
      </c>
      <c r="G564" s="509">
        <v>244069.19</v>
      </c>
      <c r="H564" s="611">
        <v>171537.16</v>
      </c>
      <c r="J564" s="508">
        <v>43617</v>
      </c>
      <c r="K564" s="611">
        <v>175962.43</v>
      </c>
      <c r="N564" s="712">
        <f t="shared" si="3"/>
        <v>168656.1408074208</v>
      </c>
    </row>
    <row r="565" spans="1:14" x14ac:dyDescent="0.2">
      <c r="A565" s="528">
        <v>43157</v>
      </c>
      <c r="B565" s="506">
        <v>296487</v>
      </c>
      <c r="F565" s="508">
        <v>43556</v>
      </c>
      <c r="G565" s="509">
        <v>265093.77</v>
      </c>
      <c r="H565" s="611">
        <v>174601.21</v>
      </c>
      <c r="J565" s="508">
        <v>43647</v>
      </c>
      <c r="K565" s="611">
        <v>176392.07</v>
      </c>
      <c r="N565" s="712">
        <f t="shared" si="3"/>
        <v>169133.99987304182</v>
      </c>
    </row>
    <row r="566" spans="1:14" x14ac:dyDescent="0.2">
      <c r="A566" s="528">
        <v>43158</v>
      </c>
      <c r="B566" s="506">
        <v>335911.5</v>
      </c>
      <c r="F566" s="508">
        <v>43586</v>
      </c>
      <c r="G566" s="509">
        <v>218979.44</v>
      </c>
      <c r="H566" s="611">
        <v>169831.32</v>
      </c>
      <c r="J566" s="508">
        <v>43678</v>
      </c>
      <c r="K566" s="611">
        <v>174581</v>
      </c>
      <c r="N566" s="712">
        <f t="shared" si="3"/>
        <v>169613.21287268211</v>
      </c>
    </row>
    <row r="567" spans="1:14" x14ac:dyDescent="0.2">
      <c r="A567" s="528">
        <v>43159</v>
      </c>
      <c r="B567" s="506">
        <v>335912</v>
      </c>
      <c r="F567" s="508">
        <v>43617</v>
      </c>
      <c r="G567" s="509">
        <v>271553.78999999998</v>
      </c>
      <c r="H567" s="611">
        <v>175962.43</v>
      </c>
      <c r="J567" s="508">
        <v>43709</v>
      </c>
      <c r="K567" s="611">
        <v>175832.82</v>
      </c>
      <c r="N567" s="712">
        <f t="shared" si="3"/>
        <v>170093.78364248804</v>
      </c>
    </row>
    <row r="568" spans="1:14" x14ac:dyDescent="0.2">
      <c r="A568" s="528">
        <v>43160</v>
      </c>
      <c r="B568" s="506">
        <v>330042.21999999997</v>
      </c>
      <c r="F568" s="508">
        <v>43647</v>
      </c>
      <c r="G568" s="509">
        <v>272625.19</v>
      </c>
      <c r="H568" s="611">
        <v>176392.07</v>
      </c>
      <c r="J568" s="508">
        <v>43739</v>
      </c>
      <c r="K568" s="611">
        <v>176684.91</v>
      </c>
      <c r="N568" s="712">
        <f t="shared" si="3"/>
        <v>170575.71602947509</v>
      </c>
    </row>
    <row r="569" spans="1:14" x14ac:dyDescent="0.2">
      <c r="A569" s="528">
        <v>43161</v>
      </c>
      <c r="B569" s="564">
        <v>367034.5</v>
      </c>
      <c r="F569" s="508">
        <v>43678</v>
      </c>
      <c r="G569" s="509">
        <v>249105.04</v>
      </c>
      <c r="H569" s="611">
        <v>174581.16</v>
      </c>
      <c r="J569" s="508">
        <v>43770</v>
      </c>
      <c r="K569" s="611">
        <v>180686.55</v>
      </c>
      <c r="N569" s="712">
        <f t="shared" si="3"/>
        <v>171059.0138915586</v>
      </c>
    </row>
    <row r="570" spans="1:14" x14ac:dyDescent="0.2">
      <c r="A570" s="528">
        <v>43164</v>
      </c>
      <c r="B570" s="506">
        <v>330990.42</v>
      </c>
      <c r="F570" s="508">
        <v>43709</v>
      </c>
      <c r="G570" s="509">
        <v>224675.57</v>
      </c>
      <c r="H570" s="611">
        <v>175832.82</v>
      </c>
      <c r="J570" s="508">
        <v>43800</v>
      </c>
      <c r="K570" s="611">
        <v>184417.26</v>
      </c>
      <c r="N570" s="712">
        <f t="shared" si="3"/>
        <v>171543.68109758469</v>
      </c>
    </row>
    <row r="571" spans="1:14" x14ac:dyDescent="0.2">
      <c r="A571" s="528">
        <v>43165</v>
      </c>
      <c r="B571" s="506">
        <v>333065.89</v>
      </c>
      <c r="F571" s="508">
        <v>43739</v>
      </c>
      <c r="G571" s="509">
        <f>250597.51-10616</f>
        <v>239981.51</v>
      </c>
      <c r="H571" s="611">
        <v>176684.91</v>
      </c>
      <c r="J571" s="508">
        <v>43831</v>
      </c>
      <c r="K571" s="611">
        <v>186588.03</v>
      </c>
      <c r="N571" s="712">
        <f t="shared" si="3"/>
        <v>172029.72152736117</v>
      </c>
    </row>
    <row r="572" spans="1:14" x14ac:dyDescent="0.2">
      <c r="A572" s="528">
        <v>43166</v>
      </c>
      <c r="B572" s="506">
        <v>331065.89</v>
      </c>
      <c r="F572" s="508">
        <v>43770</v>
      </c>
      <c r="G572" s="509">
        <f>213081.72-10616</f>
        <v>202465.72</v>
      </c>
      <c r="H572" s="611">
        <v>180687</v>
      </c>
      <c r="J572" s="508">
        <v>43862</v>
      </c>
      <c r="K572" s="611">
        <v>177685.24</v>
      </c>
      <c r="N572" s="712">
        <f t="shared" si="3"/>
        <v>172517.1390716887</v>
      </c>
    </row>
    <row r="573" spans="1:14" x14ac:dyDescent="0.2">
      <c r="A573" s="528">
        <v>43167</v>
      </c>
      <c r="B573" s="506">
        <v>331092.17</v>
      </c>
      <c r="F573" s="508">
        <v>43800</v>
      </c>
      <c r="G573" s="509">
        <v>298499.96000000002</v>
      </c>
      <c r="H573" s="611">
        <v>184417.26</v>
      </c>
      <c r="J573" s="508">
        <v>43891</v>
      </c>
      <c r="K573" s="611">
        <v>162398.81</v>
      </c>
      <c r="N573" s="712">
        <f t="shared" si="3"/>
        <v>173005.93763239181</v>
      </c>
    </row>
    <row r="574" spans="1:14" x14ac:dyDescent="0.2">
      <c r="A574" s="528">
        <v>43168</v>
      </c>
      <c r="B574" s="506">
        <v>311733.17</v>
      </c>
      <c r="F574" s="508">
        <v>43831</v>
      </c>
      <c r="G574" s="509">
        <f>332446.94-10400</f>
        <v>322046.94</v>
      </c>
      <c r="H574" s="611">
        <v>186588.03</v>
      </c>
      <c r="J574" s="508">
        <v>43922</v>
      </c>
      <c r="K574" s="611">
        <v>175055.83</v>
      </c>
      <c r="N574" s="712">
        <f t="shared" si="3"/>
        <v>173496.12112235025</v>
      </c>
    </row>
    <row r="575" spans="1:14" x14ac:dyDescent="0.2">
      <c r="A575" s="528">
        <v>43171</v>
      </c>
      <c r="B575" s="506">
        <v>317116.19</v>
      </c>
      <c r="F575" s="508">
        <v>43862</v>
      </c>
      <c r="G575" s="509">
        <v>255507.21</v>
      </c>
      <c r="H575" s="611">
        <v>177685.24</v>
      </c>
      <c r="N575" s="712">
        <f t="shared" si="3"/>
        <v>173987.69346553023</v>
      </c>
    </row>
    <row r="576" spans="1:14" x14ac:dyDescent="0.2">
      <c r="A576" s="528">
        <v>43172</v>
      </c>
      <c r="B576" s="506">
        <v>317116</v>
      </c>
      <c r="F576" s="508">
        <v>43891</v>
      </c>
      <c r="G576" s="509">
        <v>267901.06</v>
      </c>
      <c r="H576" s="611">
        <v>162398.81</v>
      </c>
      <c r="N576" s="712">
        <f t="shared" si="3"/>
        <v>174480.65859701589</v>
      </c>
    </row>
    <row r="577" spans="1:18" x14ac:dyDescent="0.2">
      <c r="A577" s="528">
        <v>43173</v>
      </c>
      <c r="B577" s="506">
        <v>317496.19</v>
      </c>
      <c r="F577" s="508">
        <v>43922</v>
      </c>
      <c r="G577" s="509">
        <f>333810.79-600</f>
        <v>333210.78999999998</v>
      </c>
      <c r="H577" s="611">
        <v>175055.83</v>
      </c>
      <c r="K577" s="707"/>
      <c r="L577" s="245"/>
      <c r="N577" s="712">
        <f t="shared" si="3"/>
        <v>174975.02046304077</v>
      </c>
      <c r="O577" s="245"/>
      <c r="P577" s="245"/>
      <c r="Q577" s="245"/>
      <c r="R577" s="245"/>
    </row>
    <row r="578" spans="1:18" x14ac:dyDescent="0.2">
      <c r="A578" s="528">
        <v>43174</v>
      </c>
      <c r="B578" s="506">
        <v>317772.45</v>
      </c>
      <c r="F578" s="508">
        <v>43952</v>
      </c>
      <c r="K578" s="707"/>
      <c r="L578" s="245"/>
      <c r="P578" s="245"/>
      <c r="Q578" s="245"/>
      <c r="R578" s="245"/>
    </row>
    <row r="579" spans="1:18" x14ac:dyDescent="0.2">
      <c r="A579" s="528">
        <v>43175</v>
      </c>
      <c r="B579" s="506">
        <v>317772</v>
      </c>
      <c r="C579" s="528"/>
      <c r="D579" s="506"/>
      <c r="F579" s="508">
        <v>43983</v>
      </c>
      <c r="K579" s="707"/>
      <c r="L579" s="245"/>
      <c r="P579" s="245"/>
      <c r="Q579" s="245"/>
      <c r="R579" s="245"/>
    </row>
    <row r="580" spans="1:18" x14ac:dyDescent="0.2">
      <c r="A580" s="528">
        <v>43178</v>
      </c>
      <c r="B580" s="506">
        <v>279446.55</v>
      </c>
      <c r="C580" s="528"/>
      <c r="D580" s="506"/>
      <c r="F580" s="508">
        <v>44013</v>
      </c>
      <c r="K580" s="707"/>
      <c r="L580" s="245"/>
      <c r="P580" s="245"/>
      <c r="Q580" s="245"/>
      <c r="R580" s="245"/>
    </row>
    <row r="581" spans="1:18" x14ac:dyDescent="0.2">
      <c r="A581" s="528">
        <v>43179</v>
      </c>
      <c r="B581" s="506">
        <v>272785.62</v>
      </c>
      <c r="C581" s="528"/>
      <c r="D581" s="506"/>
      <c r="F581" s="508">
        <v>44044</v>
      </c>
      <c r="K581" s="707"/>
      <c r="L581" s="245"/>
      <c r="P581" s="245"/>
      <c r="Q581" s="245"/>
      <c r="R581" s="245"/>
    </row>
    <row r="582" spans="1:18" x14ac:dyDescent="0.2">
      <c r="A582" s="528">
        <v>43180</v>
      </c>
      <c r="B582" s="506">
        <v>288240.15999999997</v>
      </c>
      <c r="C582" s="528"/>
      <c r="D582" s="506"/>
      <c r="K582" s="707"/>
      <c r="L582" s="245"/>
      <c r="O582" s="245"/>
      <c r="P582" s="245"/>
      <c r="Q582" s="245"/>
      <c r="R582" s="245"/>
    </row>
    <row r="583" spans="1:18" x14ac:dyDescent="0.2">
      <c r="A583" s="528">
        <v>43181</v>
      </c>
      <c r="B583" s="506">
        <v>278742.74</v>
      </c>
      <c r="C583" s="528"/>
      <c r="D583" s="506"/>
      <c r="K583" s="707"/>
      <c r="L583" s="245"/>
      <c r="O583" s="245"/>
      <c r="P583" s="245"/>
      <c r="Q583" s="245"/>
      <c r="R583" s="245"/>
    </row>
    <row r="584" spans="1:18" x14ac:dyDescent="0.2">
      <c r="A584" s="528">
        <v>43182</v>
      </c>
      <c r="B584" s="506">
        <v>278840.24</v>
      </c>
      <c r="C584" s="528"/>
      <c r="D584" s="506"/>
      <c r="F584" t="s">
        <v>422</v>
      </c>
      <c r="K584" s="707"/>
      <c r="L584" s="245"/>
      <c r="O584" s="245"/>
      <c r="P584" s="245"/>
      <c r="Q584" s="245"/>
      <c r="R584" s="245"/>
    </row>
    <row r="585" spans="1:18" x14ac:dyDescent="0.2">
      <c r="A585" s="528">
        <v>43185</v>
      </c>
      <c r="B585" s="506">
        <v>278942.24</v>
      </c>
      <c r="C585" s="528"/>
      <c r="D585" s="506"/>
      <c r="F585" t="s">
        <v>374</v>
      </c>
      <c r="G585">
        <v>50000</v>
      </c>
      <c r="K585" s="707"/>
      <c r="L585" s="245"/>
      <c r="O585" s="245"/>
      <c r="P585" s="245"/>
      <c r="Q585" s="245"/>
      <c r="R585" s="245"/>
    </row>
    <row r="586" spans="1:18" x14ac:dyDescent="0.2">
      <c r="A586" s="528">
        <v>43186</v>
      </c>
      <c r="B586" s="506">
        <v>257048.49</v>
      </c>
      <c r="C586" s="528"/>
      <c r="D586" s="506"/>
      <c r="F586" t="s">
        <v>76</v>
      </c>
      <c r="G586" s="568">
        <v>158720.91</v>
      </c>
      <c r="K586" s="707"/>
      <c r="L586" s="245"/>
      <c r="O586" s="245"/>
      <c r="P586" s="245"/>
      <c r="Q586" s="245"/>
      <c r="R586" s="245"/>
    </row>
    <row r="587" spans="1:18" x14ac:dyDescent="0.2">
      <c r="A587" s="528">
        <v>43187</v>
      </c>
      <c r="B587" s="506">
        <v>252662.47</v>
      </c>
      <c r="C587" s="528"/>
      <c r="D587" s="506"/>
      <c r="F587" t="s">
        <v>364</v>
      </c>
      <c r="G587" s="568">
        <v>820788.58</v>
      </c>
      <c r="K587" s="707"/>
      <c r="L587" s="245"/>
      <c r="O587" s="245"/>
      <c r="P587" s="245"/>
      <c r="Q587" s="245"/>
      <c r="R587" s="245"/>
    </row>
    <row r="588" spans="1:18" x14ac:dyDescent="0.2">
      <c r="A588" s="528">
        <v>43188</v>
      </c>
      <c r="B588" s="506">
        <v>254708.73</v>
      </c>
      <c r="C588" s="528"/>
      <c r="D588" s="506"/>
      <c r="F588" t="s">
        <v>335</v>
      </c>
      <c r="G588" s="568"/>
      <c r="K588" s="707"/>
      <c r="L588" s="245"/>
      <c r="O588" s="245"/>
      <c r="P588" s="245"/>
      <c r="Q588" s="245"/>
      <c r="R588" s="245"/>
    </row>
    <row r="589" spans="1:18" x14ac:dyDescent="0.2">
      <c r="A589" s="528">
        <v>43189</v>
      </c>
      <c r="B589" s="506">
        <v>281702.86</v>
      </c>
      <c r="C589" s="528"/>
      <c r="D589" s="506"/>
      <c r="F589" t="s">
        <v>365</v>
      </c>
      <c r="G589" s="568">
        <v>248821.26</v>
      </c>
      <c r="K589" s="707"/>
      <c r="L589" s="245"/>
      <c r="O589" s="245"/>
      <c r="P589" s="245"/>
      <c r="Q589" s="245"/>
      <c r="R589" s="245"/>
    </row>
    <row r="590" spans="1:18" x14ac:dyDescent="0.2">
      <c r="A590" s="528">
        <v>43192</v>
      </c>
      <c r="B590" s="506">
        <v>244220.77</v>
      </c>
      <c r="C590" s="528"/>
      <c r="D590" s="506"/>
      <c r="F590" t="s">
        <v>366</v>
      </c>
      <c r="G590" s="568">
        <v>2000</v>
      </c>
      <c r="H590" t="s">
        <v>367</v>
      </c>
      <c r="K590" s="707"/>
      <c r="L590" s="245"/>
    </row>
    <row r="591" spans="1:18" x14ac:dyDescent="0.2">
      <c r="A591" s="528">
        <v>43193</v>
      </c>
      <c r="B591" s="506">
        <v>244221</v>
      </c>
      <c r="C591" s="528"/>
      <c r="D591" s="506"/>
      <c r="F591" t="s">
        <v>372</v>
      </c>
      <c r="G591" s="568">
        <f>51000+19000</f>
        <v>70000</v>
      </c>
      <c r="K591" s="707"/>
      <c r="L591" s="245"/>
    </row>
    <row r="592" spans="1:18" x14ac:dyDescent="0.2">
      <c r="A592" s="528">
        <v>43194</v>
      </c>
      <c r="B592" s="506">
        <v>244221</v>
      </c>
      <c r="C592" s="528"/>
      <c r="D592" s="506"/>
      <c r="E592" t="s">
        <v>368</v>
      </c>
      <c r="G592" s="568">
        <f>SUM(G585:G591)</f>
        <v>1350330.75</v>
      </c>
      <c r="K592" s="707"/>
      <c r="L592" s="245"/>
    </row>
    <row r="593" spans="1:12" x14ac:dyDescent="0.2">
      <c r="A593" s="528">
        <v>43195</v>
      </c>
      <c r="B593" s="506">
        <v>225503.87</v>
      </c>
      <c r="C593" s="528"/>
      <c r="D593" s="506"/>
      <c r="G593" s="568"/>
      <c r="K593" s="707"/>
      <c r="L593" s="245"/>
    </row>
    <row r="594" spans="1:12" x14ac:dyDescent="0.2">
      <c r="A594" s="528">
        <v>43196</v>
      </c>
      <c r="B594" s="506">
        <v>225504</v>
      </c>
      <c r="C594" s="528"/>
      <c r="D594" s="506"/>
      <c r="E594" t="s">
        <v>369</v>
      </c>
      <c r="G594" s="568">
        <f>AVERAGE(G561:G573)</f>
        <v>264909.78000000003</v>
      </c>
      <c r="K594" s="707"/>
      <c r="L594" s="245"/>
    </row>
    <row r="595" spans="1:12" x14ac:dyDescent="0.2">
      <c r="A595" s="528">
        <v>43199</v>
      </c>
      <c r="B595" s="506">
        <v>225503.8</v>
      </c>
      <c r="C595" s="528"/>
      <c r="D595" s="506"/>
      <c r="G595" s="568"/>
      <c r="K595" s="707"/>
      <c r="L595" s="245"/>
    </row>
    <row r="596" spans="1:12" x14ac:dyDescent="0.2">
      <c r="A596" s="528">
        <v>43200</v>
      </c>
      <c r="B596" s="506">
        <v>227389.96</v>
      </c>
      <c r="C596" s="528"/>
      <c r="D596" s="506"/>
      <c r="E596" t="s">
        <v>370</v>
      </c>
      <c r="G596" s="569">
        <f>G592/G594</f>
        <v>5.0973231339363911</v>
      </c>
      <c r="K596" s="707"/>
      <c r="L596" s="245"/>
    </row>
    <row r="597" spans="1:12" x14ac:dyDescent="0.2">
      <c r="A597" s="528">
        <v>43201</v>
      </c>
      <c r="B597" s="506">
        <v>235472.53</v>
      </c>
      <c r="C597" s="528"/>
      <c r="D597" s="506"/>
      <c r="G597" s="568"/>
      <c r="K597" s="707"/>
      <c r="L597" s="245"/>
    </row>
    <row r="598" spans="1:12" x14ac:dyDescent="0.2">
      <c r="A598" s="528">
        <v>43202</v>
      </c>
      <c r="B598" s="506">
        <v>222207.84</v>
      </c>
      <c r="C598" s="528"/>
      <c r="D598" s="506"/>
      <c r="E598" t="s">
        <v>371</v>
      </c>
      <c r="G598" s="568">
        <v>365</v>
      </c>
      <c r="K598" s="707"/>
      <c r="L598" s="245"/>
    </row>
    <row r="599" spans="1:12" x14ac:dyDescent="0.2">
      <c r="A599" s="528">
        <v>43203</v>
      </c>
      <c r="B599" s="506">
        <v>222287.93</v>
      </c>
      <c r="C599" s="528"/>
      <c r="D599" s="506"/>
      <c r="G599" s="568">
        <f>G598/G596</f>
        <v>71.606211811439536</v>
      </c>
      <c r="K599" s="707"/>
      <c r="L599" s="245"/>
    </row>
    <row r="600" spans="1:12" x14ac:dyDescent="0.2">
      <c r="A600" s="528">
        <v>43206</v>
      </c>
      <c r="B600" s="506">
        <v>186664.28</v>
      </c>
      <c r="C600" s="528"/>
      <c r="D600" s="506"/>
      <c r="K600" s="707"/>
      <c r="L600" s="245"/>
    </row>
    <row r="601" spans="1:12" x14ac:dyDescent="0.2">
      <c r="A601" s="528">
        <v>43207</v>
      </c>
      <c r="B601" s="506">
        <v>188484.95</v>
      </c>
      <c r="C601" s="528"/>
      <c r="D601" s="506"/>
      <c r="K601" s="707"/>
      <c r="L601" s="245"/>
    </row>
    <row r="602" spans="1:12" x14ac:dyDescent="0.2">
      <c r="A602" s="528">
        <v>43208</v>
      </c>
      <c r="B602" s="506">
        <v>188485</v>
      </c>
      <c r="C602" s="528"/>
      <c r="D602" s="506"/>
      <c r="K602" s="707"/>
      <c r="L602" s="245"/>
    </row>
    <row r="603" spans="1:12" x14ac:dyDescent="0.2">
      <c r="A603" s="528">
        <v>43209</v>
      </c>
      <c r="B603" s="506">
        <v>180474.73</v>
      </c>
      <c r="C603" s="528"/>
      <c r="D603" s="506"/>
      <c r="K603" s="707"/>
      <c r="L603" s="245"/>
    </row>
    <row r="604" spans="1:12" x14ac:dyDescent="0.2">
      <c r="A604" s="528">
        <v>43210</v>
      </c>
      <c r="B604" s="506">
        <v>188207.38</v>
      </c>
      <c r="C604" s="528"/>
      <c r="D604" s="506"/>
      <c r="K604" s="707"/>
      <c r="L604" s="245"/>
    </row>
    <row r="605" spans="1:12" x14ac:dyDescent="0.2">
      <c r="A605" s="528">
        <v>43213</v>
      </c>
      <c r="B605" s="506">
        <v>198618.83</v>
      </c>
      <c r="C605" s="528"/>
      <c r="D605" s="506"/>
      <c r="K605" s="707"/>
      <c r="L605" s="245"/>
    </row>
    <row r="606" spans="1:12" x14ac:dyDescent="0.2">
      <c r="A606" s="528">
        <v>43214</v>
      </c>
      <c r="B606" s="506">
        <v>198619</v>
      </c>
      <c r="C606" s="528"/>
      <c r="D606" s="506"/>
      <c r="K606" s="707"/>
      <c r="L606" s="245"/>
    </row>
    <row r="607" spans="1:12" x14ac:dyDescent="0.2">
      <c r="A607" s="528">
        <v>43215</v>
      </c>
      <c r="B607" s="506">
        <v>198619</v>
      </c>
      <c r="C607" s="528"/>
      <c r="D607" s="506"/>
      <c r="K607" s="707"/>
      <c r="L607" s="245"/>
    </row>
    <row r="608" spans="1:12" x14ac:dyDescent="0.2">
      <c r="A608" s="528">
        <v>43216</v>
      </c>
      <c r="B608" s="506">
        <v>189089.55</v>
      </c>
      <c r="C608" s="528"/>
      <c r="D608" s="506"/>
      <c r="K608" s="707"/>
      <c r="L608" s="245"/>
    </row>
    <row r="609" spans="1:12" x14ac:dyDescent="0.2">
      <c r="A609" s="528">
        <v>43217</v>
      </c>
      <c r="B609" s="506">
        <v>216053.77</v>
      </c>
      <c r="C609" s="528"/>
      <c r="D609" s="506"/>
      <c r="K609" s="707"/>
      <c r="L609" s="245"/>
    </row>
    <row r="610" spans="1:12" x14ac:dyDescent="0.2">
      <c r="A610" s="528">
        <v>43220</v>
      </c>
      <c r="B610" s="506">
        <v>179849.52</v>
      </c>
      <c r="C610" s="528"/>
      <c r="D610" s="506"/>
      <c r="K610" s="707"/>
      <c r="L610" s="245"/>
    </row>
    <row r="611" spans="1:12" x14ac:dyDescent="0.2">
      <c r="A611" s="528">
        <v>43221</v>
      </c>
      <c r="B611" s="506">
        <v>179850</v>
      </c>
      <c r="C611" s="528"/>
      <c r="D611" s="506"/>
      <c r="K611" s="707"/>
      <c r="L611" s="245"/>
    </row>
    <row r="612" spans="1:12" x14ac:dyDescent="0.2">
      <c r="A612" s="528">
        <v>43222</v>
      </c>
      <c r="B612" s="506">
        <v>173749.01</v>
      </c>
      <c r="C612" s="528"/>
      <c r="D612" s="506"/>
      <c r="K612" s="707"/>
      <c r="L612" s="245"/>
    </row>
    <row r="613" spans="1:12" x14ac:dyDescent="0.2">
      <c r="A613" s="528">
        <v>43223</v>
      </c>
      <c r="B613" s="506">
        <v>200792.85</v>
      </c>
      <c r="C613" s="528"/>
      <c r="D613" s="506"/>
      <c r="K613" s="707"/>
      <c r="L613" s="245"/>
    </row>
    <row r="614" spans="1:12" x14ac:dyDescent="0.2">
      <c r="A614" s="528">
        <v>43224</v>
      </c>
      <c r="B614" s="506">
        <v>202331.91</v>
      </c>
      <c r="C614" s="528"/>
      <c r="D614" s="506"/>
      <c r="K614" s="707"/>
      <c r="L614" s="245"/>
    </row>
    <row r="615" spans="1:12" x14ac:dyDescent="0.2">
      <c r="A615" s="528">
        <v>43227</v>
      </c>
      <c r="B615" s="506">
        <v>203517.87</v>
      </c>
      <c r="C615" s="528"/>
      <c r="D615" s="506"/>
      <c r="K615" s="707"/>
      <c r="L615" s="245"/>
    </row>
    <row r="616" spans="1:12" x14ac:dyDescent="0.2">
      <c r="A616" s="528">
        <v>43228</v>
      </c>
      <c r="B616" s="506">
        <v>203518</v>
      </c>
      <c r="C616" s="528"/>
      <c r="D616" s="506"/>
      <c r="L616" s="245"/>
    </row>
    <row r="617" spans="1:12" x14ac:dyDescent="0.2">
      <c r="A617" s="528">
        <v>43229</v>
      </c>
      <c r="B617" s="506">
        <v>203518</v>
      </c>
      <c r="C617" s="528"/>
      <c r="D617" s="506"/>
      <c r="L617" s="245"/>
    </row>
    <row r="618" spans="1:12" x14ac:dyDescent="0.2">
      <c r="A618" s="528">
        <v>43230</v>
      </c>
      <c r="B618" s="506">
        <v>191114.58</v>
      </c>
      <c r="C618" s="528"/>
      <c r="D618" s="506"/>
      <c r="L618" s="245"/>
    </row>
    <row r="619" spans="1:12" x14ac:dyDescent="0.2">
      <c r="A619" s="528">
        <v>43231</v>
      </c>
      <c r="B619" s="564">
        <v>153114.57999999999</v>
      </c>
      <c r="C619" s="528"/>
      <c r="D619" s="506"/>
      <c r="L619" s="245"/>
    </row>
    <row r="620" spans="1:12" x14ac:dyDescent="0.2">
      <c r="A620" s="528">
        <v>43234</v>
      </c>
      <c r="B620" s="564">
        <v>153115</v>
      </c>
      <c r="C620" s="528"/>
      <c r="D620" s="506"/>
      <c r="L620" s="245"/>
    </row>
    <row r="621" spans="1:12" x14ac:dyDescent="0.2">
      <c r="A621" s="528">
        <v>43235</v>
      </c>
      <c r="B621" s="506">
        <v>182792.08</v>
      </c>
      <c r="C621" s="528"/>
      <c r="D621" s="506"/>
      <c r="L621" s="245"/>
    </row>
    <row r="622" spans="1:12" x14ac:dyDescent="0.2">
      <c r="A622" s="528">
        <v>43236</v>
      </c>
      <c r="B622" s="506">
        <v>182792</v>
      </c>
      <c r="C622" s="528"/>
      <c r="D622" s="506"/>
      <c r="L622" s="245"/>
    </row>
    <row r="623" spans="1:12" x14ac:dyDescent="0.2">
      <c r="A623" s="528">
        <v>43237</v>
      </c>
      <c r="B623" s="506">
        <v>222152.66</v>
      </c>
      <c r="C623" s="528"/>
      <c r="D623" s="506"/>
      <c r="L623" s="245"/>
    </row>
    <row r="624" spans="1:12" x14ac:dyDescent="0.2">
      <c r="A624" s="528">
        <v>43238</v>
      </c>
      <c r="B624" s="506">
        <v>222153</v>
      </c>
      <c r="C624" s="528"/>
      <c r="D624" s="506"/>
      <c r="L624" s="245"/>
    </row>
    <row r="625" spans="1:12" x14ac:dyDescent="0.2">
      <c r="A625" s="528">
        <v>43241</v>
      </c>
      <c r="B625" s="506">
        <v>222153</v>
      </c>
      <c r="C625" s="528"/>
      <c r="D625" s="506"/>
      <c r="L625" s="245"/>
    </row>
    <row r="626" spans="1:12" x14ac:dyDescent="0.2">
      <c r="A626" s="528">
        <v>43242</v>
      </c>
      <c r="B626" s="506">
        <v>222153</v>
      </c>
      <c r="C626" s="528"/>
      <c r="D626" s="506"/>
      <c r="L626" s="245"/>
    </row>
    <row r="627" spans="1:12" x14ac:dyDescent="0.2">
      <c r="A627" s="528">
        <v>43243</v>
      </c>
      <c r="B627" s="506">
        <v>222152</v>
      </c>
      <c r="C627" s="528"/>
      <c r="D627" s="506"/>
      <c r="L627" s="245"/>
    </row>
    <row r="628" spans="1:12" x14ac:dyDescent="0.2">
      <c r="A628" s="528">
        <v>43244</v>
      </c>
      <c r="B628" s="506">
        <v>211720.43</v>
      </c>
      <c r="C628" s="528"/>
      <c r="D628" s="506"/>
    </row>
    <row r="629" spans="1:12" x14ac:dyDescent="0.2">
      <c r="A629" s="528">
        <v>43245</v>
      </c>
      <c r="B629" s="506">
        <v>211720</v>
      </c>
      <c r="C629" s="528"/>
      <c r="D629" s="506"/>
    </row>
    <row r="630" spans="1:12" x14ac:dyDescent="0.2">
      <c r="A630" s="528">
        <v>43248</v>
      </c>
      <c r="B630" s="506">
        <v>211720</v>
      </c>
      <c r="C630" s="528"/>
      <c r="D630" s="506"/>
    </row>
    <row r="631" spans="1:12" x14ac:dyDescent="0.2">
      <c r="A631" s="528">
        <v>43249</v>
      </c>
      <c r="B631" s="506">
        <v>176327.95</v>
      </c>
      <c r="C631" s="528"/>
      <c r="D631" s="506"/>
    </row>
    <row r="632" spans="1:12" x14ac:dyDescent="0.2">
      <c r="A632" s="528">
        <v>43250</v>
      </c>
      <c r="B632" s="506">
        <v>176328</v>
      </c>
      <c r="C632" s="528"/>
      <c r="D632" s="506"/>
    </row>
    <row r="633" spans="1:12" x14ac:dyDescent="0.2">
      <c r="A633" s="528">
        <v>43251</v>
      </c>
      <c r="B633" s="506">
        <v>169004.5</v>
      </c>
      <c r="C633" s="528"/>
      <c r="D633" s="506"/>
    </row>
    <row r="634" spans="1:12" x14ac:dyDescent="0.2">
      <c r="A634" s="528">
        <v>43252</v>
      </c>
      <c r="B634" s="506">
        <v>261992.26</v>
      </c>
      <c r="C634" s="528"/>
      <c r="D634" s="506"/>
    </row>
    <row r="635" spans="1:12" x14ac:dyDescent="0.2">
      <c r="A635" s="528">
        <v>43255</v>
      </c>
      <c r="B635" s="506">
        <v>270521.09000000003</v>
      </c>
      <c r="C635" s="528"/>
      <c r="D635" s="506"/>
    </row>
    <row r="636" spans="1:12" x14ac:dyDescent="0.2">
      <c r="A636" s="528">
        <v>43256</v>
      </c>
      <c r="B636" s="506">
        <v>285365.09000000003</v>
      </c>
      <c r="C636" s="528"/>
      <c r="D636" s="506"/>
    </row>
    <row r="637" spans="1:12" x14ac:dyDescent="0.2">
      <c r="A637" s="528">
        <v>43257</v>
      </c>
      <c r="B637" s="506">
        <v>285365</v>
      </c>
      <c r="C637" s="528"/>
      <c r="D637" s="506"/>
    </row>
    <row r="638" spans="1:12" x14ac:dyDescent="0.2">
      <c r="A638" s="528">
        <v>43258</v>
      </c>
      <c r="B638" s="506">
        <v>287246.65999999997</v>
      </c>
      <c r="C638" s="528"/>
      <c r="D638" s="506"/>
    </row>
    <row r="639" spans="1:12" x14ac:dyDescent="0.2">
      <c r="A639" s="528">
        <v>43259</v>
      </c>
      <c r="B639" s="506">
        <v>287247</v>
      </c>
      <c r="C639" s="528"/>
      <c r="D639" s="506"/>
    </row>
    <row r="640" spans="1:12" x14ac:dyDescent="0.2">
      <c r="A640" s="528">
        <v>43262</v>
      </c>
      <c r="B640" s="506">
        <v>287247</v>
      </c>
      <c r="C640" s="528"/>
      <c r="D640" s="506"/>
    </row>
    <row r="641" spans="1:4" x14ac:dyDescent="0.2">
      <c r="A641" s="528">
        <v>43263</v>
      </c>
      <c r="B641" s="506">
        <v>253042.79</v>
      </c>
      <c r="C641" s="528"/>
      <c r="D641" s="506"/>
    </row>
    <row r="642" spans="1:4" x14ac:dyDescent="0.2">
      <c r="A642" s="528">
        <v>43264</v>
      </c>
      <c r="B642" s="506">
        <v>253043</v>
      </c>
      <c r="C642" s="528"/>
      <c r="D642" s="506"/>
    </row>
    <row r="643" spans="1:4" x14ac:dyDescent="0.2">
      <c r="A643" s="528">
        <v>43265</v>
      </c>
      <c r="B643" s="506">
        <v>246521.36</v>
      </c>
      <c r="C643" s="528"/>
      <c r="D643" s="506"/>
    </row>
    <row r="644" spans="1:4" x14ac:dyDescent="0.2">
      <c r="A644" s="528">
        <v>43266</v>
      </c>
      <c r="B644" s="506">
        <v>246593.56</v>
      </c>
      <c r="C644" s="528"/>
      <c r="D644" s="506"/>
    </row>
    <row r="645" spans="1:4" x14ac:dyDescent="0.2">
      <c r="A645" s="528">
        <v>43269</v>
      </c>
      <c r="B645" s="506">
        <v>246594</v>
      </c>
      <c r="C645" s="528"/>
      <c r="D645" s="506"/>
    </row>
    <row r="646" spans="1:4" x14ac:dyDescent="0.2">
      <c r="A646" s="528">
        <v>43270</v>
      </c>
      <c r="B646" s="506">
        <v>246594</v>
      </c>
      <c r="C646" s="528"/>
      <c r="D646" s="506"/>
    </row>
    <row r="647" spans="1:4" x14ac:dyDescent="0.2">
      <c r="A647" s="528">
        <v>43271</v>
      </c>
      <c r="B647" s="506">
        <v>246594</v>
      </c>
      <c r="C647" s="528"/>
      <c r="D647" s="506"/>
    </row>
    <row r="648" spans="1:4" x14ac:dyDescent="0.2">
      <c r="A648" s="528">
        <v>43272</v>
      </c>
      <c r="B648" s="506">
        <v>228395.48</v>
      </c>
      <c r="C648" s="528"/>
      <c r="D648" s="506"/>
    </row>
    <row r="649" spans="1:4" x14ac:dyDescent="0.2">
      <c r="A649" s="528">
        <v>43273</v>
      </c>
      <c r="B649" s="506">
        <v>228395</v>
      </c>
      <c r="C649" s="528"/>
      <c r="D649" s="506"/>
    </row>
    <row r="650" spans="1:4" x14ac:dyDescent="0.2">
      <c r="A650" s="528">
        <v>43276</v>
      </c>
      <c r="B650" s="506">
        <v>192627.9</v>
      </c>
      <c r="C650" s="528"/>
      <c r="D650" s="506"/>
    </row>
    <row r="651" spans="1:4" x14ac:dyDescent="0.2">
      <c r="A651" s="528">
        <v>43277</v>
      </c>
      <c r="B651" s="506">
        <v>192628</v>
      </c>
      <c r="C651" s="528"/>
      <c r="D651" s="506"/>
    </row>
    <row r="652" spans="1:4" x14ac:dyDescent="0.2">
      <c r="A652" s="528">
        <v>43278</v>
      </c>
      <c r="B652" s="506">
        <v>192628</v>
      </c>
      <c r="C652" s="528"/>
      <c r="D652" s="506"/>
    </row>
    <row r="653" spans="1:4" x14ac:dyDescent="0.2">
      <c r="A653" s="528">
        <v>43279</v>
      </c>
      <c r="B653" s="506">
        <v>193904.61</v>
      </c>
      <c r="C653" s="528"/>
      <c r="D653" s="506"/>
    </row>
    <row r="654" spans="1:4" x14ac:dyDescent="0.2">
      <c r="A654" s="528">
        <v>43280</v>
      </c>
      <c r="B654" s="506">
        <v>195328.48</v>
      </c>
      <c r="C654" s="528"/>
      <c r="D654" s="506"/>
    </row>
    <row r="655" spans="1:4" x14ac:dyDescent="0.2">
      <c r="A655" s="528">
        <v>43283</v>
      </c>
      <c r="B655" s="506">
        <v>199304.09</v>
      </c>
      <c r="C655" s="528"/>
      <c r="D655" s="506"/>
    </row>
    <row r="656" spans="1:4" x14ac:dyDescent="0.2">
      <c r="A656" s="528">
        <v>43284</v>
      </c>
      <c r="B656" s="506">
        <v>201071.11</v>
      </c>
      <c r="C656" s="528"/>
      <c r="D656" s="506"/>
    </row>
    <row r="657" spans="1:4" x14ac:dyDescent="0.2">
      <c r="A657" s="528">
        <v>43285</v>
      </c>
      <c r="B657" s="506">
        <v>201071</v>
      </c>
      <c r="C657" s="528"/>
      <c r="D657" s="506"/>
    </row>
    <row r="658" spans="1:4" x14ac:dyDescent="0.2">
      <c r="A658" s="528">
        <v>43286</v>
      </c>
      <c r="B658" s="506">
        <v>223298.16</v>
      </c>
      <c r="C658" s="528"/>
      <c r="D658" s="506"/>
    </row>
    <row r="659" spans="1:4" x14ac:dyDescent="0.2">
      <c r="A659" s="528">
        <v>43287</v>
      </c>
      <c r="B659" s="506">
        <v>238962.66</v>
      </c>
      <c r="C659" s="528"/>
      <c r="D659" s="506"/>
    </row>
    <row r="660" spans="1:4" x14ac:dyDescent="0.2">
      <c r="A660" s="528">
        <v>43290</v>
      </c>
      <c r="B660" s="506">
        <v>203086.22</v>
      </c>
      <c r="C660" s="528"/>
      <c r="D660" s="506"/>
    </row>
    <row r="661" spans="1:4" x14ac:dyDescent="0.2">
      <c r="A661" s="528">
        <v>43291</v>
      </c>
      <c r="B661" s="506">
        <v>226930.31</v>
      </c>
      <c r="C661" s="528"/>
      <c r="D661" s="506"/>
    </row>
    <row r="662" spans="1:4" x14ac:dyDescent="0.2">
      <c r="A662" s="528">
        <v>43292</v>
      </c>
      <c r="B662" s="506">
        <v>226930</v>
      </c>
      <c r="C662" s="528"/>
      <c r="D662" s="506"/>
    </row>
    <row r="663" spans="1:4" x14ac:dyDescent="0.2">
      <c r="A663" s="528">
        <v>43293</v>
      </c>
      <c r="B663" s="506">
        <v>220822.05</v>
      </c>
      <c r="C663" s="528"/>
      <c r="D663" s="506"/>
    </row>
    <row r="664" spans="1:4" x14ac:dyDescent="0.2">
      <c r="A664" s="528">
        <v>43294</v>
      </c>
      <c r="B664" s="506">
        <v>220986.35</v>
      </c>
      <c r="C664" s="528"/>
      <c r="D664" s="506"/>
    </row>
    <row r="665" spans="1:4" x14ac:dyDescent="0.2">
      <c r="A665" s="528">
        <v>43297</v>
      </c>
      <c r="B665" s="506">
        <v>220986</v>
      </c>
      <c r="C665" s="528"/>
      <c r="D665" s="506"/>
    </row>
    <row r="666" spans="1:4" x14ac:dyDescent="0.2">
      <c r="A666" s="528">
        <v>43298</v>
      </c>
      <c r="B666" s="506">
        <v>220986</v>
      </c>
      <c r="C666" s="528"/>
      <c r="D666" s="506"/>
    </row>
    <row r="667" spans="1:4" x14ac:dyDescent="0.2">
      <c r="A667" s="528">
        <v>43299</v>
      </c>
      <c r="B667" s="506">
        <v>197995.27</v>
      </c>
      <c r="C667" s="528"/>
      <c r="D667" s="506"/>
    </row>
    <row r="668" spans="1:4" x14ac:dyDescent="0.2">
      <c r="A668" s="528">
        <v>43300</v>
      </c>
      <c r="B668" s="506">
        <v>202931.61</v>
      </c>
      <c r="C668" s="528"/>
      <c r="D668" s="506"/>
    </row>
    <row r="669" spans="1:4" x14ac:dyDescent="0.2">
      <c r="A669" s="528">
        <v>43301</v>
      </c>
      <c r="B669" s="506">
        <v>202932</v>
      </c>
      <c r="C669" s="528"/>
      <c r="D669" s="506"/>
    </row>
    <row r="670" spans="1:4" x14ac:dyDescent="0.2">
      <c r="A670" s="528">
        <v>43304</v>
      </c>
      <c r="B670" s="506">
        <v>167839.6</v>
      </c>
      <c r="C670" s="528"/>
      <c r="D670" s="506"/>
    </row>
    <row r="671" spans="1:4" x14ac:dyDescent="0.2">
      <c r="A671" s="528">
        <v>43305</v>
      </c>
      <c r="B671" s="506">
        <v>167840</v>
      </c>
      <c r="C671" s="528"/>
      <c r="D671" s="506"/>
    </row>
    <row r="672" spans="1:4" x14ac:dyDescent="0.2">
      <c r="A672" s="528">
        <v>43306</v>
      </c>
      <c r="B672" s="506">
        <v>167840</v>
      </c>
      <c r="C672" s="528"/>
      <c r="D672" s="506"/>
    </row>
    <row r="673" spans="1:4" x14ac:dyDescent="0.2">
      <c r="A673" s="528">
        <v>43307</v>
      </c>
      <c r="B673" s="506">
        <v>180485.58</v>
      </c>
      <c r="C673" s="528"/>
      <c r="D673" s="506"/>
    </row>
    <row r="674" spans="1:4" x14ac:dyDescent="0.2">
      <c r="A674" s="528">
        <v>43308</v>
      </c>
      <c r="B674" s="506">
        <v>205676.09</v>
      </c>
      <c r="C674" s="528"/>
      <c r="D674" s="506"/>
    </row>
    <row r="675" spans="1:4" x14ac:dyDescent="0.2">
      <c r="A675" s="528">
        <v>43311</v>
      </c>
      <c r="B675" s="506">
        <v>199229.46</v>
      </c>
      <c r="C675" s="528"/>
      <c r="D675" s="506"/>
    </row>
    <row r="676" spans="1:4" x14ac:dyDescent="0.2">
      <c r="A676" s="528">
        <v>43312</v>
      </c>
      <c r="B676" s="506">
        <v>199612.46</v>
      </c>
      <c r="C676" s="528"/>
      <c r="D676" s="506"/>
    </row>
    <row r="677" spans="1:4" x14ac:dyDescent="0.2">
      <c r="A677" s="528">
        <v>43313</v>
      </c>
      <c r="B677" s="506">
        <v>327321.84000000003</v>
      </c>
      <c r="C677" s="528"/>
      <c r="D677" s="506"/>
    </row>
    <row r="678" spans="1:4" x14ac:dyDescent="0.2">
      <c r="A678" s="528">
        <v>43314</v>
      </c>
      <c r="B678" s="506">
        <v>328551.67</v>
      </c>
      <c r="C678" s="528"/>
      <c r="D678" s="506"/>
    </row>
    <row r="679" spans="1:4" x14ac:dyDescent="0.2">
      <c r="A679" s="528">
        <v>43315</v>
      </c>
      <c r="B679" s="506">
        <v>328552</v>
      </c>
      <c r="C679" s="528"/>
      <c r="D679" s="506"/>
    </row>
    <row r="680" spans="1:4" x14ac:dyDescent="0.2">
      <c r="A680" s="528">
        <v>43318</v>
      </c>
      <c r="B680" s="506">
        <v>293600.95</v>
      </c>
      <c r="C680" s="528"/>
      <c r="D680" s="506"/>
    </row>
    <row r="681" spans="1:4" x14ac:dyDescent="0.2">
      <c r="A681" s="528">
        <v>43319</v>
      </c>
      <c r="B681" s="506">
        <v>298153.56</v>
      </c>
      <c r="C681" s="528"/>
      <c r="D681" s="506"/>
    </row>
    <row r="682" spans="1:4" x14ac:dyDescent="0.2">
      <c r="A682" s="528">
        <v>43320</v>
      </c>
      <c r="B682" s="506">
        <v>298154</v>
      </c>
      <c r="C682" s="528"/>
      <c r="D682" s="506"/>
    </row>
    <row r="683" spans="1:4" x14ac:dyDescent="0.2">
      <c r="A683" s="528">
        <v>43321</v>
      </c>
      <c r="B683" s="506">
        <v>294180.65999999997</v>
      </c>
      <c r="C683" s="528"/>
      <c r="D683" s="506"/>
    </row>
    <row r="684" spans="1:4" x14ac:dyDescent="0.2">
      <c r="A684" s="528">
        <v>43322</v>
      </c>
      <c r="B684" s="506">
        <v>294181</v>
      </c>
      <c r="C684" s="528"/>
      <c r="D684" s="506"/>
    </row>
    <row r="685" spans="1:4" x14ac:dyDescent="0.2">
      <c r="A685" s="528">
        <v>43325</v>
      </c>
      <c r="B685" s="506">
        <v>294679.65999999997</v>
      </c>
      <c r="C685" s="528"/>
      <c r="D685" s="506"/>
    </row>
    <row r="686" spans="1:4" x14ac:dyDescent="0.2">
      <c r="A686" s="528">
        <v>43326</v>
      </c>
      <c r="B686" s="506">
        <v>294680</v>
      </c>
      <c r="C686" s="528"/>
      <c r="D686" s="506"/>
    </row>
    <row r="687" spans="1:4" x14ac:dyDescent="0.2">
      <c r="A687" s="528">
        <v>43327</v>
      </c>
      <c r="B687" s="506">
        <v>294761.65000000002</v>
      </c>
      <c r="C687" s="528"/>
      <c r="D687" s="506"/>
    </row>
    <row r="688" spans="1:4" x14ac:dyDescent="0.2">
      <c r="A688" s="528">
        <v>43328</v>
      </c>
      <c r="B688" s="506">
        <v>290632.52</v>
      </c>
      <c r="C688" s="528"/>
      <c r="D688" s="506"/>
    </row>
    <row r="689" spans="1:4" x14ac:dyDescent="0.2">
      <c r="A689" s="528">
        <v>43329</v>
      </c>
      <c r="B689" s="506">
        <v>290633</v>
      </c>
      <c r="C689" s="528"/>
      <c r="D689" s="506"/>
    </row>
    <row r="690" spans="1:4" x14ac:dyDescent="0.2">
      <c r="A690" s="528">
        <v>43332</v>
      </c>
      <c r="B690" s="506">
        <v>254427.11</v>
      </c>
      <c r="C690" s="528"/>
      <c r="D690" s="506"/>
    </row>
    <row r="691" spans="1:4" x14ac:dyDescent="0.2">
      <c r="A691" s="528">
        <v>43333</v>
      </c>
      <c r="B691" s="506">
        <v>255823.93</v>
      </c>
      <c r="C691" s="528"/>
      <c r="D691" s="506"/>
    </row>
    <row r="692" spans="1:4" x14ac:dyDescent="0.2">
      <c r="A692" s="528">
        <v>43334</v>
      </c>
      <c r="B692" s="506">
        <v>255419.13</v>
      </c>
      <c r="C692" s="528"/>
      <c r="D692" s="506"/>
    </row>
    <row r="693" spans="1:4" x14ac:dyDescent="0.2">
      <c r="A693" s="528">
        <v>43335</v>
      </c>
      <c r="B693" s="506">
        <v>272759.37</v>
      </c>
      <c r="C693" s="528"/>
      <c r="D693" s="506"/>
    </row>
    <row r="694" spans="1:4" x14ac:dyDescent="0.2">
      <c r="A694" s="528">
        <v>43336</v>
      </c>
      <c r="B694" s="506">
        <v>272846.37</v>
      </c>
      <c r="C694" s="528"/>
      <c r="D694" s="506"/>
    </row>
    <row r="695" spans="1:4" x14ac:dyDescent="0.2">
      <c r="A695" s="528">
        <v>43339</v>
      </c>
      <c r="B695" s="506">
        <v>272846</v>
      </c>
      <c r="C695" s="528"/>
      <c r="D695" s="506"/>
    </row>
    <row r="696" spans="1:4" x14ac:dyDescent="0.2">
      <c r="A696" s="528">
        <v>43340</v>
      </c>
      <c r="B696" s="506">
        <v>272846</v>
      </c>
      <c r="C696" s="528"/>
      <c r="D696" s="506"/>
    </row>
    <row r="697" spans="1:4" x14ac:dyDescent="0.2">
      <c r="A697" s="528">
        <v>43341</v>
      </c>
      <c r="B697" s="506">
        <v>276622.58</v>
      </c>
      <c r="C697" s="528"/>
      <c r="D697" s="506"/>
    </row>
    <row r="698" spans="1:4" x14ac:dyDescent="0.2">
      <c r="A698" s="528">
        <v>43342</v>
      </c>
      <c r="B698" s="506">
        <v>276623</v>
      </c>
      <c r="C698" s="528"/>
      <c r="D698" s="506"/>
    </row>
    <row r="699" spans="1:4" x14ac:dyDescent="0.2">
      <c r="A699" s="528">
        <v>43343</v>
      </c>
      <c r="B699" s="506">
        <v>276773.33</v>
      </c>
      <c r="C699" s="528"/>
      <c r="D699" s="506"/>
    </row>
    <row r="700" spans="1:4" x14ac:dyDescent="0.2">
      <c r="A700" s="528">
        <v>43346</v>
      </c>
      <c r="B700" s="506">
        <v>276773</v>
      </c>
      <c r="C700" s="528"/>
      <c r="D700" s="506"/>
    </row>
    <row r="701" spans="1:4" x14ac:dyDescent="0.2">
      <c r="A701" s="528">
        <v>43347</v>
      </c>
      <c r="B701" s="506">
        <v>240090.56</v>
      </c>
      <c r="C701" s="528"/>
      <c r="D701" s="506"/>
    </row>
    <row r="702" spans="1:4" x14ac:dyDescent="0.2">
      <c r="A702" s="528">
        <v>43348</v>
      </c>
      <c r="B702" s="506">
        <v>240091</v>
      </c>
      <c r="C702" s="528"/>
      <c r="D702" s="506"/>
    </row>
    <row r="703" spans="1:4" x14ac:dyDescent="0.2">
      <c r="A703" s="528">
        <v>43349</v>
      </c>
      <c r="B703" s="506">
        <v>237779.31</v>
      </c>
      <c r="C703" s="528"/>
      <c r="D703" s="506"/>
    </row>
    <row r="704" spans="1:4" x14ac:dyDescent="0.2">
      <c r="A704" s="528">
        <v>43350</v>
      </c>
      <c r="B704" s="506">
        <v>237779</v>
      </c>
      <c r="C704" s="528"/>
      <c r="D704" s="506"/>
    </row>
    <row r="705" spans="1:4" x14ac:dyDescent="0.2">
      <c r="A705" s="528">
        <v>43353</v>
      </c>
      <c r="B705" s="506">
        <v>243552.34</v>
      </c>
      <c r="C705" s="528"/>
      <c r="D705" s="506"/>
    </row>
    <row r="706" spans="1:4" x14ac:dyDescent="0.2">
      <c r="A706" s="528">
        <v>43354</v>
      </c>
      <c r="B706" s="506">
        <v>243552</v>
      </c>
      <c r="C706" s="528"/>
      <c r="D706" s="506"/>
    </row>
    <row r="707" spans="1:4" x14ac:dyDescent="0.2">
      <c r="A707" s="528">
        <v>43355</v>
      </c>
      <c r="B707" s="506">
        <v>243552</v>
      </c>
      <c r="C707" s="528"/>
      <c r="D707" s="506"/>
    </row>
    <row r="708" spans="1:4" x14ac:dyDescent="0.2">
      <c r="A708" s="528">
        <v>43356</v>
      </c>
      <c r="B708" s="506">
        <v>266009.96000000002</v>
      </c>
      <c r="C708" s="528"/>
      <c r="D708" s="506"/>
    </row>
    <row r="709" spans="1:4" x14ac:dyDescent="0.2">
      <c r="A709" s="528">
        <v>43357</v>
      </c>
      <c r="B709" s="506">
        <v>266087.59999999998</v>
      </c>
      <c r="C709" s="528"/>
      <c r="D709" s="506"/>
    </row>
    <row r="710" spans="1:4" x14ac:dyDescent="0.2">
      <c r="A710" s="528">
        <v>43360</v>
      </c>
      <c r="B710" s="506">
        <v>229939.6</v>
      </c>
      <c r="C710" s="528"/>
      <c r="D710" s="506"/>
    </row>
    <row r="711" spans="1:4" x14ac:dyDescent="0.2">
      <c r="A711" s="528">
        <v>43361</v>
      </c>
      <c r="B711" s="506">
        <v>229940</v>
      </c>
      <c r="C711" s="528"/>
      <c r="D711" s="506"/>
    </row>
    <row r="712" spans="1:4" x14ac:dyDescent="0.2">
      <c r="A712" s="528">
        <v>43362</v>
      </c>
      <c r="B712" s="506">
        <v>229940</v>
      </c>
      <c r="C712" s="528"/>
      <c r="D712" s="506"/>
    </row>
    <row r="713" spans="1:4" x14ac:dyDescent="0.2">
      <c r="A713" s="528">
        <v>43363</v>
      </c>
      <c r="B713" s="506">
        <v>226983.82</v>
      </c>
      <c r="C713" s="528"/>
      <c r="D713" s="506"/>
    </row>
    <row r="714" spans="1:4" x14ac:dyDescent="0.2">
      <c r="A714" s="528">
        <v>43364</v>
      </c>
      <c r="B714" s="506">
        <v>226983.82</v>
      </c>
      <c r="C714" s="528"/>
      <c r="D714" s="506"/>
    </row>
    <row r="715" spans="1:4" x14ac:dyDescent="0.2">
      <c r="A715" s="528">
        <v>43367</v>
      </c>
      <c r="B715" s="506">
        <v>231167.41</v>
      </c>
      <c r="C715" s="528"/>
      <c r="D715" s="506"/>
    </row>
    <row r="716" spans="1:4" x14ac:dyDescent="0.2">
      <c r="A716" s="528">
        <v>43368</v>
      </c>
      <c r="B716" s="506">
        <v>231298.26</v>
      </c>
      <c r="C716" s="528"/>
      <c r="D716" s="506"/>
    </row>
    <row r="717" spans="1:4" x14ac:dyDescent="0.2">
      <c r="A717" s="528">
        <v>43369</v>
      </c>
      <c r="B717" s="506">
        <v>231298</v>
      </c>
      <c r="C717" s="528"/>
      <c r="D717" s="506"/>
    </row>
    <row r="718" spans="1:4" x14ac:dyDescent="0.2">
      <c r="A718" s="528">
        <v>43370</v>
      </c>
      <c r="B718" s="506">
        <v>218195.44</v>
      </c>
      <c r="C718" s="528"/>
      <c r="D718" s="506"/>
    </row>
    <row r="719" spans="1:4" x14ac:dyDescent="0.2">
      <c r="A719" s="528">
        <v>43371</v>
      </c>
      <c r="B719" s="506">
        <v>218195</v>
      </c>
      <c r="C719" s="528"/>
      <c r="D719" s="506"/>
    </row>
    <row r="720" spans="1:4" x14ac:dyDescent="0.2">
      <c r="A720" s="528">
        <v>43374</v>
      </c>
      <c r="B720" s="506">
        <v>181738.47</v>
      </c>
      <c r="C720" s="528"/>
      <c r="D720" s="506"/>
    </row>
    <row r="721" spans="1:4" x14ac:dyDescent="0.2">
      <c r="A721" s="528">
        <v>43375</v>
      </c>
      <c r="B721" s="506">
        <v>175674.86</v>
      </c>
      <c r="C721" s="528"/>
      <c r="D721" s="506"/>
    </row>
    <row r="722" spans="1:4" x14ac:dyDescent="0.2">
      <c r="A722" s="528">
        <v>43376</v>
      </c>
      <c r="B722" s="506">
        <v>175890.11</v>
      </c>
      <c r="C722" s="528"/>
      <c r="D722" s="506"/>
    </row>
    <row r="723" spans="1:4" x14ac:dyDescent="0.2">
      <c r="A723" s="528">
        <v>43377</v>
      </c>
      <c r="B723" s="506">
        <v>176908.84</v>
      </c>
      <c r="C723" s="528"/>
      <c r="D723" s="506"/>
    </row>
    <row r="724" spans="1:4" x14ac:dyDescent="0.2">
      <c r="A724" s="528">
        <v>43378</v>
      </c>
      <c r="B724" s="506">
        <v>176909</v>
      </c>
      <c r="C724" s="528"/>
      <c r="D724" s="506"/>
    </row>
    <row r="725" spans="1:4" x14ac:dyDescent="0.2">
      <c r="A725" s="528">
        <v>43381</v>
      </c>
      <c r="B725" s="506">
        <v>176909</v>
      </c>
      <c r="C725" s="528"/>
      <c r="D725" s="506"/>
    </row>
    <row r="726" spans="1:4" x14ac:dyDescent="0.2">
      <c r="A726" s="528">
        <v>43382</v>
      </c>
      <c r="B726" s="506">
        <v>226038.22</v>
      </c>
      <c r="C726" s="528"/>
      <c r="D726" s="506"/>
    </row>
    <row r="727" spans="1:4" x14ac:dyDescent="0.2">
      <c r="A727" s="528">
        <v>43383</v>
      </c>
      <c r="B727" s="506">
        <v>226038</v>
      </c>
      <c r="C727" s="528"/>
      <c r="D727" s="506"/>
    </row>
    <row r="728" spans="1:4" x14ac:dyDescent="0.2">
      <c r="A728" s="528">
        <v>43384</v>
      </c>
      <c r="B728" s="506">
        <v>223293.31</v>
      </c>
      <c r="C728" s="528"/>
      <c r="D728" s="506"/>
    </row>
    <row r="729" spans="1:4" x14ac:dyDescent="0.2">
      <c r="A729" s="528">
        <v>43385</v>
      </c>
      <c r="B729" s="506">
        <v>272327.27</v>
      </c>
      <c r="C729" s="528"/>
      <c r="D729" s="506"/>
    </row>
    <row r="730" spans="1:4" x14ac:dyDescent="0.2">
      <c r="A730" s="528">
        <v>43388</v>
      </c>
      <c r="B730" s="506">
        <v>236397.34</v>
      </c>
      <c r="C730" s="528"/>
      <c r="D730" s="506"/>
    </row>
    <row r="731" spans="1:4" x14ac:dyDescent="0.2">
      <c r="A731" s="528">
        <v>43389</v>
      </c>
      <c r="B731" s="506">
        <v>236553.84</v>
      </c>
      <c r="C731" s="528"/>
      <c r="D731" s="506"/>
    </row>
    <row r="732" spans="1:4" x14ac:dyDescent="0.2">
      <c r="A732" s="528">
        <v>43390</v>
      </c>
      <c r="B732" s="506">
        <v>249133.92</v>
      </c>
      <c r="C732" s="528"/>
      <c r="D732" s="506"/>
    </row>
    <row r="733" spans="1:4" x14ac:dyDescent="0.2">
      <c r="A733" s="528">
        <v>43391</v>
      </c>
      <c r="B733" s="506">
        <v>254043.68</v>
      </c>
      <c r="C733" s="528"/>
      <c r="D733" s="506"/>
    </row>
    <row r="734" spans="1:4" x14ac:dyDescent="0.2">
      <c r="A734" s="528">
        <v>43392</v>
      </c>
      <c r="B734" s="506">
        <v>254064.5</v>
      </c>
      <c r="C734" s="528"/>
      <c r="D734" s="506"/>
    </row>
    <row r="735" spans="1:4" x14ac:dyDescent="0.2">
      <c r="A735" s="528">
        <v>43395</v>
      </c>
      <c r="B735" s="506">
        <v>290142.09999999998</v>
      </c>
      <c r="C735" s="528"/>
      <c r="D735" s="506"/>
    </row>
    <row r="736" spans="1:4" x14ac:dyDescent="0.2">
      <c r="A736" s="528">
        <v>43396</v>
      </c>
      <c r="B736" s="506">
        <v>290142</v>
      </c>
      <c r="C736" s="528"/>
      <c r="D736" s="506"/>
    </row>
    <row r="737" spans="1:4" x14ac:dyDescent="0.2">
      <c r="A737" s="528">
        <v>43397</v>
      </c>
      <c r="B737" s="506">
        <v>290034.38</v>
      </c>
      <c r="C737" s="528"/>
      <c r="D737" s="506"/>
    </row>
    <row r="738" spans="1:4" x14ac:dyDescent="0.2">
      <c r="A738" s="528">
        <v>43398</v>
      </c>
      <c r="B738" s="506">
        <v>291747.36</v>
      </c>
      <c r="C738" s="528"/>
      <c r="D738" s="506"/>
    </row>
    <row r="739" spans="1:4" x14ac:dyDescent="0.2">
      <c r="A739" s="528">
        <v>43399</v>
      </c>
      <c r="B739" s="506">
        <v>306637.48</v>
      </c>
      <c r="C739" s="528"/>
      <c r="D739" s="506"/>
    </row>
    <row r="740" spans="1:4" x14ac:dyDescent="0.2">
      <c r="A740" s="528">
        <v>43402</v>
      </c>
      <c r="B740" s="506">
        <v>270401.28999999998</v>
      </c>
      <c r="C740" s="528"/>
      <c r="D740" s="506"/>
    </row>
    <row r="741" spans="1:4" x14ac:dyDescent="0.2">
      <c r="A741" s="528">
        <v>43403</v>
      </c>
      <c r="B741" s="506">
        <v>278028.58</v>
      </c>
      <c r="C741" s="528"/>
      <c r="D741" s="506"/>
    </row>
    <row r="742" spans="1:4" x14ac:dyDescent="0.2">
      <c r="A742" s="528">
        <v>43404</v>
      </c>
      <c r="B742" s="506">
        <v>278029</v>
      </c>
      <c r="C742" s="528"/>
      <c r="D742" s="506"/>
    </row>
    <row r="743" spans="1:4" x14ac:dyDescent="0.2">
      <c r="A743" s="528">
        <v>43405</v>
      </c>
      <c r="B743" s="506">
        <v>279523.53000000003</v>
      </c>
      <c r="C743" s="528"/>
      <c r="D743" s="506"/>
    </row>
    <row r="744" spans="1:4" x14ac:dyDescent="0.2">
      <c r="A744" s="528">
        <v>43406</v>
      </c>
      <c r="B744" s="506">
        <v>303100.06</v>
      </c>
      <c r="C744" s="528"/>
      <c r="D744" s="506"/>
    </row>
    <row r="745" spans="1:4" x14ac:dyDescent="0.2">
      <c r="A745" s="528">
        <v>43409</v>
      </c>
      <c r="B745" s="506">
        <v>303100.06</v>
      </c>
      <c r="C745" s="528"/>
      <c r="D745" s="506"/>
    </row>
    <row r="746" spans="1:4" x14ac:dyDescent="0.2">
      <c r="A746" s="528">
        <v>43410</v>
      </c>
      <c r="B746" s="506">
        <v>303100.06</v>
      </c>
      <c r="C746" s="528"/>
      <c r="D746" s="506"/>
    </row>
    <row r="747" spans="1:4" x14ac:dyDescent="0.2">
      <c r="A747" s="528">
        <v>43411</v>
      </c>
      <c r="B747" s="506">
        <v>303954.14</v>
      </c>
      <c r="C747" s="528"/>
      <c r="D747" s="506"/>
    </row>
    <row r="748" spans="1:4" x14ac:dyDescent="0.2">
      <c r="A748" s="528">
        <v>43412</v>
      </c>
      <c r="B748" s="506">
        <v>294843.14</v>
      </c>
      <c r="C748" s="528"/>
      <c r="D748" s="506"/>
    </row>
    <row r="749" spans="1:4" x14ac:dyDescent="0.2">
      <c r="A749" s="528">
        <v>43413</v>
      </c>
      <c r="B749" s="506">
        <v>294843</v>
      </c>
      <c r="C749" s="528"/>
      <c r="D749" s="506"/>
    </row>
    <row r="750" spans="1:4" x14ac:dyDescent="0.2">
      <c r="A750" s="528">
        <v>43416</v>
      </c>
      <c r="B750" s="506">
        <v>294843</v>
      </c>
      <c r="C750" s="528"/>
      <c r="D750" s="506"/>
    </row>
    <row r="751" spans="1:4" x14ac:dyDescent="0.2">
      <c r="A751" s="528">
        <v>43417</v>
      </c>
      <c r="B751" s="506">
        <v>294843</v>
      </c>
      <c r="C751" s="528"/>
      <c r="D751" s="506"/>
    </row>
    <row r="752" spans="1:4" x14ac:dyDescent="0.2">
      <c r="A752" s="528">
        <v>43418</v>
      </c>
      <c r="B752" s="506">
        <v>259514.47</v>
      </c>
      <c r="C752" s="528"/>
      <c r="D752" s="506"/>
    </row>
    <row r="753" spans="1:4" x14ac:dyDescent="0.2">
      <c r="A753" s="528">
        <v>43419</v>
      </c>
      <c r="B753" s="506">
        <v>255987.45</v>
      </c>
      <c r="C753" s="528"/>
      <c r="D753" s="506"/>
    </row>
    <row r="754" spans="1:4" x14ac:dyDescent="0.2">
      <c r="A754" s="528">
        <v>43420</v>
      </c>
      <c r="B754" s="506">
        <v>255987.45</v>
      </c>
      <c r="C754" s="528"/>
      <c r="D754" s="506"/>
    </row>
    <row r="755" spans="1:4" x14ac:dyDescent="0.2">
      <c r="A755" s="528">
        <v>43423</v>
      </c>
      <c r="B755" s="506">
        <v>255987.45</v>
      </c>
      <c r="C755" s="528"/>
      <c r="D755" s="506"/>
    </row>
    <row r="756" spans="1:4" x14ac:dyDescent="0.2">
      <c r="A756" s="528">
        <v>43424</v>
      </c>
      <c r="B756" s="506">
        <v>254650.75</v>
      </c>
      <c r="C756" s="528"/>
      <c r="D756" s="506"/>
    </row>
    <row r="757" spans="1:4" x14ac:dyDescent="0.2">
      <c r="A757" s="528">
        <v>43425</v>
      </c>
      <c r="B757" s="506">
        <v>298403.21000000002</v>
      </c>
      <c r="C757" s="528"/>
      <c r="D757" s="506"/>
    </row>
    <row r="758" spans="1:4" x14ac:dyDescent="0.2">
      <c r="A758" s="528">
        <v>43426</v>
      </c>
      <c r="B758" s="506">
        <v>300529.64</v>
      </c>
      <c r="C758" s="528"/>
      <c r="D758" s="506"/>
    </row>
    <row r="759" spans="1:4" x14ac:dyDescent="0.2">
      <c r="A759" s="528">
        <v>43427</v>
      </c>
      <c r="B759" s="506">
        <v>300229.64</v>
      </c>
      <c r="C759" s="528"/>
      <c r="D759" s="506"/>
    </row>
    <row r="760" spans="1:4" x14ac:dyDescent="0.2">
      <c r="A760" s="528">
        <v>43430</v>
      </c>
      <c r="B760" s="506">
        <v>300230</v>
      </c>
      <c r="C760" s="528"/>
      <c r="D760" s="506"/>
    </row>
    <row r="761" spans="1:4" x14ac:dyDescent="0.2">
      <c r="A761" s="528">
        <v>43431</v>
      </c>
      <c r="B761" s="506">
        <v>267674.82</v>
      </c>
      <c r="C761" s="528"/>
      <c r="D761" s="506"/>
    </row>
    <row r="762" spans="1:4" x14ac:dyDescent="0.2">
      <c r="A762" s="528">
        <v>43432</v>
      </c>
      <c r="B762" s="506">
        <v>273448.82</v>
      </c>
      <c r="C762" s="528"/>
      <c r="D762" s="506"/>
    </row>
    <row r="763" spans="1:4" x14ac:dyDescent="0.2">
      <c r="A763" s="528">
        <v>43433</v>
      </c>
      <c r="B763" s="506">
        <v>252527.09</v>
      </c>
      <c r="C763" s="528"/>
      <c r="D763" s="506"/>
    </row>
    <row r="764" spans="1:4" x14ac:dyDescent="0.2">
      <c r="A764" s="528">
        <v>43434</v>
      </c>
      <c r="B764" s="506">
        <v>321968.59000000003</v>
      </c>
      <c r="C764" s="528"/>
      <c r="D764" s="506"/>
    </row>
    <row r="765" spans="1:4" x14ac:dyDescent="0.2">
      <c r="A765" s="528">
        <v>43437</v>
      </c>
      <c r="B765" s="506">
        <v>321969</v>
      </c>
      <c r="C765" s="528"/>
      <c r="D765" s="506"/>
    </row>
    <row r="766" spans="1:4" x14ac:dyDescent="0.2">
      <c r="A766" s="528">
        <v>43438</v>
      </c>
      <c r="B766" s="506">
        <v>321969</v>
      </c>
      <c r="C766" s="528"/>
      <c r="D766" s="506"/>
    </row>
    <row r="767" spans="1:4" x14ac:dyDescent="0.2">
      <c r="A767" s="528">
        <v>43439</v>
      </c>
      <c r="B767" s="506">
        <v>321969</v>
      </c>
      <c r="C767" s="528"/>
      <c r="D767" s="506"/>
    </row>
    <row r="768" spans="1:4" x14ac:dyDescent="0.2">
      <c r="A768" s="528">
        <v>43440</v>
      </c>
      <c r="B768" s="506">
        <v>314251.55</v>
      </c>
      <c r="C768" s="528"/>
      <c r="D768" s="506"/>
    </row>
    <row r="769" spans="1:4" x14ac:dyDescent="0.2">
      <c r="A769" s="528">
        <v>43441</v>
      </c>
      <c r="B769" s="506">
        <v>315739.42</v>
      </c>
      <c r="C769" s="528"/>
      <c r="D769" s="506"/>
    </row>
    <row r="770" spans="1:4" x14ac:dyDescent="0.2">
      <c r="A770" s="528">
        <v>43444</v>
      </c>
      <c r="B770" s="506">
        <v>315739</v>
      </c>
      <c r="C770" s="528"/>
      <c r="D770" s="506"/>
    </row>
    <row r="771" spans="1:4" x14ac:dyDescent="0.2">
      <c r="A771" s="528">
        <v>43445</v>
      </c>
      <c r="B771" s="506">
        <v>275506.94</v>
      </c>
      <c r="C771" s="528"/>
      <c r="D771" s="506"/>
    </row>
    <row r="772" spans="1:4" x14ac:dyDescent="0.2">
      <c r="A772" s="528">
        <v>43446</v>
      </c>
      <c r="B772" s="506">
        <v>275507</v>
      </c>
      <c r="C772" s="528"/>
      <c r="D772" s="506"/>
    </row>
    <row r="773" spans="1:4" x14ac:dyDescent="0.2">
      <c r="A773" s="528">
        <v>43447</v>
      </c>
      <c r="B773" s="506">
        <v>289896.89</v>
      </c>
      <c r="C773" s="528"/>
      <c r="D773" s="506"/>
    </row>
    <row r="774" spans="1:4" x14ac:dyDescent="0.2">
      <c r="A774" s="528">
        <v>43448</v>
      </c>
      <c r="B774" s="506">
        <v>313281.34999999998</v>
      </c>
      <c r="C774" s="528"/>
      <c r="D774" s="506"/>
    </row>
    <row r="775" spans="1:4" x14ac:dyDescent="0.2">
      <c r="A775" s="528">
        <v>43451</v>
      </c>
      <c r="B775" s="506">
        <v>313281</v>
      </c>
      <c r="C775" s="528"/>
      <c r="D775" s="506"/>
    </row>
    <row r="776" spans="1:4" x14ac:dyDescent="0.2">
      <c r="A776" s="528">
        <v>43452</v>
      </c>
      <c r="B776" s="506">
        <v>317556.84999999998</v>
      </c>
      <c r="C776" s="528"/>
      <c r="D776" s="506"/>
    </row>
    <row r="777" spans="1:4" x14ac:dyDescent="0.2">
      <c r="A777" s="528">
        <v>43453</v>
      </c>
      <c r="B777" s="506">
        <v>317557</v>
      </c>
      <c r="C777" s="528"/>
      <c r="D777" s="506"/>
    </row>
    <row r="778" spans="1:4" x14ac:dyDescent="0.2">
      <c r="A778" s="528">
        <v>43454</v>
      </c>
      <c r="B778" s="506">
        <v>297159.33</v>
      </c>
      <c r="C778" s="528"/>
      <c r="D778" s="506"/>
    </row>
    <row r="779" spans="1:4" x14ac:dyDescent="0.2">
      <c r="A779" s="528">
        <v>43455</v>
      </c>
      <c r="B779" s="506">
        <v>297159</v>
      </c>
      <c r="C779" s="528"/>
      <c r="D779" s="506"/>
    </row>
    <row r="780" spans="1:4" x14ac:dyDescent="0.2">
      <c r="A780" s="528">
        <v>43458</v>
      </c>
      <c r="B780" s="506">
        <v>260233.37</v>
      </c>
      <c r="C780" s="528"/>
      <c r="D780" s="506"/>
    </row>
    <row r="781" spans="1:4" x14ac:dyDescent="0.2">
      <c r="A781" s="528">
        <v>43459</v>
      </c>
      <c r="B781" s="506">
        <v>260233</v>
      </c>
      <c r="C781" s="528"/>
      <c r="D781" s="506"/>
    </row>
    <row r="782" spans="1:4" x14ac:dyDescent="0.2">
      <c r="A782" s="528">
        <v>43460</v>
      </c>
      <c r="B782" s="506">
        <v>261845.78</v>
      </c>
      <c r="C782" s="528"/>
      <c r="D782" s="506"/>
    </row>
    <row r="783" spans="1:4" x14ac:dyDescent="0.2">
      <c r="A783" s="528">
        <v>43461</v>
      </c>
      <c r="B783" s="506">
        <v>261846</v>
      </c>
      <c r="C783" s="528"/>
      <c r="D783" s="506"/>
    </row>
    <row r="784" spans="1:4" x14ac:dyDescent="0.2">
      <c r="A784" s="528">
        <v>43462</v>
      </c>
      <c r="B784" s="506">
        <v>273805.40000000002</v>
      </c>
      <c r="C784" s="528"/>
      <c r="D784" s="506"/>
    </row>
    <row r="785" spans="1:4" x14ac:dyDescent="0.2">
      <c r="A785" s="528">
        <v>43465</v>
      </c>
      <c r="B785" s="506">
        <v>274101.40000000002</v>
      </c>
      <c r="C785" s="528"/>
      <c r="D785" s="506"/>
    </row>
    <row r="786" spans="1:4" x14ac:dyDescent="0.2">
      <c r="A786" s="528">
        <v>43466</v>
      </c>
      <c r="B786" s="506">
        <v>274101</v>
      </c>
      <c r="C786" s="528"/>
      <c r="D786" s="506"/>
    </row>
    <row r="787" spans="1:4" x14ac:dyDescent="0.2">
      <c r="A787" s="528">
        <v>43467</v>
      </c>
      <c r="B787" s="506">
        <v>299108.40000000002</v>
      </c>
      <c r="C787" s="528"/>
      <c r="D787" s="506"/>
    </row>
    <row r="788" spans="1:4" x14ac:dyDescent="0.2">
      <c r="A788" s="528">
        <v>43468</v>
      </c>
      <c r="B788" s="506">
        <v>298070.78000000003</v>
      </c>
      <c r="C788" s="528"/>
      <c r="D788" s="506"/>
    </row>
    <row r="789" spans="1:4" x14ac:dyDescent="0.2">
      <c r="A789" s="528">
        <v>43469</v>
      </c>
      <c r="B789" s="506">
        <v>298071</v>
      </c>
      <c r="C789" s="528"/>
      <c r="D789" s="506"/>
    </row>
    <row r="790" spans="1:4" x14ac:dyDescent="0.2">
      <c r="A790" s="528">
        <v>43472</v>
      </c>
      <c r="B790" s="506">
        <v>298430.78000000003</v>
      </c>
      <c r="C790" s="528"/>
      <c r="D790" s="506"/>
    </row>
    <row r="791" spans="1:4" x14ac:dyDescent="0.2">
      <c r="A791" s="528">
        <v>43473</v>
      </c>
      <c r="B791" s="506">
        <v>264835.63</v>
      </c>
      <c r="C791" s="528"/>
      <c r="D791" s="506"/>
    </row>
    <row r="792" spans="1:4" x14ac:dyDescent="0.2">
      <c r="A792" s="528">
        <v>43474</v>
      </c>
      <c r="B792" s="506">
        <v>303664.65999999997</v>
      </c>
      <c r="C792" s="528"/>
      <c r="D792" s="506"/>
    </row>
    <row r="793" spans="1:4" x14ac:dyDescent="0.2">
      <c r="A793" s="528">
        <v>43475</v>
      </c>
      <c r="B793" s="506">
        <v>299790.71999999997</v>
      </c>
      <c r="C793" s="528"/>
      <c r="D793" s="506"/>
    </row>
    <row r="794" spans="1:4" x14ac:dyDescent="0.2">
      <c r="A794" s="528">
        <v>43476</v>
      </c>
      <c r="B794" s="564">
        <v>309881.71999999997</v>
      </c>
      <c r="C794" s="528"/>
      <c r="D794" s="506"/>
    </row>
    <row r="795" spans="1:4" x14ac:dyDescent="0.2">
      <c r="A795" s="528">
        <v>43479</v>
      </c>
      <c r="B795" s="506">
        <v>284374.78999999998</v>
      </c>
      <c r="C795" s="528"/>
      <c r="D795" s="506"/>
    </row>
    <row r="796" spans="1:4" x14ac:dyDescent="0.2">
      <c r="A796" s="528">
        <v>43480</v>
      </c>
      <c r="B796" s="506">
        <v>284494.75</v>
      </c>
      <c r="C796" s="528"/>
      <c r="D796" s="506"/>
    </row>
    <row r="797" spans="1:4" x14ac:dyDescent="0.2">
      <c r="A797" s="528">
        <v>43481</v>
      </c>
      <c r="B797" s="506">
        <v>277370.03000000003</v>
      </c>
      <c r="C797" s="528"/>
      <c r="D797" s="506"/>
    </row>
    <row r="798" spans="1:4" x14ac:dyDescent="0.2">
      <c r="A798" s="528">
        <v>43482</v>
      </c>
      <c r="B798" s="506">
        <v>266103.65999999997</v>
      </c>
      <c r="C798" s="528"/>
      <c r="D798" s="506"/>
    </row>
    <row r="799" spans="1:4" x14ac:dyDescent="0.2">
      <c r="A799" s="528">
        <v>43483</v>
      </c>
      <c r="B799" s="506">
        <v>266189.65999999997</v>
      </c>
      <c r="C799" s="528"/>
      <c r="D799" s="506"/>
    </row>
    <row r="800" spans="1:4" x14ac:dyDescent="0.2">
      <c r="A800" s="528">
        <v>43486</v>
      </c>
      <c r="B800" s="506">
        <v>266190</v>
      </c>
      <c r="C800" s="528"/>
      <c r="D800" s="506"/>
    </row>
    <row r="801" spans="1:4" x14ac:dyDescent="0.2">
      <c r="A801" s="528">
        <v>43487</v>
      </c>
      <c r="B801" s="506">
        <v>228832.05</v>
      </c>
      <c r="C801" s="528"/>
      <c r="D801" s="506"/>
    </row>
    <row r="802" spans="1:4" x14ac:dyDescent="0.2">
      <c r="A802" s="528">
        <v>43488</v>
      </c>
      <c r="B802" s="506">
        <v>229285.41</v>
      </c>
      <c r="C802" s="528"/>
      <c r="D802" s="506"/>
    </row>
    <row r="803" spans="1:4" x14ac:dyDescent="0.2">
      <c r="A803" s="528">
        <v>43489</v>
      </c>
      <c r="B803" s="506">
        <v>236709.42</v>
      </c>
      <c r="C803" s="528"/>
      <c r="D803" s="506"/>
    </row>
    <row r="804" spans="1:4" x14ac:dyDescent="0.2">
      <c r="A804" s="528">
        <v>43490</v>
      </c>
      <c r="B804" s="506">
        <v>236709</v>
      </c>
      <c r="C804" s="528"/>
      <c r="D804" s="506"/>
    </row>
    <row r="805" spans="1:4" x14ac:dyDescent="0.2">
      <c r="A805" s="528">
        <v>43493</v>
      </c>
      <c r="B805" s="506">
        <v>236400.88</v>
      </c>
      <c r="C805" s="528"/>
      <c r="D805" s="506"/>
    </row>
    <row r="806" spans="1:4" x14ac:dyDescent="0.2">
      <c r="A806" s="528">
        <v>43494</v>
      </c>
      <c r="B806" s="506">
        <v>236401</v>
      </c>
      <c r="C806" s="528"/>
      <c r="D806" s="506"/>
    </row>
    <row r="807" spans="1:4" x14ac:dyDescent="0.2">
      <c r="A807" s="528">
        <v>43495</v>
      </c>
      <c r="B807" s="506">
        <v>236401</v>
      </c>
      <c r="C807" s="528"/>
      <c r="D807" s="506"/>
    </row>
    <row r="808" spans="1:4" x14ac:dyDescent="0.2">
      <c r="A808" s="528">
        <v>43496</v>
      </c>
      <c r="B808" s="506">
        <v>237605.71</v>
      </c>
      <c r="C808" s="528"/>
      <c r="D808" s="506"/>
    </row>
    <row r="809" spans="1:4" x14ac:dyDescent="0.2">
      <c r="A809" s="528">
        <v>43497</v>
      </c>
      <c r="B809" s="506">
        <v>237728.71</v>
      </c>
      <c r="C809" s="528"/>
      <c r="D809" s="506"/>
    </row>
    <row r="810" spans="1:4" x14ac:dyDescent="0.2">
      <c r="A810" s="528">
        <v>43500</v>
      </c>
      <c r="B810" s="506">
        <v>201980</v>
      </c>
      <c r="C810" s="528"/>
      <c r="D810" s="506"/>
    </row>
    <row r="811" spans="1:4" x14ac:dyDescent="0.2">
      <c r="A811" s="528">
        <v>43501</v>
      </c>
      <c r="B811" s="506">
        <v>225615.34</v>
      </c>
      <c r="C811" s="528"/>
      <c r="D811" s="506"/>
    </row>
    <row r="812" spans="1:4" x14ac:dyDescent="0.2">
      <c r="A812" s="528">
        <v>43502</v>
      </c>
      <c r="B812" s="506">
        <v>225615</v>
      </c>
      <c r="C812" s="528"/>
      <c r="D812" s="506"/>
    </row>
    <row r="813" spans="1:4" x14ac:dyDescent="0.2">
      <c r="A813" s="528">
        <v>43503</v>
      </c>
      <c r="B813" s="506">
        <v>219151.3</v>
      </c>
      <c r="C813" s="528"/>
      <c r="D813" s="506"/>
    </row>
    <row r="814" spans="1:4" x14ac:dyDescent="0.2">
      <c r="A814" s="528">
        <v>43504</v>
      </c>
      <c r="B814" s="506">
        <v>219351.3</v>
      </c>
      <c r="C814" s="528"/>
      <c r="D814" s="506"/>
    </row>
    <row r="815" spans="1:4" x14ac:dyDescent="0.2">
      <c r="A815" s="528">
        <v>43507</v>
      </c>
      <c r="B815" s="506">
        <v>219351</v>
      </c>
      <c r="C815" s="528"/>
      <c r="D815" s="506"/>
    </row>
    <row r="816" spans="1:4" x14ac:dyDescent="0.2">
      <c r="A816" s="528">
        <v>43508</v>
      </c>
      <c r="B816" s="506">
        <v>219351</v>
      </c>
      <c r="C816" s="528"/>
      <c r="D816" s="506"/>
    </row>
    <row r="817" spans="1:4" x14ac:dyDescent="0.2">
      <c r="A817" s="528">
        <v>43509</v>
      </c>
      <c r="B817" s="506">
        <v>219351</v>
      </c>
      <c r="C817" s="528"/>
      <c r="D817" s="506"/>
    </row>
    <row r="818" spans="1:4" x14ac:dyDescent="0.2">
      <c r="A818" s="528">
        <v>43510</v>
      </c>
      <c r="B818" s="506">
        <v>206758.66</v>
      </c>
      <c r="C818" s="528"/>
      <c r="D818" s="506"/>
    </row>
    <row r="819" spans="1:4" x14ac:dyDescent="0.2">
      <c r="A819" s="528">
        <v>43511</v>
      </c>
      <c r="B819" s="506">
        <v>234837.55</v>
      </c>
      <c r="C819" s="528"/>
      <c r="D819" s="506"/>
    </row>
    <row r="820" spans="1:4" x14ac:dyDescent="0.2">
      <c r="A820" s="528">
        <v>43514</v>
      </c>
      <c r="B820" s="506">
        <v>234838</v>
      </c>
      <c r="C820" s="528"/>
      <c r="D820" s="506"/>
    </row>
    <row r="821" spans="1:4" x14ac:dyDescent="0.2">
      <c r="A821" s="528">
        <v>43515</v>
      </c>
      <c r="B821" s="506">
        <v>199113.26</v>
      </c>
      <c r="C821" s="528"/>
      <c r="D821" s="506"/>
    </row>
    <row r="822" spans="1:4" x14ac:dyDescent="0.2">
      <c r="A822" s="528">
        <v>43516</v>
      </c>
      <c r="B822" s="714">
        <v>199113</v>
      </c>
      <c r="C822" s="528"/>
      <c r="D822" s="506"/>
    </row>
    <row r="823" spans="1:4" x14ac:dyDescent="0.2">
      <c r="A823" s="528">
        <v>43517</v>
      </c>
      <c r="B823" s="506">
        <v>205400.17</v>
      </c>
      <c r="C823" s="528"/>
      <c r="D823" s="506"/>
    </row>
    <row r="824" spans="1:4" x14ac:dyDescent="0.2">
      <c r="A824" s="528">
        <v>43518</v>
      </c>
      <c r="B824" s="506">
        <v>220161.91</v>
      </c>
      <c r="C824" s="528"/>
      <c r="D824" s="506"/>
    </row>
    <row r="825" spans="1:4" x14ac:dyDescent="0.2">
      <c r="A825" s="528">
        <v>43521</v>
      </c>
      <c r="B825" s="506">
        <v>220161.91</v>
      </c>
      <c r="C825" s="528"/>
      <c r="D825" s="506"/>
    </row>
    <row r="826" spans="1:4" x14ac:dyDescent="0.2">
      <c r="A826" s="528">
        <v>43522</v>
      </c>
      <c r="B826" s="506">
        <v>220161.91</v>
      </c>
      <c r="C826" s="528"/>
      <c r="D826" s="506"/>
    </row>
    <row r="827" spans="1:4" x14ac:dyDescent="0.2">
      <c r="A827" s="528">
        <v>43523</v>
      </c>
      <c r="B827" s="506">
        <v>220161.91</v>
      </c>
      <c r="C827" s="528"/>
      <c r="D827" s="506"/>
    </row>
    <row r="828" spans="1:4" x14ac:dyDescent="0.2">
      <c r="A828" s="528">
        <v>43524</v>
      </c>
      <c r="B828" s="506">
        <v>224635.26</v>
      </c>
      <c r="C828" s="528"/>
      <c r="D828" s="506"/>
    </row>
    <row r="829" spans="1:4" x14ac:dyDescent="0.2">
      <c r="A829" s="528">
        <v>43525</v>
      </c>
      <c r="B829" s="506">
        <v>298900.61</v>
      </c>
      <c r="C829" s="528"/>
      <c r="D829" s="506"/>
    </row>
    <row r="830" spans="1:4" x14ac:dyDescent="0.2">
      <c r="A830" s="528">
        <v>43528</v>
      </c>
      <c r="B830" s="506">
        <v>262246.8</v>
      </c>
      <c r="C830" s="528"/>
      <c r="D830" s="506"/>
    </row>
    <row r="831" spans="1:4" x14ac:dyDescent="0.2">
      <c r="A831" s="528">
        <v>43529</v>
      </c>
      <c r="B831" s="506">
        <v>262247</v>
      </c>
      <c r="C831" s="528"/>
      <c r="D831" s="506"/>
    </row>
    <row r="832" spans="1:4" x14ac:dyDescent="0.2">
      <c r="A832" s="528">
        <v>43530</v>
      </c>
      <c r="B832" s="506">
        <v>262247</v>
      </c>
      <c r="C832" s="528"/>
      <c r="D832" s="506"/>
    </row>
    <row r="833" spans="1:4" x14ac:dyDescent="0.2">
      <c r="A833" s="528">
        <v>43531</v>
      </c>
      <c r="B833" s="506">
        <v>275395.15000000002</v>
      </c>
      <c r="C833" s="528"/>
      <c r="D833" s="506"/>
    </row>
    <row r="834" spans="1:4" x14ac:dyDescent="0.2">
      <c r="A834" s="528">
        <v>43532</v>
      </c>
      <c r="B834" s="506">
        <v>275395</v>
      </c>
      <c r="C834" s="528"/>
      <c r="D834" s="506"/>
    </row>
    <row r="835" spans="1:4" x14ac:dyDescent="0.2">
      <c r="A835" s="528">
        <v>43535</v>
      </c>
      <c r="B835" s="506">
        <v>275395</v>
      </c>
      <c r="C835" s="528"/>
      <c r="D835" s="506"/>
    </row>
    <row r="836" spans="1:4" x14ac:dyDescent="0.2">
      <c r="A836" s="528">
        <v>43536</v>
      </c>
      <c r="B836" s="506">
        <v>275395</v>
      </c>
      <c r="C836" s="528"/>
      <c r="D836" s="506"/>
    </row>
    <row r="837" spans="1:4" x14ac:dyDescent="0.2">
      <c r="A837" s="528">
        <v>43537</v>
      </c>
      <c r="B837" s="506">
        <v>316802.46999999997</v>
      </c>
      <c r="C837" s="528"/>
      <c r="D837" s="506"/>
    </row>
    <row r="838" spans="1:4" x14ac:dyDescent="0.2">
      <c r="A838" s="528">
        <v>43538</v>
      </c>
      <c r="B838" s="506">
        <v>297067.40000000002</v>
      </c>
      <c r="C838" s="528"/>
      <c r="D838" s="506"/>
    </row>
    <row r="839" spans="1:4" x14ac:dyDescent="0.2">
      <c r="A839" s="528">
        <v>43539</v>
      </c>
      <c r="B839" s="506">
        <v>300574.83</v>
      </c>
      <c r="C839" s="528"/>
      <c r="D839" s="506"/>
    </row>
    <row r="840" spans="1:4" x14ac:dyDescent="0.2">
      <c r="A840" s="528">
        <v>43542</v>
      </c>
      <c r="B840" s="506">
        <v>264695.24</v>
      </c>
      <c r="C840" s="528"/>
      <c r="D840" s="506"/>
    </row>
    <row r="841" spans="1:4" x14ac:dyDescent="0.2">
      <c r="A841" s="528">
        <v>43543</v>
      </c>
      <c r="B841" s="506">
        <v>264695</v>
      </c>
      <c r="C841" s="528"/>
      <c r="D841" s="506"/>
    </row>
    <row r="842" spans="1:4" x14ac:dyDescent="0.2">
      <c r="A842" s="528">
        <v>43544</v>
      </c>
      <c r="B842" s="506">
        <v>264695</v>
      </c>
      <c r="C842" s="528"/>
      <c r="D842" s="506"/>
    </row>
    <row r="843" spans="1:4" x14ac:dyDescent="0.2">
      <c r="A843" s="528">
        <v>43545</v>
      </c>
      <c r="B843" s="506">
        <v>282838.67</v>
      </c>
      <c r="C843" s="528"/>
      <c r="D843" s="506"/>
    </row>
    <row r="844" spans="1:4" x14ac:dyDescent="0.2">
      <c r="A844" s="528">
        <v>43546</v>
      </c>
      <c r="B844" s="506">
        <v>282839</v>
      </c>
      <c r="C844" s="528"/>
      <c r="D844" s="506"/>
    </row>
    <row r="845" spans="1:4" x14ac:dyDescent="0.2">
      <c r="A845" s="528">
        <v>43549</v>
      </c>
      <c r="B845" s="564">
        <v>333807.26</v>
      </c>
      <c r="C845" s="528"/>
      <c r="D845" s="506"/>
    </row>
    <row r="846" spans="1:4" x14ac:dyDescent="0.2">
      <c r="A846" s="528">
        <v>43550</v>
      </c>
      <c r="B846" s="506">
        <v>332295.96000000002</v>
      </c>
      <c r="C846" s="528"/>
      <c r="D846" s="506"/>
    </row>
    <row r="847" spans="1:4" x14ac:dyDescent="0.2">
      <c r="A847" s="528">
        <v>43551</v>
      </c>
      <c r="B847" s="506">
        <v>325401.01</v>
      </c>
      <c r="C847" s="528"/>
      <c r="D847" s="506"/>
    </row>
    <row r="848" spans="1:4" x14ac:dyDescent="0.2">
      <c r="A848" s="528">
        <v>43552</v>
      </c>
      <c r="B848" s="506">
        <v>328793.55</v>
      </c>
      <c r="C848" s="528"/>
      <c r="D848" s="506"/>
    </row>
    <row r="849" spans="1:4" x14ac:dyDescent="0.2">
      <c r="A849" s="528">
        <v>43553</v>
      </c>
      <c r="B849" s="506">
        <v>329088.55</v>
      </c>
      <c r="C849" s="528"/>
      <c r="D849" s="506"/>
    </row>
    <row r="850" spans="1:4" x14ac:dyDescent="0.2">
      <c r="A850" s="528">
        <v>43556</v>
      </c>
      <c r="B850" s="506">
        <v>328488.55</v>
      </c>
      <c r="C850" s="528"/>
      <c r="D850" s="506"/>
    </row>
    <row r="851" spans="1:4" x14ac:dyDescent="0.2">
      <c r="A851" s="528">
        <v>43557</v>
      </c>
      <c r="B851" s="506">
        <v>292528.71999999997</v>
      </c>
      <c r="C851" s="528"/>
      <c r="D851" s="506"/>
    </row>
    <row r="852" spans="1:4" x14ac:dyDescent="0.2">
      <c r="A852" s="528">
        <v>43558</v>
      </c>
      <c r="B852" s="506">
        <v>294672.43</v>
      </c>
      <c r="C852" s="528"/>
      <c r="D852" s="506"/>
    </row>
    <row r="853" spans="1:4" x14ac:dyDescent="0.2">
      <c r="A853" s="528">
        <v>43559</v>
      </c>
      <c r="B853" s="506">
        <v>292850.33</v>
      </c>
      <c r="C853" s="528"/>
      <c r="D853" s="506"/>
    </row>
    <row r="854" spans="1:4" x14ac:dyDescent="0.2">
      <c r="A854" s="528">
        <v>43560</v>
      </c>
      <c r="B854" s="506">
        <v>284702.78999999998</v>
      </c>
      <c r="C854" s="528"/>
      <c r="D854" s="506"/>
    </row>
    <row r="855" spans="1:4" x14ac:dyDescent="0.2">
      <c r="A855" s="528">
        <v>43563</v>
      </c>
      <c r="B855" s="506">
        <v>284703</v>
      </c>
      <c r="C855" s="528"/>
      <c r="D855" s="506"/>
    </row>
    <row r="856" spans="1:4" x14ac:dyDescent="0.2">
      <c r="A856" s="528">
        <v>43564</v>
      </c>
      <c r="B856" s="506">
        <v>284775.52</v>
      </c>
      <c r="C856" s="528"/>
      <c r="D856" s="506"/>
    </row>
    <row r="857" spans="1:4" x14ac:dyDescent="0.2">
      <c r="A857" s="528">
        <v>43565</v>
      </c>
      <c r="B857" s="506">
        <v>284776</v>
      </c>
      <c r="C857" s="528"/>
      <c r="D857" s="506"/>
    </row>
    <row r="858" spans="1:4" x14ac:dyDescent="0.2">
      <c r="A858" s="528">
        <v>43566</v>
      </c>
      <c r="B858" s="506">
        <v>277335.02</v>
      </c>
      <c r="C858" s="528"/>
      <c r="D858" s="506"/>
    </row>
    <row r="859" spans="1:4" x14ac:dyDescent="0.2">
      <c r="A859" s="528">
        <v>43567</v>
      </c>
      <c r="B859" s="506">
        <v>277335</v>
      </c>
      <c r="C859" s="528"/>
      <c r="D859" s="506"/>
    </row>
    <row r="860" spans="1:4" x14ac:dyDescent="0.2">
      <c r="A860" s="528">
        <v>43570</v>
      </c>
      <c r="B860" s="506">
        <v>277462.90999999997</v>
      </c>
      <c r="C860" s="528"/>
      <c r="D860" s="506"/>
    </row>
    <row r="861" spans="1:4" x14ac:dyDescent="0.2">
      <c r="A861" s="528">
        <v>43571</v>
      </c>
      <c r="B861" s="506">
        <v>241180.07</v>
      </c>
      <c r="C861" s="528"/>
      <c r="D861" s="506"/>
    </row>
    <row r="862" spans="1:4" x14ac:dyDescent="0.2">
      <c r="A862" s="528">
        <v>43572</v>
      </c>
      <c r="B862" s="506">
        <v>257634.61</v>
      </c>
      <c r="C862" s="528"/>
      <c r="D862" s="506"/>
    </row>
    <row r="863" spans="1:4" x14ac:dyDescent="0.2">
      <c r="A863" s="528">
        <v>43573</v>
      </c>
      <c r="B863" s="506">
        <v>241154.55</v>
      </c>
      <c r="C863" s="528"/>
      <c r="D863" s="506"/>
    </row>
    <row r="864" spans="1:4" x14ac:dyDescent="0.2">
      <c r="A864" s="528">
        <v>43574</v>
      </c>
      <c r="B864" s="506">
        <v>243162.78</v>
      </c>
      <c r="C864" s="528"/>
      <c r="D864" s="506"/>
    </row>
    <row r="865" spans="1:4" x14ac:dyDescent="0.2">
      <c r="A865" s="528">
        <v>43577</v>
      </c>
      <c r="B865" s="506">
        <v>243003.93</v>
      </c>
      <c r="C865" s="528"/>
      <c r="D865" s="506"/>
    </row>
    <row r="866" spans="1:4" x14ac:dyDescent="0.2">
      <c r="A866" s="528">
        <v>43578</v>
      </c>
      <c r="B866" s="506">
        <v>243004</v>
      </c>
      <c r="C866" s="528"/>
      <c r="D866" s="506"/>
    </row>
    <row r="867" spans="1:4" x14ac:dyDescent="0.2">
      <c r="A867" s="528">
        <v>43579</v>
      </c>
      <c r="B867" s="506">
        <v>243060.55</v>
      </c>
      <c r="C867" s="528"/>
      <c r="D867" s="506"/>
    </row>
    <row r="868" spans="1:4" x14ac:dyDescent="0.2">
      <c r="A868" s="528">
        <v>43580</v>
      </c>
      <c r="B868" s="506">
        <v>245074.5</v>
      </c>
      <c r="C868" s="528"/>
      <c r="D868" s="506"/>
    </row>
    <row r="869" spans="1:4" x14ac:dyDescent="0.2">
      <c r="A869" s="528">
        <v>43581</v>
      </c>
      <c r="B869" s="506">
        <v>274493.84000000003</v>
      </c>
      <c r="C869" s="528"/>
      <c r="D869" s="506"/>
    </row>
    <row r="870" spans="1:4" x14ac:dyDescent="0.2">
      <c r="A870" s="528">
        <v>43584</v>
      </c>
      <c r="B870" s="506">
        <v>274494</v>
      </c>
      <c r="C870" s="528"/>
      <c r="D870" s="506"/>
    </row>
    <row r="871" spans="1:4" x14ac:dyDescent="0.2">
      <c r="A871" s="528">
        <v>43585</v>
      </c>
      <c r="B871" s="506">
        <v>268536.75</v>
      </c>
      <c r="C871" s="528"/>
      <c r="D871" s="506"/>
    </row>
    <row r="872" spans="1:4" x14ac:dyDescent="0.2">
      <c r="A872" s="528">
        <v>43586</v>
      </c>
      <c r="B872" s="506">
        <v>249086.1</v>
      </c>
      <c r="C872" s="528"/>
      <c r="D872" s="506"/>
    </row>
    <row r="873" spans="1:4" x14ac:dyDescent="0.2">
      <c r="A873" s="528">
        <v>43587</v>
      </c>
      <c r="B873" s="506">
        <v>253347.36</v>
      </c>
      <c r="C873" s="528"/>
      <c r="D873" s="506"/>
    </row>
    <row r="874" spans="1:4" x14ac:dyDescent="0.2">
      <c r="A874" s="528">
        <v>43588</v>
      </c>
      <c r="B874" s="506">
        <v>253347</v>
      </c>
      <c r="C874" s="528"/>
      <c r="D874" s="506"/>
    </row>
    <row r="875" spans="1:4" x14ac:dyDescent="0.2">
      <c r="A875" s="528">
        <v>43591</v>
      </c>
      <c r="B875" s="506">
        <v>253347</v>
      </c>
      <c r="C875" s="528"/>
      <c r="D875" s="506"/>
    </row>
    <row r="876" spans="1:4" x14ac:dyDescent="0.2">
      <c r="A876" s="528">
        <v>43592</v>
      </c>
      <c r="B876" s="506">
        <v>253347</v>
      </c>
      <c r="C876" s="528"/>
      <c r="D876" s="506"/>
    </row>
    <row r="877" spans="1:4" x14ac:dyDescent="0.2">
      <c r="A877" s="528">
        <v>43593</v>
      </c>
      <c r="B877" s="506">
        <v>253347</v>
      </c>
      <c r="C877" s="528"/>
      <c r="D877" s="506"/>
    </row>
    <row r="878" spans="1:4" x14ac:dyDescent="0.2">
      <c r="A878" s="528">
        <v>43594</v>
      </c>
      <c r="B878" s="506">
        <v>256363.47</v>
      </c>
      <c r="C878" s="528"/>
      <c r="D878" s="506"/>
    </row>
    <row r="879" spans="1:4" x14ac:dyDescent="0.2">
      <c r="A879" s="528">
        <v>43595</v>
      </c>
      <c r="B879" s="506">
        <v>256363</v>
      </c>
      <c r="C879" s="528"/>
      <c r="D879" s="506"/>
    </row>
    <row r="880" spans="1:4" x14ac:dyDescent="0.2">
      <c r="A880" s="528">
        <v>43598</v>
      </c>
      <c r="B880" s="506">
        <v>256363</v>
      </c>
      <c r="C880" s="528"/>
      <c r="D880" s="506"/>
    </row>
    <row r="881" spans="1:4" x14ac:dyDescent="0.2">
      <c r="A881" s="528">
        <v>43599</v>
      </c>
      <c r="B881" s="506">
        <v>220671.47</v>
      </c>
      <c r="C881" s="528"/>
      <c r="D881" s="506"/>
    </row>
    <row r="882" spans="1:4" x14ac:dyDescent="0.2">
      <c r="A882" s="528">
        <v>43600</v>
      </c>
      <c r="B882" s="506">
        <v>248680.89</v>
      </c>
      <c r="C882" s="528"/>
      <c r="D882" s="506"/>
    </row>
    <row r="883" spans="1:4" x14ac:dyDescent="0.2">
      <c r="A883" s="528">
        <v>43601</v>
      </c>
      <c r="B883" s="506">
        <v>254567.98</v>
      </c>
      <c r="C883" s="528"/>
      <c r="D883" s="506"/>
    </row>
    <row r="884" spans="1:4" x14ac:dyDescent="0.2">
      <c r="A884" s="528">
        <v>43602</v>
      </c>
      <c r="B884" s="506">
        <v>310563.12</v>
      </c>
      <c r="C884" s="528"/>
      <c r="D884" s="506"/>
    </row>
    <row r="885" spans="1:4" x14ac:dyDescent="0.2">
      <c r="A885" s="528">
        <v>43605</v>
      </c>
      <c r="B885" s="506">
        <v>310000.12</v>
      </c>
      <c r="C885" s="528"/>
      <c r="D885" s="506"/>
    </row>
    <row r="886" spans="1:4" x14ac:dyDescent="0.2">
      <c r="A886" s="528">
        <v>43606</v>
      </c>
      <c r="B886" s="506">
        <v>310000.12</v>
      </c>
      <c r="C886" s="528"/>
      <c r="D886" s="506"/>
    </row>
    <row r="887" spans="1:4" x14ac:dyDescent="0.2">
      <c r="A887" s="528">
        <v>43607</v>
      </c>
      <c r="B887" s="506">
        <v>310000.12</v>
      </c>
      <c r="C887" s="528"/>
      <c r="D887" s="506"/>
    </row>
    <row r="888" spans="1:4" x14ac:dyDescent="0.2">
      <c r="A888" s="528">
        <v>43608</v>
      </c>
      <c r="B888" s="506">
        <v>300109.28999999998</v>
      </c>
      <c r="C888" s="528"/>
      <c r="D888" s="506"/>
    </row>
    <row r="889" spans="1:4" x14ac:dyDescent="0.2">
      <c r="A889" s="528">
        <v>43609</v>
      </c>
      <c r="B889" s="506">
        <v>297396.90999999997</v>
      </c>
      <c r="C889" s="528"/>
      <c r="D889" s="506"/>
    </row>
    <row r="890" spans="1:4" x14ac:dyDescent="0.2">
      <c r="A890" s="528">
        <v>43612</v>
      </c>
      <c r="B890" s="506">
        <v>297397</v>
      </c>
      <c r="C890" s="528"/>
      <c r="D890" s="506"/>
    </row>
    <row r="891" spans="1:4" x14ac:dyDescent="0.2">
      <c r="A891" s="528">
        <v>43613</v>
      </c>
      <c r="B891" s="506">
        <v>309520.18</v>
      </c>
      <c r="C891" s="528"/>
      <c r="D891" s="506"/>
    </row>
    <row r="892" spans="1:4" x14ac:dyDescent="0.2">
      <c r="A892" s="528">
        <v>43614</v>
      </c>
      <c r="B892" s="506">
        <v>309520</v>
      </c>
      <c r="C892" s="528"/>
      <c r="D892" s="506"/>
    </row>
    <row r="893" spans="1:4" x14ac:dyDescent="0.2">
      <c r="A893" s="528">
        <v>43615</v>
      </c>
      <c r="B893" s="506">
        <v>306153.90000000002</v>
      </c>
      <c r="C893" s="528"/>
      <c r="D893" s="506"/>
    </row>
    <row r="894" spans="1:4" x14ac:dyDescent="0.2">
      <c r="A894" s="528">
        <v>43616</v>
      </c>
      <c r="B894" s="506">
        <v>307621.78000000003</v>
      </c>
      <c r="C894" s="528"/>
      <c r="D894" s="506"/>
    </row>
    <row r="895" spans="1:4" x14ac:dyDescent="0.2">
      <c r="A895" s="528">
        <v>43619</v>
      </c>
      <c r="B895" s="506">
        <v>307288.12</v>
      </c>
      <c r="C895" s="528"/>
      <c r="D895" s="506"/>
    </row>
    <row r="896" spans="1:4" x14ac:dyDescent="0.2">
      <c r="A896" s="528">
        <v>43620</v>
      </c>
      <c r="B896" s="506">
        <v>307288</v>
      </c>
      <c r="C896" s="528"/>
      <c r="D896" s="506"/>
    </row>
    <row r="897" spans="1:4" x14ac:dyDescent="0.2">
      <c r="A897" s="528">
        <v>43621</v>
      </c>
      <c r="B897" s="506">
        <v>307288</v>
      </c>
      <c r="C897" s="528"/>
      <c r="D897" s="506"/>
    </row>
    <row r="898" spans="1:4" x14ac:dyDescent="0.2">
      <c r="A898" s="528">
        <v>43622</v>
      </c>
      <c r="B898" s="506">
        <v>296580.19</v>
      </c>
      <c r="C898" s="528"/>
      <c r="D898" s="506"/>
    </row>
    <row r="899" spans="1:4" x14ac:dyDescent="0.2">
      <c r="A899" s="528">
        <v>43623</v>
      </c>
      <c r="B899" s="506">
        <v>295981.95</v>
      </c>
      <c r="C899" s="528"/>
      <c r="D899" s="506"/>
    </row>
    <row r="900" spans="1:4" x14ac:dyDescent="0.2">
      <c r="A900" s="528">
        <v>43626</v>
      </c>
      <c r="B900" s="506">
        <v>260513.06</v>
      </c>
      <c r="C900" s="528"/>
      <c r="D900" s="506"/>
    </row>
    <row r="901" spans="1:4" x14ac:dyDescent="0.2">
      <c r="A901" s="528">
        <v>43627</v>
      </c>
      <c r="B901" s="506">
        <v>260513</v>
      </c>
      <c r="C901" s="528"/>
      <c r="D901" s="506"/>
    </row>
    <row r="902" spans="1:4" x14ac:dyDescent="0.2">
      <c r="A902" s="528">
        <v>43628</v>
      </c>
      <c r="B902" s="506">
        <v>260513</v>
      </c>
      <c r="C902" s="528"/>
      <c r="D902" s="506"/>
    </row>
    <row r="903" spans="1:4" x14ac:dyDescent="0.2">
      <c r="A903" s="528">
        <v>43629</v>
      </c>
      <c r="B903" s="506">
        <v>255966.98</v>
      </c>
      <c r="C903" s="528"/>
      <c r="D903" s="506"/>
    </row>
    <row r="904" spans="1:4" x14ac:dyDescent="0.2">
      <c r="A904" s="528">
        <v>43630</v>
      </c>
      <c r="B904" s="506">
        <v>257507.94</v>
      </c>
      <c r="C904" s="528"/>
      <c r="D904" s="506"/>
    </row>
    <row r="905" spans="1:4" x14ac:dyDescent="0.2">
      <c r="A905" s="528">
        <v>43633</v>
      </c>
      <c r="B905" s="506">
        <v>257508</v>
      </c>
      <c r="C905" s="528"/>
      <c r="D905" s="506"/>
    </row>
    <row r="906" spans="1:4" x14ac:dyDescent="0.2">
      <c r="A906" s="528">
        <v>43634</v>
      </c>
      <c r="B906" s="506">
        <v>257508</v>
      </c>
      <c r="C906" s="528"/>
      <c r="D906" s="506"/>
    </row>
    <row r="907" spans="1:4" x14ac:dyDescent="0.2">
      <c r="A907" s="528">
        <v>43635</v>
      </c>
      <c r="B907" s="506">
        <v>257508</v>
      </c>
      <c r="C907" s="528"/>
      <c r="D907" s="506"/>
    </row>
    <row r="908" spans="1:4" x14ac:dyDescent="0.2">
      <c r="A908" s="528">
        <v>43636</v>
      </c>
      <c r="B908" s="506">
        <v>245601.94</v>
      </c>
      <c r="C908" s="528"/>
      <c r="D908" s="506"/>
    </row>
    <row r="909" spans="1:4" x14ac:dyDescent="0.2">
      <c r="A909" s="528">
        <v>43637</v>
      </c>
      <c r="B909" s="506">
        <v>245768.94</v>
      </c>
      <c r="C909" s="528"/>
      <c r="D909" s="506"/>
    </row>
    <row r="910" spans="1:4" x14ac:dyDescent="0.2">
      <c r="A910" s="528">
        <v>43640</v>
      </c>
      <c r="B910" s="506">
        <v>245769</v>
      </c>
      <c r="C910" s="528"/>
      <c r="D910" s="506"/>
    </row>
    <row r="911" spans="1:4" x14ac:dyDescent="0.2">
      <c r="A911" s="528">
        <v>43641</v>
      </c>
      <c r="B911" s="506">
        <v>209143.06</v>
      </c>
      <c r="C911" s="528"/>
      <c r="D911" s="506"/>
    </row>
    <row r="912" spans="1:4" x14ac:dyDescent="0.2">
      <c r="A912" s="528">
        <v>43642</v>
      </c>
      <c r="B912" s="506">
        <v>216087.16</v>
      </c>
      <c r="C912" s="528"/>
      <c r="D912" s="506"/>
    </row>
    <row r="913" spans="1:4" x14ac:dyDescent="0.2">
      <c r="A913" s="528">
        <v>43643</v>
      </c>
      <c r="B913" s="506">
        <v>218399.34</v>
      </c>
      <c r="C913" s="528"/>
      <c r="D913" s="506"/>
    </row>
    <row r="914" spans="1:4" x14ac:dyDescent="0.2">
      <c r="A914" s="528">
        <v>43644</v>
      </c>
      <c r="B914" s="506">
        <v>246675.15</v>
      </c>
      <c r="C914" s="528"/>
      <c r="D914" s="506"/>
    </row>
    <row r="915" spans="1:4" x14ac:dyDescent="0.2">
      <c r="A915" s="528">
        <v>43647</v>
      </c>
      <c r="B915" s="506">
        <v>246675</v>
      </c>
      <c r="C915" s="528"/>
      <c r="D915" s="506"/>
    </row>
    <row r="916" spans="1:4" x14ac:dyDescent="0.2">
      <c r="A916" s="528">
        <v>43648</v>
      </c>
      <c r="B916" s="506">
        <v>248377.32</v>
      </c>
      <c r="C916" s="528"/>
      <c r="D916" s="506"/>
    </row>
    <row r="917" spans="1:4" x14ac:dyDescent="0.2">
      <c r="A917" s="528">
        <v>43649</v>
      </c>
      <c r="B917" s="506">
        <v>277944.71000000002</v>
      </c>
      <c r="C917" s="528"/>
      <c r="D917" s="506"/>
    </row>
    <row r="918" spans="1:4" x14ac:dyDescent="0.2">
      <c r="A918" s="528">
        <v>43650</v>
      </c>
      <c r="B918" s="506">
        <v>277945</v>
      </c>
      <c r="C918" s="528"/>
      <c r="D918" s="506"/>
    </row>
    <row r="919" spans="1:4" x14ac:dyDescent="0.2">
      <c r="A919" s="528">
        <v>43651</v>
      </c>
      <c r="B919" s="506">
        <v>278046.71000000002</v>
      </c>
      <c r="C919" s="528"/>
      <c r="D919" s="506"/>
    </row>
    <row r="920" spans="1:4" x14ac:dyDescent="0.2">
      <c r="A920" s="528">
        <v>43654</v>
      </c>
      <c r="B920" s="506">
        <v>282590.19</v>
      </c>
      <c r="C920" s="528"/>
      <c r="D920" s="506"/>
    </row>
    <row r="921" spans="1:4" x14ac:dyDescent="0.2">
      <c r="A921" s="528">
        <v>43655</v>
      </c>
      <c r="B921" s="506">
        <v>247195.73</v>
      </c>
      <c r="C921" s="528"/>
      <c r="D921" s="506"/>
    </row>
    <row r="922" spans="1:4" x14ac:dyDescent="0.2">
      <c r="A922" s="528">
        <v>43656</v>
      </c>
      <c r="B922" s="506">
        <v>247195.73</v>
      </c>
      <c r="C922" s="528"/>
      <c r="D922" s="506"/>
    </row>
    <row r="923" spans="1:4" x14ac:dyDescent="0.2">
      <c r="A923" s="528">
        <v>43657</v>
      </c>
      <c r="B923" s="506">
        <v>235813.1</v>
      </c>
      <c r="C923" s="528"/>
      <c r="D923" s="506"/>
    </row>
    <row r="924" spans="1:4" x14ac:dyDescent="0.2">
      <c r="A924" s="528">
        <v>43658</v>
      </c>
      <c r="B924" s="506">
        <v>237210.07</v>
      </c>
      <c r="C924" s="528"/>
      <c r="D924" s="506"/>
    </row>
    <row r="925" spans="1:4" x14ac:dyDescent="0.2">
      <c r="A925" s="528">
        <v>43661</v>
      </c>
      <c r="B925" s="506">
        <v>237490.39</v>
      </c>
      <c r="C925" s="528"/>
      <c r="D925" s="506"/>
    </row>
    <row r="926" spans="1:4" x14ac:dyDescent="0.2">
      <c r="A926" s="528">
        <v>43662</v>
      </c>
      <c r="B926" s="506">
        <v>237490</v>
      </c>
      <c r="C926" s="528"/>
      <c r="D926" s="506"/>
    </row>
    <row r="927" spans="1:4" x14ac:dyDescent="0.2">
      <c r="A927" s="528">
        <v>43663</v>
      </c>
      <c r="B927" s="506">
        <v>237490.39</v>
      </c>
      <c r="C927" s="528"/>
      <c r="D927" s="506"/>
    </row>
    <row r="928" spans="1:4" x14ac:dyDescent="0.2">
      <c r="A928" s="528">
        <v>43664</v>
      </c>
      <c r="B928" s="506">
        <v>232593.57</v>
      </c>
      <c r="C928" s="528"/>
      <c r="D928" s="506"/>
    </row>
    <row r="929" spans="1:4" x14ac:dyDescent="0.2">
      <c r="A929" s="528">
        <v>43665</v>
      </c>
      <c r="B929" s="506">
        <v>232923.06</v>
      </c>
      <c r="C929" s="528"/>
      <c r="D929" s="506"/>
    </row>
    <row r="930" spans="1:4" x14ac:dyDescent="0.2">
      <c r="A930" s="528">
        <v>43668</v>
      </c>
      <c r="B930" s="506">
        <v>196798.51</v>
      </c>
      <c r="C930" s="528"/>
      <c r="D930" s="506"/>
    </row>
    <row r="931" spans="1:4" x14ac:dyDescent="0.2">
      <c r="A931" s="528">
        <v>43669</v>
      </c>
      <c r="B931" s="506">
        <v>199629.38</v>
      </c>
      <c r="C931" s="528"/>
      <c r="D931" s="506"/>
    </row>
    <row r="932" spans="1:4" x14ac:dyDescent="0.2">
      <c r="A932" s="528">
        <v>43670</v>
      </c>
      <c r="B932" s="506">
        <v>199629</v>
      </c>
      <c r="C932" s="528"/>
      <c r="D932" s="506"/>
    </row>
    <row r="933" spans="1:4" x14ac:dyDescent="0.2">
      <c r="A933" s="528">
        <v>43671</v>
      </c>
      <c r="B933" s="506">
        <v>195151.45</v>
      </c>
      <c r="C933" s="528"/>
      <c r="D933" s="506"/>
    </row>
    <row r="934" spans="1:4" x14ac:dyDescent="0.2">
      <c r="A934" s="528">
        <v>43672</v>
      </c>
      <c r="B934" s="506">
        <v>228843.78</v>
      </c>
      <c r="C934" s="528"/>
      <c r="D934" s="506"/>
    </row>
    <row r="935" spans="1:4" x14ac:dyDescent="0.2">
      <c r="A935" s="528">
        <v>43675</v>
      </c>
      <c r="B935" s="506">
        <v>228844</v>
      </c>
      <c r="C935" s="528"/>
      <c r="D935" s="506"/>
    </row>
    <row r="936" spans="1:4" x14ac:dyDescent="0.2">
      <c r="A936" s="528">
        <v>43676</v>
      </c>
      <c r="B936" s="506">
        <v>228844</v>
      </c>
      <c r="C936" s="528"/>
      <c r="D936" s="506"/>
    </row>
    <row r="937" spans="1:4" x14ac:dyDescent="0.2">
      <c r="A937" s="528">
        <v>43677</v>
      </c>
      <c r="B937" s="506">
        <v>229051.78</v>
      </c>
      <c r="C937" s="528"/>
      <c r="D937" s="506"/>
    </row>
    <row r="938" spans="1:4" x14ac:dyDescent="0.2">
      <c r="A938" s="528">
        <v>43678</v>
      </c>
      <c r="B938" s="506">
        <v>234767.17</v>
      </c>
      <c r="C938" s="528"/>
      <c r="D938" s="506"/>
    </row>
    <row r="939" spans="1:4" x14ac:dyDescent="0.2">
      <c r="A939" s="528">
        <v>43679</v>
      </c>
      <c r="B939" s="506">
        <v>236117.76000000001</v>
      </c>
      <c r="C939" s="528"/>
      <c r="D939" s="506"/>
    </row>
    <row r="940" spans="1:4" x14ac:dyDescent="0.2">
      <c r="A940" s="528">
        <v>43682</v>
      </c>
      <c r="B940" s="506">
        <v>236118</v>
      </c>
      <c r="C940" s="528"/>
      <c r="D940" s="506"/>
    </row>
    <row r="941" spans="1:4" x14ac:dyDescent="0.2">
      <c r="A941" s="528">
        <v>43683</v>
      </c>
      <c r="B941" s="506">
        <v>208888.5</v>
      </c>
      <c r="C941" s="528"/>
      <c r="D941" s="506"/>
    </row>
    <row r="942" spans="1:4" x14ac:dyDescent="0.2">
      <c r="A942" s="528">
        <v>43684</v>
      </c>
      <c r="B942" s="506">
        <v>208792.5</v>
      </c>
      <c r="C942" s="528"/>
      <c r="D942" s="506"/>
    </row>
    <row r="943" spans="1:4" x14ac:dyDescent="0.2">
      <c r="A943" s="528">
        <v>43685</v>
      </c>
      <c r="B943" s="506">
        <v>203219.37</v>
      </c>
      <c r="C943" s="528"/>
      <c r="D943" s="506"/>
    </row>
    <row r="944" spans="1:4" x14ac:dyDescent="0.2">
      <c r="A944" s="528">
        <v>43686</v>
      </c>
      <c r="B944" s="506">
        <v>205639.37</v>
      </c>
      <c r="C944" s="528"/>
      <c r="D944" s="506"/>
    </row>
    <row r="945" spans="1:4" x14ac:dyDescent="0.2">
      <c r="A945" s="528">
        <v>43689</v>
      </c>
      <c r="B945" s="506">
        <v>205639.37</v>
      </c>
      <c r="C945" s="528"/>
      <c r="D945" s="506"/>
    </row>
    <row r="946" spans="1:4" x14ac:dyDescent="0.2">
      <c r="A946" s="528">
        <v>43690</v>
      </c>
      <c r="B946" s="506">
        <v>232145.73</v>
      </c>
      <c r="C946" s="528"/>
      <c r="D946" s="506"/>
    </row>
    <row r="947" spans="1:4" x14ac:dyDescent="0.2">
      <c r="A947" s="528">
        <v>43691</v>
      </c>
      <c r="B947" s="506">
        <v>233325.32</v>
      </c>
      <c r="C947" s="528"/>
      <c r="D947" s="506"/>
    </row>
    <row r="948" spans="1:4" x14ac:dyDescent="0.2">
      <c r="A948" s="528">
        <v>43692</v>
      </c>
      <c r="B948" s="506">
        <v>225375.98</v>
      </c>
      <c r="C948" s="528"/>
      <c r="D948" s="506"/>
    </row>
    <row r="949" spans="1:4" x14ac:dyDescent="0.2">
      <c r="A949" s="528">
        <v>43693</v>
      </c>
      <c r="B949" s="506">
        <v>225424.1</v>
      </c>
      <c r="C949" s="528"/>
      <c r="D949" s="506"/>
    </row>
    <row r="950" spans="1:4" x14ac:dyDescent="0.2">
      <c r="A950" s="528">
        <v>43696</v>
      </c>
      <c r="B950" s="506">
        <v>187365.06</v>
      </c>
      <c r="C950" s="528"/>
      <c r="D950" s="506"/>
    </row>
    <row r="951" spans="1:4" x14ac:dyDescent="0.2">
      <c r="A951" s="528">
        <v>43697</v>
      </c>
      <c r="B951" s="506">
        <v>187365</v>
      </c>
      <c r="C951" s="528"/>
      <c r="D951" s="506"/>
    </row>
    <row r="952" spans="1:4" x14ac:dyDescent="0.2">
      <c r="A952" s="528">
        <v>43698</v>
      </c>
      <c r="B952" s="506">
        <v>187365</v>
      </c>
      <c r="C952" s="528"/>
      <c r="D952" s="506"/>
    </row>
    <row r="953" spans="1:4" x14ac:dyDescent="0.2">
      <c r="A953" s="528">
        <v>43699</v>
      </c>
      <c r="B953" s="564">
        <v>172667.6</v>
      </c>
      <c r="C953" s="528"/>
      <c r="D953" s="506"/>
    </row>
    <row r="954" spans="1:4" x14ac:dyDescent="0.2">
      <c r="A954" s="528">
        <v>43700</v>
      </c>
      <c r="B954" s="506">
        <v>172668</v>
      </c>
      <c r="C954" s="528"/>
      <c r="D954" s="506"/>
    </row>
    <row r="955" spans="1:4" x14ac:dyDescent="0.2">
      <c r="A955" s="528">
        <v>43703</v>
      </c>
      <c r="B955" s="506">
        <v>236616.35</v>
      </c>
      <c r="C955" s="528"/>
      <c r="D955" s="506"/>
    </row>
    <row r="956" spans="1:4" x14ac:dyDescent="0.2">
      <c r="A956" s="528">
        <v>43704</v>
      </c>
      <c r="B956" s="506">
        <v>237913.62</v>
      </c>
      <c r="C956" s="528"/>
      <c r="D956" s="506"/>
    </row>
    <row r="957" spans="1:4" x14ac:dyDescent="0.2">
      <c r="A957" s="528">
        <v>43705</v>
      </c>
      <c r="B957" s="506">
        <v>237914</v>
      </c>
      <c r="C957" s="528"/>
      <c r="D957" s="506"/>
    </row>
    <row r="958" spans="1:4" x14ac:dyDescent="0.2">
      <c r="A958" s="528">
        <v>43706</v>
      </c>
      <c r="B958" s="506">
        <v>244708.19</v>
      </c>
      <c r="C958" s="528"/>
      <c r="D958" s="506"/>
    </row>
    <row r="959" spans="1:4" x14ac:dyDescent="0.2">
      <c r="A959" s="528">
        <v>43707</v>
      </c>
      <c r="B959" s="506">
        <v>249899.19</v>
      </c>
      <c r="C959" s="528"/>
      <c r="D959" s="506"/>
    </row>
    <row r="960" spans="1:4" x14ac:dyDescent="0.2">
      <c r="A960" s="528">
        <v>43710</v>
      </c>
      <c r="B960" s="506">
        <v>249899</v>
      </c>
      <c r="C960" s="528"/>
      <c r="D960" s="506"/>
    </row>
    <row r="961" spans="1:4" x14ac:dyDescent="0.2">
      <c r="A961" s="528">
        <v>43711</v>
      </c>
      <c r="B961" s="506">
        <v>215930.73</v>
      </c>
      <c r="C961" s="528"/>
      <c r="D961" s="506"/>
    </row>
    <row r="962" spans="1:4" x14ac:dyDescent="0.2">
      <c r="A962" s="528">
        <v>43712</v>
      </c>
      <c r="B962" s="506">
        <v>215931</v>
      </c>
      <c r="C962" s="528"/>
      <c r="D962" s="506"/>
    </row>
    <row r="963" spans="1:4" x14ac:dyDescent="0.2">
      <c r="A963" s="528">
        <v>43713</v>
      </c>
      <c r="B963" s="506">
        <v>205664.34</v>
      </c>
      <c r="C963" s="528"/>
      <c r="D963" s="506"/>
    </row>
    <row r="964" spans="1:4" x14ac:dyDescent="0.2">
      <c r="A964" s="528">
        <v>43714</v>
      </c>
      <c r="B964" s="506">
        <v>205830.34</v>
      </c>
      <c r="C964" s="528"/>
      <c r="D964" s="506"/>
    </row>
    <row r="965" spans="1:4" x14ac:dyDescent="0.2">
      <c r="A965" s="528">
        <v>43717</v>
      </c>
      <c r="B965" s="506">
        <v>205830</v>
      </c>
      <c r="C965" s="528"/>
      <c r="D965" s="506"/>
    </row>
    <row r="966" spans="1:4" x14ac:dyDescent="0.2">
      <c r="A966" s="528">
        <v>43718</v>
      </c>
      <c r="B966" s="506">
        <v>205830</v>
      </c>
      <c r="C966" s="528"/>
      <c r="D966" s="506"/>
    </row>
    <row r="967" spans="1:4" x14ac:dyDescent="0.2">
      <c r="A967" s="528">
        <v>43719</v>
      </c>
      <c r="B967" s="506">
        <v>205830</v>
      </c>
      <c r="C967" s="528"/>
      <c r="D967" s="506"/>
    </row>
    <row r="968" spans="1:4" x14ac:dyDescent="0.2">
      <c r="A968" s="528">
        <v>43720</v>
      </c>
      <c r="B968" s="506">
        <v>207654.61</v>
      </c>
      <c r="C968" s="528"/>
      <c r="D968" s="506"/>
    </row>
    <row r="969" spans="1:4" x14ac:dyDescent="0.2">
      <c r="A969" s="528">
        <v>43721</v>
      </c>
      <c r="B969" s="506">
        <v>207743.24</v>
      </c>
      <c r="C969" s="528"/>
      <c r="D969" s="506"/>
    </row>
    <row r="970" spans="1:4" x14ac:dyDescent="0.2">
      <c r="A970" s="528">
        <v>43724</v>
      </c>
      <c r="B970" s="506">
        <v>207845.42</v>
      </c>
      <c r="C970" s="528"/>
      <c r="D970" s="506"/>
    </row>
    <row r="971" spans="1:4" x14ac:dyDescent="0.2">
      <c r="A971" s="528">
        <v>43725</v>
      </c>
      <c r="B971" s="506">
        <v>173840.8</v>
      </c>
      <c r="C971" s="528"/>
      <c r="D971" s="506"/>
    </row>
    <row r="972" spans="1:4" x14ac:dyDescent="0.2">
      <c r="A972" s="528">
        <v>43726</v>
      </c>
      <c r="B972" s="506">
        <v>212383.95</v>
      </c>
      <c r="C972" s="528"/>
      <c r="D972" s="506"/>
    </row>
    <row r="973" spans="1:4" x14ac:dyDescent="0.2">
      <c r="A973" s="528">
        <v>43727</v>
      </c>
      <c r="B973" s="506">
        <v>205191.98</v>
      </c>
      <c r="C973" s="528"/>
      <c r="D973" s="506"/>
    </row>
    <row r="974" spans="1:4" x14ac:dyDescent="0.2">
      <c r="A974" s="528">
        <v>43728</v>
      </c>
      <c r="B974" s="506">
        <v>205884.98</v>
      </c>
      <c r="C974" s="528"/>
      <c r="D974" s="506"/>
    </row>
    <row r="975" spans="1:4" x14ac:dyDescent="0.2">
      <c r="A975" s="528">
        <v>43731</v>
      </c>
      <c r="B975" s="506">
        <v>205884.98</v>
      </c>
      <c r="C975" s="528"/>
      <c r="D975" s="506"/>
    </row>
    <row r="976" spans="1:4" x14ac:dyDescent="0.2">
      <c r="A976" s="528">
        <v>43732</v>
      </c>
      <c r="B976" s="506">
        <v>205884.98</v>
      </c>
      <c r="C976" s="528"/>
      <c r="D976" s="506"/>
    </row>
    <row r="977" spans="1:4" x14ac:dyDescent="0.2">
      <c r="A977" s="528">
        <v>43733</v>
      </c>
      <c r="B977" s="506">
        <v>231641.34</v>
      </c>
      <c r="C977" s="528"/>
      <c r="D977" s="506"/>
    </row>
    <row r="978" spans="1:4" x14ac:dyDescent="0.2">
      <c r="A978" s="528">
        <v>43734</v>
      </c>
      <c r="B978" s="506">
        <v>236338.62</v>
      </c>
      <c r="C978" s="528"/>
      <c r="D978" s="506"/>
    </row>
    <row r="979" spans="1:4" x14ac:dyDescent="0.2">
      <c r="A979" s="528">
        <v>43735</v>
      </c>
      <c r="B979" s="506">
        <v>269514.5</v>
      </c>
      <c r="C979" s="528"/>
      <c r="D979" s="506"/>
    </row>
    <row r="980" spans="1:4" x14ac:dyDescent="0.2">
      <c r="A980" s="528">
        <v>43738</v>
      </c>
      <c r="B980" s="506">
        <v>287654.26</v>
      </c>
      <c r="C980" s="528"/>
      <c r="D980" s="506"/>
    </row>
    <row r="981" spans="1:4" x14ac:dyDescent="0.2">
      <c r="A981" s="528">
        <v>43739</v>
      </c>
      <c r="B981" s="506">
        <v>254047.41</v>
      </c>
      <c r="C981" s="528"/>
      <c r="D981" s="506"/>
    </row>
    <row r="982" spans="1:4" x14ac:dyDescent="0.2">
      <c r="A982" s="528">
        <v>43740</v>
      </c>
      <c r="B982" s="506">
        <v>254047</v>
      </c>
      <c r="C982" s="528"/>
      <c r="D982" s="506"/>
    </row>
    <row r="983" spans="1:4" x14ac:dyDescent="0.2">
      <c r="A983" s="528">
        <v>43741</v>
      </c>
      <c r="B983" s="506">
        <v>244596.04</v>
      </c>
      <c r="C983" s="528"/>
      <c r="D983" s="506"/>
    </row>
    <row r="984" spans="1:4" x14ac:dyDescent="0.2">
      <c r="A984" s="528">
        <v>43742</v>
      </c>
      <c r="B984" s="506">
        <v>244881.04</v>
      </c>
      <c r="C984" s="528"/>
      <c r="D984" s="506"/>
    </row>
    <row r="985" spans="1:4" x14ac:dyDescent="0.2">
      <c r="A985" s="528">
        <v>43745</v>
      </c>
      <c r="B985" s="506">
        <v>244881</v>
      </c>
      <c r="C985" s="528"/>
      <c r="D985" s="506"/>
    </row>
    <row r="986" spans="1:4" x14ac:dyDescent="0.2">
      <c r="A986" s="528">
        <v>43746</v>
      </c>
      <c r="B986" s="506">
        <v>244881</v>
      </c>
      <c r="C986" s="528"/>
      <c r="D986" s="506"/>
    </row>
    <row r="987" spans="1:4" x14ac:dyDescent="0.2">
      <c r="A987" s="528">
        <v>43747</v>
      </c>
      <c r="B987" s="506">
        <v>244881</v>
      </c>
      <c r="C987" s="528"/>
      <c r="D987" s="506"/>
    </row>
    <row r="988" spans="1:4" x14ac:dyDescent="0.2">
      <c r="A988" s="528">
        <v>43748</v>
      </c>
      <c r="B988" s="506">
        <v>247845.59</v>
      </c>
      <c r="C988" s="528"/>
      <c r="D988" s="506"/>
    </row>
    <row r="989" spans="1:4" x14ac:dyDescent="0.2">
      <c r="A989" s="528">
        <v>43749</v>
      </c>
      <c r="B989" s="506">
        <v>247846</v>
      </c>
      <c r="C989" s="528"/>
      <c r="D989" s="506"/>
    </row>
    <row r="990" spans="1:4" x14ac:dyDescent="0.2">
      <c r="A990" s="528">
        <v>43752</v>
      </c>
      <c r="B990" s="506">
        <v>247846</v>
      </c>
      <c r="C990" s="528"/>
      <c r="D990" s="506"/>
    </row>
    <row r="991" spans="1:4" x14ac:dyDescent="0.2">
      <c r="A991" s="528">
        <v>43753</v>
      </c>
      <c r="B991" s="506">
        <v>183161.53</v>
      </c>
      <c r="C991" s="528"/>
      <c r="D991" s="506"/>
    </row>
    <row r="992" spans="1:4" x14ac:dyDescent="0.2">
      <c r="A992" s="528">
        <v>43754</v>
      </c>
      <c r="B992" s="506">
        <v>185786.19</v>
      </c>
      <c r="C992" s="528"/>
      <c r="D992" s="506"/>
    </row>
    <row r="993" spans="1:4" x14ac:dyDescent="0.2">
      <c r="A993" s="528">
        <v>43755</v>
      </c>
      <c r="B993" s="506">
        <v>160581.73000000001</v>
      </c>
      <c r="C993" s="528"/>
      <c r="D993" s="506"/>
    </row>
    <row r="994" spans="1:4" x14ac:dyDescent="0.2">
      <c r="A994" s="528">
        <v>43756</v>
      </c>
      <c r="B994" s="506">
        <v>160581.73000000001</v>
      </c>
      <c r="C994" s="528"/>
      <c r="D994" s="506"/>
    </row>
    <row r="995" spans="1:4" x14ac:dyDescent="0.2">
      <c r="A995" s="528">
        <v>43759</v>
      </c>
      <c r="B995" s="506">
        <v>160581.73000000001</v>
      </c>
      <c r="C995" s="528"/>
      <c r="D995" s="506"/>
    </row>
    <row r="996" spans="1:4" x14ac:dyDescent="0.2">
      <c r="A996" s="528">
        <v>43760</v>
      </c>
      <c r="B996" s="506">
        <v>160581.73000000001</v>
      </c>
      <c r="C996" s="528"/>
      <c r="D996" s="506"/>
    </row>
    <row r="997" spans="1:4" x14ac:dyDescent="0.2">
      <c r="A997" s="528">
        <v>43761</v>
      </c>
      <c r="B997" s="506">
        <v>171996.42</v>
      </c>
      <c r="C997" s="528"/>
      <c r="D997" s="506"/>
    </row>
    <row r="998" spans="1:4" x14ac:dyDescent="0.2">
      <c r="A998" s="528">
        <v>43762</v>
      </c>
      <c r="B998" s="506">
        <v>167352.24</v>
      </c>
      <c r="C998" s="528"/>
      <c r="D998" s="506"/>
    </row>
    <row r="999" spans="1:4" x14ac:dyDescent="0.2">
      <c r="A999" s="528">
        <v>43763</v>
      </c>
      <c r="B999" s="506">
        <v>166766.24</v>
      </c>
      <c r="C999" s="528"/>
      <c r="D999" s="506"/>
    </row>
    <row r="1000" spans="1:4" x14ac:dyDescent="0.2">
      <c r="A1000" s="528">
        <v>43766</v>
      </c>
      <c r="B1000" s="564">
        <v>129051.26</v>
      </c>
      <c r="C1000" s="528"/>
      <c r="D1000" s="506"/>
    </row>
    <row r="1001" spans="1:4" x14ac:dyDescent="0.2">
      <c r="A1001" s="528">
        <v>43767</v>
      </c>
      <c r="B1001" s="506">
        <v>132306.64000000001</v>
      </c>
      <c r="C1001" s="528"/>
      <c r="D1001" s="506"/>
    </row>
    <row r="1002" spans="1:4" x14ac:dyDescent="0.2">
      <c r="A1002" s="528">
        <v>43768</v>
      </c>
      <c r="B1002" s="506">
        <v>181475.08</v>
      </c>
      <c r="C1002" s="528"/>
      <c r="D1002" s="506"/>
    </row>
    <row r="1003" spans="1:4" x14ac:dyDescent="0.2">
      <c r="A1003" s="528">
        <v>43769</v>
      </c>
      <c r="B1003" s="506">
        <v>169335.94</v>
      </c>
      <c r="C1003" s="528"/>
      <c r="D1003" s="506"/>
    </row>
    <row r="1004" spans="1:4" x14ac:dyDescent="0.2">
      <c r="A1004" s="528">
        <v>43770</v>
      </c>
      <c r="B1004" s="506">
        <v>171521.13</v>
      </c>
      <c r="C1004" s="528"/>
      <c r="D1004" s="506"/>
    </row>
    <row r="1005" spans="1:4" x14ac:dyDescent="0.2">
      <c r="A1005" s="528">
        <v>43773</v>
      </c>
      <c r="B1005" s="506">
        <v>171521</v>
      </c>
      <c r="C1005" s="528"/>
      <c r="D1005" s="506"/>
    </row>
    <row r="1006" spans="1:4" x14ac:dyDescent="0.2">
      <c r="A1006" s="528">
        <v>43774</v>
      </c>
      <c r="B1006" s="506">
        <v>171521</v>
      </c>
      <c r="C1006" s="528"/>
      <c r="D1006" s="506"/>
    </row>
    <row r="1007" spans="1:4" x14ac:dyDescent="0.2">
      <c r="A1007" s="528">
        <v>43775</v>
      </c>
      <c r="B1007" s="506">
        <v>201934.13</v>
      </c>
      <c r="C1007" s="528"/>
      <c r="D1007" s="506"/>
    </row>
    <row r="1008" spans="1:4" x14ac:dyDescent="0.2">
      <c r="A1008" s="528">
        <v>43776</v>
      </c>
      <c r="B1008" s="506">
        <v>198457.3</v>
      </c>
      <c r="C1008" s="528"/>
      <c r="D1008" s="506"/>
    </row>
    <row r="1009" spans="1:4" x14ac:dyDescent="0.2">
      <c r="A1009" s="528">
        <v>43777</v>
      </c>
      <c r="B1009" s="506">
        <v>198457</v>
      </c>
      <c r="C1009" s="528"/>
      <c r="D1009" s="506"/>
    </row>
    <row r="1010" spans="1:4" x14ac:dyDescent="0.2">
      <c r="A1010" s="528">
        <v>43780</v>
      </c>
      <c r="B1010" s="506">
        <v>164046.53</v>
      </c>
      <c r="C1010" s="528"/>
      <c r="D1010" s="506"/>
    </row>
    <row r="1011" spans="1:4" x14ac:dyDescent="0.2">
      <c r="A1011" s="528">
        <v>43781</v>
      </c>
      <c r="B1011" s="506">
        <v>164047</v>
      </c>
      <c r="C1011" s="528"/>
      <c r="D1011" s="506"/>
    </row>
    <row r="1012" spans="1:4" x14ac:dyDescent="0.2">
      <c r="A1012" s="528">
        <v>43782</v>
      </c>
      <c r="B1012" s="506">
        <v>198779.19</v>
      </c>
      <c r="C1012" s="528"/>
      <c r="D1012" s="506"/>
    </row>
    <row r="1013" spans="1:4" x14ac:dyDescent="0.2">
      <c r="A1013" s="528">
        <v>43783</v>
      </c>
      <c r="B1013" s="506">
        <v>188221.13</v>
      </c>
      <c r="C1013" s="528"/>
      <c r="D1013" s="506"/>
    </row>
    <row r="1014" spans="1:4" x14ac:dyDescent="0.2">
      <c r="A1014" s="528">
        <v>43784</v>
      </c>
      <c r="B1014" s="506">
        <v>190279.89</v>
      </c>
      <c r="C1014" s="528"/>
      <c r="D1014" s="506"/>
    </row>
    <row r="1015" spans="1:4" x14ac:dyDescent="0.2">
      <c r="A1015" s="528">
        <v>43787</v>
      </c>
      <c r="B1015" s="506">
        <v>190179.89</v>
      </c>
      <c r="C1015" s="528"/>
      <c r="D1015" s="506"/>
    </row>
    <row r="1016" spans="1:4" x14ac:dyDescent="0.2">
      <c r="A1016" s="528">
        <v>43788</v>
      </c>
      <c r="B1016" s="506">
        <v>190180</v>
      </c>
      <c r="C1016" s="528"/>
      <c r="D1016" s="506"/>
    </row>
    <row r="1017" spans="1:4" x14ac:dyDescent="0.2">
      <c r="A1017" s="528">
        <v>43789</v>
      </c>
      <c r="B1017" s="506">
        <v>190180</v>
      </c>
      <c r="C1017" s="528"/>
      <c r="D1017" s="506"/>
    </row>
    <row r="1018" spans="1:4" x14ac:dyDescent="0.2">
      <c r="A1018" s="528">
        <v>43790</v>
      </c>
      <c r="B1018" s="506">
        <v>188919.3</v>
      </c>
      <c r="C1018" s="528"/>
      <c r="D1018" s="506"/>
    </row>
    <row r="1019" spans="1:4" x14ac:dyDescent="0.2">
      <c r="A1019" s="528">
        <v>43791</v>
      </c>
      <c r="B1019" s="506">
        <v>188919</v>
      </c>
      <c r="C1019" s="528"/>
      <c r="D1019" s="506"/>
    </row>
    <row r="1020" spans="1:4" x14ac:dyDescent="0.2">
      <c r="A1020" s="528">
        <v>43794</v>
      </c>
      <c r="B1020" s="506">
        <v>153349.64000000001</v>
      </c>
      <c r="C1020" s="528"/>
      <c r="D1020" s="506"/>
    </row>
    <row r="1021" spans="1:4" x14ac:dyDescent="0.2">
      <c r="A1021" s="528">
        <v>43795</v>
      </c>
      <c r="B1021" s="506">
        <v>153226.64000000001</v>
      </c>
      <c r="C1021" s="528"/>
      <c r="D1021" s="506"/>
    </row>
    <row r="1022" spans="1:4" x14ac:dyDescent="0.2">
      <c r="A1022" s="528">
        <v>43796</v>
      </c>
      <c r="B1022" s="506">
        <v>154369.64000000001</v>
      </c>
      <c r="C1022" s="528"/>
      <c r="D1022" s="506"/>
    </row>
    <row r="1023" spans="1:4" x14ac:dyDescent="0.2">
      <c r="A1023" s="528">
        <v>43797</v>
      </c>
      <c r="B1023" s="506">
        <v>154370</v>
      </c>
      <c r="C1023" s="528"/>
      <c r="D1023" s="506"/>
    </row>
    <row r="1024" spans="1:4" x14ac:dyDescent="0.2">
      <c r="A1024" s="528">
        <v>43798</v>
      </c>
      <c r="B1024" s="506">
        <v>237011.17</v>
      </c>
      <c r="C1024" s="528"/>
      <c r="D1024" s="506"/>
    </row>
    <row r="1025" spans="1:4" x14ac:dyDescent="0.2">
      <c r="A1025" s="528">
        <v>43801</v>
      </c>
      <c r="B1025" s="506">
        <v>237011</v>
      </c>
      <c r="C1025" s="528"/>
      <c r="D1025" s="506"/>
    </row>
    <row r="1026" spans="1:4" x14ac:dyDescent="0.2">
      <c r="A1026" s="528">
        <v>43802</v>
      </c>
      <c r="B1026" s="506">
        <v>237011</v>
      </c>
      <c r="C1026" s="528"/>
      <c r="D1026" s="506"/>
    </row>
    <row r="1027" spans="1:4" x14ac:dyDescent="0.2">
      <c r="A1027" s="528">
        <v>43803</v>
      </c>
      <c r="B1027" s="506">
        <v>237011</v>
      </c>
      <c r="C1027" s="528"/>
      <c r="D1027" s="506"/>
    </row>
    <row r="1028" spans="1:4" x14ac:dyDescent="0.2">
      <c r="A1028" s="528">
        <v>43804</v>
      </c>
      <c r="B1028" s="506">
        <v>229967.75</v>
      </c>
      <c r="C1028" s="528"/>
      <c r="D1028" s="506"/>
    </row>
    <row r="1029" spans="1:4" x14ac:dyDescent="0.2">
      <c r="A1029" s="528">
        <v>43805</v>
      </c>
      <c r="B1029" s="506">
        <v>229968</v>
      </c>
      <c r="C1029" s="528"/>
      <c r="D1029" s="506"/>
    </row>
    <row r="1030" spans="1:4" x14ac:dyDescent="0.2">
      <c r="A1030" s="528">
        <v>43808</v>
      </c>
      <c r="B1030" s="506">
        <v>193352.99</v>
      </c>
      <c r="C1030" s="528"/>
      <c r="D1030" s="506"/>
    </row>
    <row r="1031" spans="1:4" x14ac:dyDescent="0.2">
      <c r="A1031" s="528">
        <v>43809</v>
      </c>
      <c r="B1031" s="506">
        <v>193629.99</v>
      </c>
      <c r="C1031" s="528"/>
      <c r="D1031" s="506"/>
    </row>
    <row r="1032" spans="1:4" x14ac:dyDescent="0.2">
      <c r="A1032" s="528">
        <v>43810</v>
      </c>
      <c r="B1032" s="506">
        <v>193630</v>
      </c>
      <c r="C1032" s="528"/>
      <c r="D1032" s="506"/>
    </row>
    <row r="1033" spans="1:4" x14ac:dyDescent="0.2">
      <c r="A1033" s="528">
        <v>43811</v>
      </c>
      <c r="B1033" s="506">
        <v>193945</v>
      </c>
      <c r="C1033" s="528"/>
      <c r="D1033" s="506"/>
    </row>
    <row r="1034" spans="1:4" x14ac:dyDescent="0.2">
      <c r="A1034" s="528">
        <v>43812</v>
      </c>
      <c r="B1034" s="506">
        <v>196370.92</v>
      </c>
      <c r="C1034" s="528"/>
      <c r="D1034" s="506"/>
    </row>
    <row r="1035" spans="1:4" x14ac:dyDescent="0.2">
      <c r="A1035" s="528">
        <v>43815</v>
      </c>
      <c r="B1035" s="506">
        <v>196370.92</v>
      </c>
      <c r="C1035" s="528"/>
      <c r="D1035" s="506"/>
    </row>
    <row r="1036" spans="1:4" x14ac:dyDescent="0.2">
      <c r="A1036" s="528">
        <v>43816</v>
      </c>
      <c r="B1036" s="506">
        <v>196370.92</v>
      </c>
      <c r="C1036" s="528"/>
      <c r="D1036" s="506"/>
    </row>
    <row r="1037" spans="1:4" x14ac:dyDescent="0.2">
      <c r="A1037" s="528">
        <v>43817</v>
      </c>
      <c r="B1037" s="506">
        <v>196370.92</v>
      </c>
      <c r="C1037" s="528"/>
      <c r="D1037" s="506"/>
    </row>
    <row r="1038" spans="1:4" x14ac:dyDescent="0.2">
      <c r="A1038" s="528">
        <v>43818</v>
      </c>
      <c r="B1038" s="506">
        <v>194997.56</v>
      </c>
      <c r="C1038" s="528"/>
      <c r="D1038" s="506"/>
    </row>
    <row r="1039" spans="1:4" x14ac:dyDescent="0.2">
      <c r="A1039" s="528">
        <v>43819</v>
      </c>
      <c r="B1039" s="506">
        <v>194998</v>
      </c>
      <c r="C1039" s="528"/>
      <c r="D1039" s="506"/>
    </row>
    <row r="1040" spans="1:4" x14ac:dyDescent="0.2">
      <c r="A1040" s="528">
        <v>43822</v>
      </c>
      <c r="B1040" s="506">
        <v>158280.26999999999</v>
      </c>
      <c r="C1040" s="528"/>
      <c r="D1040" s="506"/>
    </row>
    <row r="1041" spans="1:4" x14ac:dyDescent="0.2">
      <c r="A1041" s="528">
        <v>43823</v>
      </c>
      <c r="B1041" s="506">
        <v>163840.26999999999</v>
      </c>
      <c r="C1041" s="528"/>
      <c r="D1041" s="506"/>
    </row>
    <row r="1042" spans="1:4" x14ac:dyDescent="0.2">
      <c r="A1042" s="528">
        <v>43824</v>
      </c>
      <c r="B1042" s="506">
        <v>163840</v>
      </c>
      <c r="C1042" s="528"/>
      <c r="D1042" s="506"/>
    </row>
    <row r="1043" spans="1:4" x14ac:dyDescent="0.2">
      <c r="A1043" s="528">
        <v>43825</v>
      </c>
      <c r="B1043" s="506">
        <v>213174.46</v>
      </c>
      <c r="C1043" s="528"/>
      <c r="D1043" s="506"/>
    </row>
    <row r="1044" spans="1:4" x14ac:dyDescent="0.2">
      <c r="A1044" s="528">
        <v>43826</v>
      </c>
      <c r="B1044" s="506">
        <v>212851.46</v>
      </c>
      <c r="C1044" s="528"/>
      <c r="D1044" s="506"/>
    </row>
    <row r="1045" spans="1:4" x14ac:dyDescent="0.2">
      <c r="A1045" s="528">
        <v>43829</v>
      </c>
      <c r="B1045" s="506">
        <v>212221.74</v>
      </c>
      <c r="C1045" s="528"/>
      <c r="D1045" s="506"/>
    </row>
    <row r="1046" spans="1:4" x14ac:dyDescent="0.2">
      <c r="A1046" s="528">
        <v>43830</v>
      </c>
      <c r="B1046" s="506">
        <v>189055.83</v>
      </c>
      <c r="C1046" s="528"/>
      <c r="D1046" s="506"/>
    </row>
    <row r="1047" spans="1:4" x14ac:dyDescent="0.2">
      <c r="A1047" s="528">
        <v>43831</v>
      </c>
      <c r="B1047" s="506">
        <v>189056</v>
      </c>
      <c r="C1047" s="528"/>
      <c r="D1047" s="506"/>
    </row>
    <row r="1048" spans="1:4" x14ac:dyDescent="0.2">
      <c r="A1048" s="528">
        <v>43832</v>
      </c>
      <c r="B1048" s="506">
        <v>206403.28</v>
      </c>
      <c r="C1048" s="528"/>
      <c r="D1048" s="506"/>
    </row>
    <row r="1049" spans="1:4" x14ac:dyDescent="0.2">
      <c r="A1049" s="528">
        <v>43833</v>
      </c>
      <c r="B1049" s="506">
        <v>206217.28</v>
      </c>
      <c r="C1049" s="528"/>
      <c r="D1049" s="506"/>
    </row>
    <row r="1050" spans="1:4" x14ac:dyDescent="0.2">
      <c r="A1050" s="528">
        <v>43836</v>
      </c>
      <c r="B1050" s="506">
        <v>206129.28</v>
      </c>
      <c r="C1050" s="528"/>
      <c r="D1050" s="506"/>
    </row>
    <row r="1051" spans="1:4" x14ac:dyDescent="0.2">
      <c r="A1051" s="528">
        <v>43837</v>
      </c>
      <c r="B1051" s="506">
        <v>172858.39</v>
      </c>
      <c r="C1051" s="528"/>
      <c r="D1051" s="506"/>
    </row>
    <row r="1052" spans="1:4" x14ac:dyDescent="0.2">
      <c r="A1052" s="528">
        <v>43838</v>
      </c>
      <c r="B1052" s="506">
        <v>172585</v>
      </c>
      <c r="C1052" s="528"/>
      <c r="D1052" s="506"/>
    </row>
    <row r="1053" spans="1:4" x14ac:dyDescent="0.2">
      <c r="A1053" s="528">
        <v>43839</v>
      </c>
      <c r="B1053" s="506">
        <v>184752.38</v>
      </c>
      <c r="C1053" s="528"/>
      <c r="D1053" s="506"/>
    </row>
    <row r="1054" spans="1:4" x14ac:dyDescent="0.2">
      <c r="A1054" s="528">
        <v>43840</v>
      </c>
      <c r="B1054" s="506">
        <v>199849.93</v>
      </c>
      <c r="C1054" s="528"/>
      <c r="D1054" s="506"/>
    </row>
    <row r="1055" spans="1:4" x14ac:dyDescent="0.2">
      <c r="A1055" s="528">
        <v>43843</v>
      </c>
      <c r="B1055" s="506">
        <v>199850</v>
      </c>
      <c r="C1055" s="528"/>
      <c r="D1055" s="506"/>
    </row>
    <row r="1056" spans="1:4" x14ac:dyDescent="0.2">
      <c r="A1056" s="528">
        <v>43844</v>
      </c>
      <c r="B1056" s="506">
        <v>199850</v>
      </c>
      <c r="C1056" s="528"/>
      <c r="D1056" s="506"/>
    </row>
    <row r="1057" spans="1:4" x14ac:dyDescent="0.2">
      <c r="A1057" s="528">
        <v>43845</v>
      </c>
      <c r="B1057" s="506">
        <v>199942.09</v>
      </c>
      <c r="C1057" s="528"/>
      <c r="D1057" s="506"/>
    </row>
    <row r="1058" spans="1:4" x14ac:dyDescent="0.2">
      <c r="A1058" s="528">
        <v>43846</v>
      </c>
      <c r="B1058" s="506">
        <v>197586.14</v>
      </c>
      <c r="C1058" s="528"/>
      <c r="D1058" s="506"/>
    </row>
    <row r="1059" spans="1:4" x14ac:dyDescent="0.2">
      <c r="A1059" s="528">
        <v>43847</v>
      </c>
      <c r="B1059" s="506">
        <v>197586</v>
      </c>
      <c r="C1059" s="528"/>
      <c r="D1059" s="506"/>
    </row>
    <row r="1060" spans="1:4" x14ac:dyDescent="0.2">
      <c r="A1060" s="528">
        <v>43850</v>
      </c>
      <c r="B1060" s="506">
        <v>197586</v>
      </c>
      <c r="C1060" s="528"/>
      <c r="D1060" s="506"/>
    </row>
    <row r="1061" spans="1:4" x14ac:dyDescent="0.2">
      <c r="A1061" s="528">
        <v>43851</v>
      </c>
      <c r="B1061" s="714">
        <v>160213.23000000001</v>
      </c>
      <c r="C1061" s="528"/>
      <c r="D1061" s="506"/>
    </row>
    <row r="1062" spans="1:4" x14ac:dyDescent="0.2">
      <c r="A1062" s="528">
        <v>43852</v>
      </c>
      <c r="B1062" s="506">
        <v>160213</v>
      </c>
      <c r="C1062" s="528"/>
      <c r="D1062" s="506"/>
    </row>
    <row r="1063" spans="1:4" x14ac:dyDescent="0.2">
      <c r="A1063" s="528">
        <v>43853</v>
      </c>
      <c r="B1063" s="506">
        <v>178835.97</v>
      </c>
      <c r="C1063" s="528"/>
      <c r="D1063" s="506"/>
    </row>
    <row r="1064" spans="1:4" x14ac:dyDescent="0.2">
      <c r="A1064" s="528">
        <v>43854</v>
      </c>
      <c r="B1064" s="506">
        <v>177774.06</v>
      </c>
      <c r="C1064" s="528"/>
      <c r="D1064" s="506"/>
    </row>
    <row r="1065" spans="1:4" x14ac:dyDescent="0.2">
      <c r="A1065" s="528">
        <v>43857</v>
      </c>
      <c r="B1065" s="506">
        <v>177774</v>
      </c>
      <c r="C1065" s="528"/>
      <c r="D1065" s="506"/>
    </row>
    <row r="1066" spans="1:4" x14ac:dyDescent="0.2">
      <c r="A1066" s="528">
        <v>43858</v>
      </c>
      <c r="B1066" s="506">
        <v>177774</v>
      </c>
      <c r="C1066" s="528"/>
      <c r="D1066" s="506"/>
    </row>
    <row r="1067" spans="1:4" x14ac:dyDescent="0.2">
      <c r="A1067" s="528">
        <v>43859</v>
      </c>
      <c r="B1067" s="506">
        <v>253459.84</v>
      </c>
      <c r="C1067" s="528"/>
      <c r="D1067" s="506"/>
    </row>
    <row r="1068" spans="1:4" x14ac:dyDescent="0.2">
      <c r="A1068" s="528">
        <v>43860</v>
      </c>
      <c r="B1068" s="506">
        <v>235320.22</v>
      </c>
      <c r="C1068" s="528"/>
      <c r="D1068" s="506"/>
    </row>
    <row r="1069" spans="1:4" x14ac:dyDescent="0.2">
      <c r="A1069" s="528">
        <v>43861</v>
      </c>
      <c r="B1069" s="506">
        <v>235320</v>
      </c>
      <c r="C1069" s="528"/>
      <c r="D1069" s="506"/>
    </row>
    <row r="1070" spans="1:4" x14ac:dyDescent="0.2">
      <c r="A1070" s="528">
        <v>43864</v>
      </c>
      <c r="B1070" s="506">
        <v>198483.96</v>
      </c>
      <c r="C1070" s="528"/>
      <c r="D1070" s="506"/>
    </row>
    <row r="1071" spans="1:4" x14ac:dyDescent="0.2">
      <c r="A1071" s="528">
        <v>43865</v>
      </c>
      <c r="B1071" s="506">
        <v>212819.68</v>
      </c>
      <c r="C1071" s="528"/>
      <c r="D1071" s="506"/>
    </row>
    <row r="1072" spans="1:4" x14ac:dyDescent="0.2">
      <c r="A1072" s="528">
        <v>43866</v>
      </c>
      <c r="B1072" s="506">
        <v>212820</v>
      </c>
      <c r="C1072" s="528"/>
      <c r="D1072" s="506"/>
    </row>
    <row r="1073" spans="1:4" x14ac:dyDescent="0.2">
      <c r="A1073" s="528">
        <v>43867</v>
      </c>
      <c r="B1073" s="506">
        <v>212584.24</v>
      </c>
      <c r="C1073" s="528"/>
      <c r="D1073" s="506"/>
    </row>
    <row r="1074" spans="1:4" x14ac:dyDescent="0.2">
      <c r="A1074" s="528">
        <v>43868</v>
      </c>
      <c r="B1074" s="506">
        <v>270092.23</v>
      </c>
      <c r="C1074" s="528"/>
      <c r="D1074" s="506"/>
    </row>
    <row r="1075" spans="1:4" x14ac:dyDescent="0.2">
      <c r="A1075" s="528">
        <v>43871</v>
      </c>
      <c r="B1075" s="506">
        <v>270092</v>
      </c>
      <c r="C1075" s="528"/>
      <c r="D1075" s="506"/>
    </row>
    <row r="1076" spans="1:4" x14ac:dyDescent="0.2">
      <c r="A1076" s="528">
        <v>43872</v>
      </c>
      <c r="B1076" s="506">
        <v>273133.13</v>
      </c>
      <c r="C1076" s="528"/>
      <c r="D1076" s="506"/>
    </row>
    <row r="1077" spans="1:4" x14ac:dyDescent="0.2">
      <c r="A1077" s="528">
        <v>43873</v>
      </c>
      <c r="B1077" s="506">
        <v>273133</v>
      </c>
      <c r="C1077" s="528"/>
      <c r="D1077" s="506"/>
    </row>
    <row r="1078" spans="1:4" x14ac:dyDescent="0.2">
      <c r="A1078" s="528">
        <v>43874</v>
      </c>
      <c r="B1078" s="506">
        <v>280484.09000000003</v>
      </c>
      <c r="C1078" s="528"/>
      <c r="D1078" s="506"/>
    </row>
    <row r="1079" spans="1:4" x14ac:dyDescent="0.2">
      <c r="A1079" s="528">
        <v>43875</v>
      </c>
      <c r="B1079" s="506">
        <v>279225.67</v>
      </c>
      <c r="C1079" s="528"/>
      <c r="D1079" s="506"/>
    </row>
    <row r="1080" spans="1:4" x14ac:dyDescent="0.2">
      <c r="A1080" s="528">
        <v>43878</v>
      </c>
      <c r="B1080" s="506">
        <v>279226</v>
      </c>
      <c r="C1080" s="528"/>
      <c r="D1080" s="506"/>
    </row>
    <row r="1081" spans="1:4" x14ac:dyDescent="0.2">
      <c r="A1081" s="528">
        <v>43879</v>
      </c>
      <c r="B1081" s="506">
        <v>241740.68</v>
      </c>
      <c r="C1081" s="528"/>
      <c r="D1081" s="506"/>
    </row>
    <row r="1082" spans="1:4" x14ac:dyDescent="0.2">
      <c r="A1082" s="528">
        <v>43880</v>
      </c>
      <c r="B1082" s="506">
        <v>268478</v>
      </c>
      <c r="C1082" s="528"/>
      <c r="D1082" s="506"/>
    </row>
    <row r="1083" spans="1:4" x14ac:dyDescent="0.2">
      <c r="A1083" s="528">
        <v>43881</v>
      </c>
      <c r="B1083" s="506">
        <v>258524.93</v>
      </c>
      <c r="C1083" s="528"/>
      <c r="D1083" s="506"/>
    </row>
    <row r="1084" spans="1:4" x14ac:dyDescent="0.2">
      <c r="A1084" s="528">
        <v>43882</v>
      </c>
      <c r="B1084" s="506">
        <v>277316.53000000003</v>
      </c>
      <c r="C1084" s="528"/>
      <c r="D1084" s="506"/>
    </row>
    <row r="1085" spans="1:4" x14ac:dyDescent="0.2">
      <c r="A1085" s="528">
        <v>43885</v>
      </c>
      <c r="B1085" s="506">
        <v>277317</v>
      </c>
      <c r="C1085" s="528"/>
      <c r="D1085" s="506"/>
    </row>
    <row r="1086" spans="1:4" x14ac:dyDescent="0.2">
      <c r="A1086" s="528">
        <v>43886</v>
      </c>
      <c r="B1086" s="506">
        <v>279881.78999999998</v>
      </c>
      <c r="C1086" s="528"/>
      <c r="D1086" s="506"/>
    </row>
    <row r="1087" spans="1:4" x14ac:dyDescent="0.2">
      <c r="A1087" s="528">
        <v>43887</v>
      </c>
      <c r="B1087" s="506">
        <v>279882</v>
      </c>
      <c r="C1087" s="528"/>
      <c r="D1087" s="506"/>
    </row>
    <row r="1088" spans="1:4" x14ac:dyDescent="0.2">
      <c r="A1088" s="528">
        <v>43888</v>
      </c>
      <c r="B1088" s="506">
        <v>270773.33</v>
      </c>
      <c r="C1088" s="528"/>
      <c r="D1088" s="506"/>
    </row>
    <row r="1089" spans="1:4" x14ac:dyDescent="0.2">
      <c r="A1089" s="528">
        <v>43889</v>
      </c>
      <c r="B1089" s="714">
        <v>306133.57</v>
      </c>
      <c r="C1089" s="528"/>
      <c r="D1089" s="506"/>
    </row>
    <row r="1090" spans="1:4" x14ac:dyDescent="0.2">
      <c r="A1090" s="528">
        <v>43892</v>
      </c>
      <c r="B1090" s="714">
        <v>267343.68</v>
      </c>
      <c r="C1090" s="528"/>
      <c r="D1090" s="506"/>
    </row>
    <row r="1091" spans="1:4" x14ac:dyDescent="0.2">
      <c r="A1091" s="528">
        <v>43893</v>
      </c>
      <c r="B1091" s="714">
        <v>267157.68</v>
      </c>
      <c r="C1091" s="528"/>
      <c r="D1091" s="506"/>
    </row>
    <row r="1092" spans="1:4" x14ac:dyDescent="0.2">
      <c r="A1092" s="528">
        <v>43894</v>
      </c>
      <c r="B1092" s="714">
        <f>B1091</f>
        <v>267157.68</v>
      </c>
      <c r="C1092" s="528"/>
      <c r="D1092" s="506"/>
    </row>
    <row r="1093" spans="1:4" x14ac:dyDescent="0.2">
      <c r="A1093" s="528">
        <v>43895</v>
      </c>
      <c r="B1093" s="714">
        <v>264690.95</v>
      </c>
      <c r="C1093" s="528"/>
      <c r="D1093" s="506"/>
    </row>
    <row r="1094" spans="1:4" x14ac:dyDescent="0.2">
      <c r="A1094" s="528">
        <v>43896</v>
      </c>
      <c r="B1094" s="714">
        <v>264495.03999999998</v>
      </c>
      <c r="C1094" s="528"/>
      <c r="D1094" s="506"/>
    </row>
    <row r="1095" spans="1:4" x14ac:dyDescent="0.2">
      <c r="A1095" s="528">
        <v>43899</v>
      </c>
      <c r="B1095" s="714">
        <f>B1094</f>
        <v>264495.03999999998</v>
      </c>
      <c r="C1095" s="528"/>
      <c r="D1095" s="506"/>
    </row>
    <row r="1096" spans="1:4" x14ac:dyDescent="0.2">
      <c r="A1096" s="528">
        <v>43900</v>
      </c>
      <c r="B1096" s="714">
        <v>267283.63</v>
      </c>
      <c r="C1096" s="528"/>
      <c r="D1096" s="506"/>
    </row>
    <row r="1097" spans="1:4" x14ac:dyDescent="0.2">
      <c r="A1097" s="528">
        <v>43901</v>
      </c>
      <c r="B1097" s="714">
        <f>B1096</f>
        <v>267283.63</v>
      </c>
      <c r="C1097" s="528"/>
      <c r="D1097" s="506"/>
    </row>
    <row r="1098" spans="1:4" x14ac:dyDescent="0.2">
      <c r="A1098" s="528">
        <v>43902</v>
      </c>
      <c r="B1098" s="714">
        <v>259537.69</v>
      </c>
      <c r="C1098" s="528"/>
      <c r="D1098" s="506"/>
    </row>
    <row r="1099" spans="1:4" x14ac:dyDescent="0.2">
      <c r="A1099" s="528">
        <v>43903</v>
      </c>
      <c r="B1099" s="714">
        <v>259645.65</v>
      </c>
      <c r="C1099" s="528"/>
      <c r="D1099" s="506"/>
    </row>
    <row r="1100" spans="1:4" x14ac:dyDescent="0.2">
      <c r="A1100" s="528">
        <v>43906</v>
      </c>
      <c r="B1100" s="714">
        <v>279221.03000000003</v>
      </c>
      <c r="C1100" s="528"/>
      <c r="D1100" s="506"/>
    </row>
    <row r="1101" spans="1:4" x14ac:dyDescent="0.2">
      <c r="A1101" s="528">
        <v>43907</v>
      </c>
      <c r="B1101" s="714">
        <v>232150.36</v>
      </c>
      <c r="C1101" s="528"/>
      <c r="D1101" s="506"/>
    </row>
    <row r="1102" spans="1:4" x14ac:dyDescent="0.2">
      <c r="A1102" s="528">
        <v>43908</v>
      </c>
      <c r="B1102" s="714">
        <v>274274.51</v>
      </c>
      <c r="C1102" s="528"/>
      <c r="D1102" s="506"/>
    </row>
    <row r="1103" spans="1:4" x14ac:dyDescent="0.2">
      <c r="A1103" s="528">
        <v>43909</v>
      </c>
      <c r="B1103" s="714">
        <v>276629.48</v>
      </c>
      <c r="C1103" s="528"/>
      <c r="D1103" s="506"/>
    </row>
    <row r="1104" spans="1:4" x14ac:dyDescent="0.2">
      <c r="A1104" s="528">
        <v>43910</v>
      </c>
      <c r="B1104" s="714">
        <f>B1103</f>
        <v>276629.48</v>
      </c>
      <c r="C1104" s="528"/>
      <c r="D1104" s="506"/>
    </row>
    <row r="1105" spans="1:4" x14ac:dyDescent="0.2">
      <c r="A1105" s="528">
        <v>43913</v>
      </c>
      <c r="B1105" s="714">
        <v>292626.55</v>
      </c>
      <c r="C1105" s="528"/>
      <c r="D1105" s="506"/>
    </row>
    <row r="1106" spans="1:4" x14ac:dyDescent="0.2">
      <c r="A1106" s="528">
        <v>43914</v>
      </c>
      <c r="B1106" s="714">
        <f>B1105</f>
        <v>292626.55</v>
      </c>
      <c r="C1106" s="528"/>
      <c r="D1106" s="506"/>
    </row>
    <row r="1107" spans="1:4" x14ac:dyDescent="0.2">
      <c r="A1107" s="528">
        <v>43915</v>
      </c>
      <c r="B1107" s="714">
        <f>B1106</f>
        <v>292626.55</v>
      </c>
      <c r="C1107" s="528"/>
      <c r="D1107" s="506"/>
    </row>
    <row r="1108" spans="1:4" x14ac:dyDescent="0.2">
      <c r="A1108" s="528">
        <v>43916</v>
      </c>
      <c r="B1108" s="714">
        <f>B1107</f>
        <v>292626.55</v>
      </c>
      <c r="C1108" s="528"/>
      <c r="D1108" s="506"/>
    </row>
    <row r="1109" spans="1:4" x14ac:dyDescent="0.2">
      <c r="A1109" s="528">
        <v>43917</v>
      </c>
      <c r="B1109" s="714">
        <v>292582.55</v>
      </c>
      <c r="C1109" s="528"/>
      <c r="D1109" s="506"/>
    </row>
    <row r="1110" spans="1:4" x14ac:dyDescent="0.2">
      <c r="A1110" s="528">
        <v>43920</v>
      </c>
      <c r="B1110" s="714">
        <f>B1109</f>
        <v>292582.55</v>
      </c>
      <c r="C1110" s="528"/>
      <c r="D1110" s="506"/>
    </row>
    <row r="1111" spans="1:4" x14ac:dyDescent="0.2">
      <c r="A1111" s="528">
        <v>43921</v>
      </c>
      <c r="B1111" s="714">
        <f>B1110</f>
        <v>292582.55</v>
      </c>
      <c r="C1111" s="528"/>
      <c r="D1111" s="506"/>
    </row>
    <row r="1112" spans="1:4" x14ac:dyDescent="0.2">
      <c r="A1112" s="528">
        <v>43922</v>
      </c>
      <c r="B1112" s="714">
        <v>256343.91</v>
      </c>
      <c r="C1112" s="528"/>
      <c r="D1112" s="506"/>
    </row>
    <row r="1113" spans="1:4" x14ac:dyDescent="0.2">
      <c r="A1113" s="528">
        <v>43923</v>
      </c>
      <c r="B1113" s="714">
        <v>260066.55</v>
      </c>
      <c r="C1113" s="528"/>
      <c r="D1113" s="506"/>
    </row>
    <row r="1114" spans="1:4" x14ac:dyDescent="0.2">
      <c r="A1114" s="528">
        <v>43924</v>
      </c>
      <c r="B1114" s="714">
        <v>259418.64</v>
      </c>
      <c r="C1114" s="528"/>
      <c r="D1114" s="506"/>
    </row>
    <row r="1115" spans="1:4" x14ac:dyDescent="0.2">
      <c r="A1115" s="528">
        <v>43927</v>
      </c>
      <c r="B1115" s="714">
        <f>B1114</f>
        <v>259418.64</v>
      </c>
      <c r="C1115" s="528"/>
      <c r="D1115" s="506"/>
    </row>
    <row r="1116" spans="1:4" x14ac:dyDescent="0.2">
      <c r="A1116" s="528">
        <v>43928</v>
      </c>
      <c r="B1116" s="714">
        <f>B1115</f>
        <v>259418.64</v>
      </c>
      <c r="C1116" s="528"/>
      <c r="D1116" s="506"/>
    </row>
    <row r="1117" spans="1:4" x14ac:dyDescent="0.2">
      <c r="A1117" s="528">
        <v>43929</v>
      </c>
      <c r="B1117" s="714">
        <f>B1116</f>
        <v>259418.64</v>
      </c>
      <c r="C1117" s="528"/>
      <c r="D1117" s="506"/>
    </row>
    <row r="1118" spans="1:4" x14ac:dyDescent="0.2">
      <c r="A1118" s="528">
        <v>43930</v>
      </c>
      <c r="B1118" s="714">
        <v>256056.32000000001</v>
      </c>
      <c r="C1118" s="528"/>
      <c r="D1118" s="506"/>
    </row>
    <row r="1119" spans="1:4" x14ac:dyDescent="0.2">
      <c r="A1119" s="528">
        <v>43931</v>
      </c>
      <c r="B1119" s="714">
        <f>B1118</f>
        <v>256056.32000000001</v>
      </c>
      <c r="C1119" s="528"/>
      <c r="D1119" s="506"/>
    </row>
    <row r="1120" spans="1:4" x14ac:dyDescent="0.2">
      <c r="A1120" s="528">
        <v>43934</v>
      </c>
      <c r="B1120" s="714">
        <f>B1119</f>
        <v>256056.32000000001</v>
      </c>
      <c r="C1120" s="528"/>
      <c r="D1120" s="506"/>
    </row>
    <row r="1121" spans="1:4" x14ac:dyDescent="0.2">
      <c r="A1121" s="528">
        <v>43935</v>
      </c>
      <c r="B1121" s="714">
        <f>B1120</f>
        <v>256056.32000000001</v>
      </c>
      <c r="C1121" s="528"/>
      <c r="D1121" s="506"/>
    </row>
    <row r="1122" spans="1:4" x14ac:dyDescent="0.2">
      <c r="A1122" s="528">
        <v>43936</v>
      </c>
      <c r="B1122" s="714">
        <v>222877.12</v>
      </c>
      <c r="C1122" s="528"/>
      <c r="D1122" s="506"/>
    </row>
    <row r="1123" spans="1:4" x14ac:dyDescent="0.2">
      <c r="A1123" s="528">
        <v>43937</v>
      </c>
      <c r="B1123" s="714">
        <f>B1122</f>
        <v>222877.12</v>
      </c>
      <c r="C1123" s="528"/>
      <c r="D1123" s="506"/>
    </row>
    <row r="1124" spans="1:4" x14ac:dyDescent="0.2">
      <c r="A1124" s="528">
        <v>43938</v>
      </c>
      <c r="B1124" s="714">
        <v>222415.21</v>
      </c>
      <c r="C1124" s="528"/>
      <c r="D1124" s="506"/>
    </row>
    <row r="1125" spans="1:4" x14ac:dyDescent="0.2">
      <c r="A1125" s="528">
        <v>43941</v>
      </c>
      <c r="B1125" s="714">
        <f>B1124</f>
        <v>222415.21</v>
      </c>
      <c r="C1125" s="528"/>
      <c r="D1125" s="506"/>
    </row>
    <row r="1126" spans="1:4" x14ac:dyDescent="0.2">
      <c r="A1126" s="528">
        <v>43942</v>
      </c>
      <c r="B1126" s="714">
        <f>B1125</f>
        <v>222415.21</v>
      </c>
      <c r="C1126" s="528"/>
      <c r="D1126" s="506"/>
    </row>
    <row r="1127" spans="1:4" x14ac:dyDescent="0.2">
      <c r="A1127" s="528">
        <v>43943</v>
      </c>
      <c r="B1127" s="714">
        <f>B1126</f>
        <v>222415.21</v>
      </c>
      <c r="C1127" s="528"/>
      <c r="D1127" s="506"/>
    </row>
    <row r="1128" spans="1:4" x14ac:dyDescent="0.2">
      <c r="A1128" s="528">
        <v>43944</v>
      </c>
      <c r="B1128" s="714">
        <v>185658.71</v>
      </c>
      <c r="C1128" s="528"/>
      <c r="D1128" s="506"/>
    </row>
    <row r="1129" spans="1:4" x14ac:dyDescent="0.2">
      <c r="A1129" s="528">
        <v>43945</v>
      </c>
      <c r="B1129" s="714">
        <f>B1128</f>
        <v>185658.71</v>
      </c>
      <c r="C1129" s="528"/>
      <c r="D1129" s="506"/>
    </row>
    <row r="1130" spans="1:4" x14ac:dyDescent="0.2">
      <c r="A1130" s="528">
        <v>43948</v>
      </c>
      <c r="B1130" s="714">
        <v>185614.71</v>
      </c>
      <c r="C1130" s="528"/>
      <c r="D1130" s="506"/>
    </row>
    <row r="1131" spans="1:4" x14ac:dyDescent="0.2">
      <c r="A1131" s="528">
        <v>43949</v>
      </c>
      <c r="B1131" s="564">
        <v>152434.01999999999</v>
      </c>
      <c r="C1131" s="528"/>
      <c r="D1131" s="506"/>
    </row>
    <row r="1132" spans="1:4" x14ac:dyDescent="0.2">
      <c r="A1132" s="528">
        <v>43950</v>
      </c>
      <c r="B1132" s="714">
        <f>B1131</f>
        <v>152434.01999999999</v>
      </c>
      <c r="C1132" s="528"/>
      <c r="D1132" s="506"/>
    </row>
    <row r="1133" spans="1:4" x14ac:dyDescent="0.2">
      <c r="A1133" s="528">
        <v>43951</v>
      </c>
      <c r="B1133" s="714">
        <v>173230.55</v>
      </c>
      <c r="C1133" s="528"/>
      <c r="D1133" s="506"/>
    </row>
    <row r="1134" spans="1:4" x14ac:dyDescent="0.2">
      <c r="A1134" s="528"/>
      <c r="C1134" s="528"/>
      <c r="D1134" s="506"/>
    </row>
    <row r="1135" spans="1:4" x14ac:dyDescent="0.2">
      <c r="A1135" s="528"/>
      <c r="C1135" s="528"/>
      <c r="D1135" s="506"/>
    </row>
    <row r="1136" spans="1:4" x14ac:dyDescent="0.2">
      <c r="A1136" s="528"/>
      <c r="C1136" s="528"/>
      <c r="D1136" s="506"/>
    </row>
    <row r="1137" spans="1:4" x14ac:dyDescent="0.2">
      <c r="A1137" s="528"/>
      <c r="C1137" s="528"/>
      <c r="D1137" s="506"/>
    </row>
    <row r="1138" spans="1:4" x14ac:dyDescent="0.2">
      <c r="A1138" s="528"/>
      <c r="C1138" s="528"/>
      <c r="D1138" s="506"/>
    </row>
    <row r="1139" spans="1:4" x14ac:dyDescent="0.2">
      <c r="A1139" s="528"/>
      <c r="C1139" s="528"/>
      <c r="D1139" s="506"/>
    </row>
    <row r="1140" spans="1:4" x14ac:dyDescent="0.2">
      <c r="A1140" s="528"/>
      <c r="C1140" s="528"/>
      <c r="D1140" s="506"/>
    </row>
    <row r="1141" spans="1:4" x14ac:dyDescent="0.2">
      <c r="A1141" s="528"/>
      <c r="C1141" s="528"/>
      <c r="D1141" s="506"/>
    </row>
    <row r="1142" spans="1:4" x14ac:dyDescent="0.2">
      <c r="A1142" s="528"/>
      <c r="C1142" s="528"/>
      <c r="D1142" s="506"/>
    </row>
    <row r="1143" spans="1:4" x14ac:dyDescent="0.2">
      <c r="A1143" s="528"/>
      <c r="C1143" s="528"/>
      <c r="D1143" s="506"/>
    </row>
    <row r="1144" spans="1:4" x14ac:dyDescent="0.2">
      <c r="A1144" s="528"/>
      <c r="C1144" s="528"/>
      <c r="D1144" s="506"/>
    </row>
    <row r="1145" spans="1:4" x14ac:dyDescent="0.2">
      <c r="A1145" s="528"/>
      <c r="C1145" s="528"/>
      <c r="D1145" s="506"/>
    </row>
    <row r="1146" spans="1:4" x14ac:dyDescent="0.2">
      <c r="A1146" s="528"/>
      <c r="C1146" s="528"/>
      <c r="D1146" s="506"/>
    </row>
    <row r="1147" spans="1:4" x14ac:dyDescent="0.2">
      <c r="A1147" s="528"/>
      <c r="C1147" s="528"/>
      <c r="D1147" s="506"/>
    </row>
    <row r="1148" spans="1:4" x14ac:dyDescent="0.2">
      <c r="A1148" s="528"/>
      <c r="C1148" s="528"/>
      <c r="D1148" s="506"/>
    </row>
    <row r="1149" spans="1:4" x14ac:dyDescent="0.2">
      <c r="A1149" s="528"/>
      <c r="C1149" s="528"/>
      <c r="D1149" s="506"/>
    </row>
    <row r="1150" spans="1:4" x14ac:dyDescent="0.2">
      <c r="A1150" s="528"/>
      <c r="C1150" s="528"/>
      <c r="D1150" s="506"/>
    </row>
    <row r="1151" spans="1:4" x14ac:dyDescent="0.2">
      <c r="A1151" s="528"/>
      <c r="C1151" s="528"/>
      <c r="D1151" s="506"/>
    </row>
    <row r="1152" spans="1:4" x14ac:dyDescent="0.2">
      <c r="A1152" s="528"/>
      <c r="C1152" s="528"/>
      <c r="D1152" s="506"/>
    </row>
    <row r="1153" spans="1:4" x14ac:dyDescent="0.2">
      <c r="A1153" s="528"/>
      <c r="C1153" s="528"/>
      <c r="D1153" s="506"/>
    </row>
    <row r="1154" spans="1:4" x14ac:dyDescent="0.2">
      <c r="A1154" s="528"/>
      <c r="C1154" s="528"/>
      <c r="D1154" s="506"/>
    </row>
    <row r="1155" spans="1:4" x14ac:dyDescent="0.2">
      <c r="A1155" s="528"/>
      <c r="C1155" s="528"/>
      <c r="D1155" s="506"/>
    </row>
    <row r="1156" spans="1:4" x14ac:dyDescent="0.2">
      <c r="A1156" s="528"/>
      <c r="C1156" s="528"/>
      <c r="D1156" s="506"/>
    </row>
    <row r="1157" spans="1:4" x14ac:dyDescent="0.2">
      <c r="A1157" s="528"/>
      <c r="C1157" s="528"/>
      <c r="D1157" s="506"/>
    </row>
    <row r="1158" spans="1:4" x14ac:dyDescent="0.2">
      <c r="A1158" s="528"/>
      <c r="C1158" s="528"/>
      <c r="D1158" s="506"/>
    </row>
    <row r="1159" spans="1:4" x14ac:dyDescent="0.2">
      <c r="A1159" s="528"/>
      <c r="C1159" s="528"/>
      <c r="D1159" s="506"/>
    </row>
    <row r="1160" spans="1:4" x14ac:dyDescent="0.2">
      <c r="A1160" s="528"/>
      <c r="C1160" s="528"/>
      <c r="D1160" s="506"/>
    </row>
    <row r="1161" spans="1:4" x14ac:dyDescent="0.2">
      <c r="A1161" s="528"/>
      <c r="C1161" s="528"/>
      <c r="D1161" s="506"/>
    </row>
    <row r="1162" spans="1:4" x14ac:dyDescent="0.2">
      <c r="A1162" s="528"/>
      <c r="C1162" s="528"/>
      <c r="D1162" s="506"/>
    </row>
    <row r="1163" spans="1:4" x14ac:dyDescent="0.2">
      <c r="A1163" s="528"/>
      <c r="C1163" s="528"/>
      <c r="D1163" s="506"/>
    </row>
    <row r="1164" spans="1:4" x14ac:dyDescent="0.2">
      <c r="A1164" s="528"/>
      <c r="C1164" s="528"/>
      <c r="D1164" s="506"/>
    </row>
    <row r="1165" spans="1:4" x14ac:dyDescent="0.2">
      <c r="A1165" s="528"/>
      <c r="C1165" s="528"/>
      <c r="D1165" s="506"/>
    </row>
    <row r="1166" spans="1:4" x14ac:dyDescent="0.2">
      <c r="A1166" s="528"/>
      <c r="C1166" s="528"/>
      <c r="D1166" s="506"/>
    </row>
    <row r="1167" spans="1:4" x14ac:dyDescent="0.2">
      <c r="A1167" s="528"/>
      <c r="C1167" s="528"/>
      <c r="D1167" s="506"/>
    </row>
    <row r="1168" spans="1:4" x14ac:dyDescent="0.2">
      <c r="A1168" s="528"/>
      <c r="C1168" s="528"/>
      <c r="D1168" s="506"/>
    </row>
    <row r="1169" spans="1:4" x14ac:dyDescent="0.2">
      <c r="A1169" s="528"/>
      <c r="C1169" s="528"/>
      <c r="D1169" s="506"/>
    </row>
    <row r="1170" spans="1:4" x14ac:dyDescent="0.2">
      <c r="A1170" s="528"/>
      <c r="C1170" s="528"/>
      <c r="D1170" s="506"/>
    </row>
    <row r="1171" spans="1:4" x14ac:dyDescent="0.2">
      <c r="A1171" s="528"/>
      <c r="C1171" s="528"/>
      <c r="D1171" s="506"/>
    </row>
    <row r="1172" spans="1:4" x14ac:dyDescent="0.2">
      <c r="A1172" s="528"/>
      <c r="C1172" s="528"/>
      <c r="D1172" s="506"/>
    </row>
    <row r="1173" spans="1:4" x14ac:dyDescent="0.2">
      <c r="A1173" s="528"/>
      <c r="C1173" s="528"/>
      <c r="D1173" s="506"/>
    </row>
    <row r="1174" spans="1:4" x14ac:dyDescent="0.2">
      <c r="A1174" s="528"/>
      <c r="C1174" s="528"/>
      <c r="D1174" s="506"/>
    </row>
    <row r="1175" spans="1:4" x14ac:dyDescent="0.2">
      <c r="A1175" s="528"/>
      <c r="C1175" s="528"/>
      <c r="D1175" s="506"/>
    </row>
    <row r="1176" spans="1:4" x14ac:dyDescent="0.2">
      <c r="A1176" s="528"/>
      <c r="C1176" s="528"/>
      <c r="D1176" s="506"/>
    </row>
    <row r="1177" spans="1:4" x14ac:dyDescent="0.2">
      <c r="A1177" s="528"/>
      <c r="C1177" s="528"/>
      <c r="D1177" s="506"/>
    </row>
    <row r="1178" spans="1:4" x14ac:dyDescent="0.2">
      <c r="A1178" s="528"/>
      <c r="C1178" s="528"/>
      <c r="D1178" s="506"/>
    </row>
    <row r="1179" spans="1:4" x14ac:dyDescent="0.2">
      <c r="A1179" s="528"/>
      <c r="C1179" s="528"/>
      <c r="D1179" s="506"/>
    </row>
    <row r="1180" spans="1:4" x14ac:dyDescent="0.2">
      <c r="A1180" s="528"/>
      <c r="C1180" s="528"/>
      <c r="D1180" s="506"/>
    </row>
    <row r="1181" spans="1:4" x14ac:dyDescent="0.2">
      <c r="A1181" s="528"/>
      <c r="C1181" s="528"/>
      <c r="D1181" s="506"/>
    </row>
    <row r="1182" spans="1:4" x14ac:dyDescent="0.2">
      <c r="A1182" s="528"/>
      <c r="C1182" s="528"/>
      <c r="D1182" s="506"/>
    </row>
    <row r="1183" spans="1:4" x14ac:dyDescent="0.2">
      <c r="A1183" s="528"/>
      <c r="C1183" s="528"/>
      <c r="D1183" s="506"/>
    </row>
    <row r="1184" spans="1:4" x14ac:dyDescent="0.2">
      <c r="A1184" s="528"/>
      <c r="C1184" s="528"/>
      <c r="D1184" s="506"/>
    </row>
    <row r="1185" spans="1:4" x14ac:dyDescent="0.2">
      <c r="A1185" s="528"/>
      <c r="C1185" s="528"/>
      <c r="D1185" s="506"/>
    </row>
    <row r="1186" spans="1:4" x14ac:dyDescent="0.2">
      <c r="A1186" s="528"/>
      <c r="C1186" s="528"/>
      <c r="D1186" s="506"/>
    </row>
    <row r="1187" spans="1:4" x14ac:dyDescent="0.2">
      <c r="A1187" s="528"/>
      <c r="C1187" s="528"/>
      <c r="D1187" s="506"/>
    </row>
    <row r="1188" spans="1:4" x14ac:dyDescent="0.2">
      <c r="A1188" s="528"/>
      <c r="C1188" s="528"/>
      <c r="D1188" s="506"/>
    </row>
    <row r="1189" spans="1:4" x14ac:dyDescent="0.2">
      <c r="A1189" s="528"/>
      <c r="C1189" s="528"/>
      <c r="D1189" s="506"/>
    </row>
    <row r="1190" spans="1:4" x14ac:dyDescent="0.2">
      <c r="A1190" s="528"/>
      <c r="C1190" s="528"/>
      <c r="D1190" s="506"/>
    </row>
    <row r="1191" spans="1:4" x14ac:dyDescent="0.2">
      <c r="A1191" s="528"/>
      <c r="C1191" s="528"/>
      <c r="D1191" s="506"/>
    </row>
    <row r="1192" spans="1:4" x14ac:dyDescent="0.2">
      <c r="A1192" s="528"/>
      <c r="C1192" s="528"/>
      <c r="D1192" s="506"/>
    </row>
    <row r="1193" spans="1:4" x14ac:dyDescent="0.2">
      <c r="A1193" s="528"/>
      <c r="C1193" s="528"/>
      <c r="D1193" s="506"/>
    </row>
    <row r="1194" spans="1:4" x14ac:dyDescent="0.2">
      <c r="A1194" s="528"/>
      <c r="C1194" s="528"/>
      <c r="D1194" s="506"/>
    </row>
    <row r="1195" spans="1:4" x14ac:dyDescent="0.2">
      <c r="A1195" s="528"/>
      <c r="C1195" s="528"/>
      <c r="D1195" s="506"/>
    </row>
    <row r="1196" spans="1:4" x14ac:dyDescent="0.2">
      <c r="A1196" s="528"/>
      <c r="C1196" s="528"/>
      <c r="D1196" s="506"/>
    </row>
    <row r="1197" spans="1:4" x14ac:dyDescent="0.2">
      <c r="A1197" s="528"/>
      <c r="C1197" s="528"/>
      <c r="D1197" s="506"/>
    </row>
    <row r="1198" spans="1:4" x14ac:dyDescent="0.2">
      <c r="A1198" s="528"/>
      <c r="C1198" s="528"/>
      <c r="D1198" s="506"/>
    </row>
    <row r="1199" spans="1:4" x14ac:dyDescent="0.2">
      <c r="A1199" s="528"/>
      <c r="C1199" s="528"/>
      <c r="D1199" s="506"/>
    </row>
    <row r="1200" spans="1:4" x14ac:dyDescent="0.2">
      <c r="A1200" s="528"/>
      <c r="C1200" s="528"/>
      <c r="D1200" s="506"/>
    </row>
    <row r="1201" spans="1:4" x14ac:dyDescent="0.2">
      <c r="A1201" s="528"/>
      <c r="C1201" s="528"/>
      <c r="D1201" s="506"/>
    </row>
    <row r="1202" spans="1:4" x14ac:dyDescent="0.2">
      <c r="A1202" s="528"/>
      <c r="C1202" s="528"/>
      <c r="D1202" s="506"/>
    </row>
    <row r="1203" spans="1:4" x14ac:dyDescent="0.2">
      <c r="A1203" s="528"/>
      <c r="C1203" s="528"/>
      <c r="D1203" s="506"/>
    </row>
    <row r="1204" spans="1:4" x14ac:dyDescent="0.2">
      <c r="A1204" s="528"/>
      <c r="C1204" s="528"/>
      <c r="D1204" s="506"/>
    </row>
    <row r="1205" spans="1:4" x14ac:dyDescent="0.2">
      <c r="A1205" s="528"/>
      <c r="C1205" s="528"/>
      <c r="D1205" s="506"/>
    </row>
    <row r="1206" spans="1:4" x14ac:dyDescent="0.2">
      <c r="A1206" s="528"/>
      <c r="C1206" s="528"/>
      <c r="D1206" s="506"/>
    </row>
    <row r="1207" spans="1:4" x14ac:dyDescent="0.2">
      <c r="A1207" s="528"/>
      <c r="C1207" s="528"/>
      <c r="D1207" s="506"/>
    </row>
    <row r="1208" spans="1:4" x14ac:dyDescent="0.2">
      <c r="A1208" s="528"/>
      <c r="C1208" s="528"/>
      <c r="D1208" s="506"/>
    </row>
    <row r="1209" spans="1:4" x14ac:dyDescent="0.2">
      <c r="A1209" s="528"/>
      <c r="C1209" s="528"/>
      <c r="D1209" s="506"/>
    </row>
    <row r="1210" spans="1:4" x14ac:dyDescent="0.2">
      <c r="A1210" s="528"/>
      <c r="C1210" s="528"/>
      <c r="D1210" s="506"/>
    </row>
    <row r="1211" spans="1:4" x14ac:dyDescent="0.2">
      <c r="A1211" s="528"/>
      <c r="C1211" s="528"/>
      <c r="D1211" s="506"/>
    </row>
    <row r="1212" spans="1:4" x14ac:dyDescent="0.2">
      <c r="A1212" s="528"/>
      <c r="C1212" s="528"/>
      <c r="D1212" s="506"/>
    </row>
    <row r="1213" spans="1:4" x14ac:dyDescent="0.2">
      <c r="A1213" s="528"/>
      <c r="C1213" s="528"/>
      <c r="D1213" s="506"/>
    </row>
    <row r="1214" spans="1:4" x14ac:dyDescent="0.2">
      <c r="A1214" s="528"/>
      <c r="C1214" s="528"/>
      <c r="D1214" s="506"/>
    </row>
    <row r="1215" spans="1:4" x14ac:dyDescent="0.2">
      <c r="A1215" s="528"/>
      <c r="C1215" s="528"/>
      <c r="D1215" s="506"/>
    </row>
    <row r="1216" spans="1:4" x14ac:dyDescent="0.2">
      <c r="A1216" s="528"/>
      <c r="C1216" s="528"/>
      <c r="D1216" s="506"/>
    </row>
    <row r="1217" spans="1:4" x14ac:dyDescent="0.2">
      <c r="A1217" s="528"/>
      <c r="C1217" s="528"/>
      <c r="D1217" s="506"/>
    </row>
    <row r="1218" spans="1:4" x14ac:dyDescent="0.2">
      <c r="A1218" s="528"/>
      <c r="C1218" s="528"/>
      <c r="D1218" s="506"/>
    </row>
    <row r="1219" spans="1:4" x14ac:dyDescent="0.2">
      <c r="A1219" s="528"/>
      <c r="C1219" s="528"/>
      <c r="D1219" s="506"/>
    </row>
    <row r="1220" spans="1:4" x14ac:dyDescent="0.2">
      <c r="A1220" s="528"/>
      <c r="C1220" s="528"/>
      <c r="D1220" s="506"/>
    </row>
    <row r="1221" spans="1:4" x14ac:dyDescent="0.2">
      <c r="A1221" s="528"/>
      <c r="C1221" s="528"/>
      <c r="D1221" s="506"/>
    </row>
    <row r="1222" spans="1:4" x14ac:dyDescent="0.2">
      <c r="A1222" s="528"/>
      <c r="C1222" s="528"/>
      <c r="D1222" s="506"/>
    </row>
    <row r="1223" spans="1:4" x14ac:dyDescent="0.2">
      <c r="A1223" s="528"/>
      <c r="C1223" s="528"/>
      <c r="D1223" s="506"/>
    </row>
    <row r="1224" spans="1:4" x14ac:dyDescent="0.2">
      <c r="A1224" s="528"/>
      <c r="C1224" s="528"/>
      <c r="D1224" s="506"/>
    </row>
    <row r="1225" spans="1:4" x14ac:dyDescent="0.2">
      <c r="A1225" s="528"/>
      <c r="C1225" s="528"/>
      <c r="D1225" s="506"/>
    </row>
    <row r="1226" spans="1:4" x14ac:dyDescent="0.2">
      <c r="A1226" s="528"/>
      <c r="C1226" s="528"/>
      <c r="D1226" s="506"/>
    </row>
    <row r="1227" spans="1:4" x14ac:dyDescent="0.2">
      <c r="A1227" s="528"/>
      <c r="C1227" s="528"/>
      <c r="D1227" s="506"/>
    </row>
    <row r="1228" spans="1:4" x14ac:dyDescent="0.2">
      <c r="A1228" s="528"/>
      <c r="C1228" s="528"/>
      <c r="D1228" s="506"/>
    </row>
    <row r="1229" spans="1:4" x14ac:dyDescent="0.2">
      <c r="A1229" s="528"/>
      <c r="C1229" s="528"/>
      <c r="D1229" s="506"/>
    </row>
    <row r="1230" spans="1:4" x14ac:dyDescent="0.2">
      <c r="A1230" s="528"/>
      <c r="C1230" s="528"/>
      <c r="D1230" s="506"/>
    </row>
    <row r="1231" spans="1:4" x14ac:dyDescent="0.2">
      <c r="A1231" s="528"/>
      <c r="C1231" s="528"/>
      <c r="D1231" s="506"/>
    </row>
    <row r="1232" spans="1:4" x14ac:dyDescent="0.2">
      <c r="A1232" s="528"/>
      <c r="C1232" s="528"/>
      <c r="D1232" s="506"/>
    </row>
    <row r="1233" spans="1:4" x14ac:dyDescent="0.2">
      <c r="A1233" s="528"/>
      <c r="C1233" s="528"/>
      <c r="D1233" s="506"/>
    </row>
    <row r="1234" spans="1:4" x14ac:dyDescent="0.2">
      <c r="A1234" s="528"/>
      <c r="C1234" s="528"/>
      <c r="D1234" s="506"/>
    </row>
    <row r="1235" spans="1:4" x14ac:dyDescent="0.2">
      <c r="A1235" s="528"/>
      <c r="C1235" s="528"/>
      <c r="D1235" s="506"/>
    </row>
    <row r="1236" spans="1:4" x14ac:dyDescent="0.2">
      <c r="A1236" s="528"/>
      <c r="C1236" s="528"/>
      <c r="D1236" s="506"/>
    </row>
    <row r="1237" spans="1:4" x14ac:dyDescent="0.2">
      <c r="A1237" s="528"/>
      <c r="C1237" s="528"/>
      <c r="D1237" s="506"/>
    </row>
    <row r="1238" spans="1:4" x14ac:dyDescent="0.2">
      <c r="A1238" s="528"/>
      <c r="C1238" s="528"/>
      <c r="D1238" s="506"/>
    </row>
    <row r="1239" spans="1:4" x14ac:dyDescent="0.2">
      <c r="A1239" s="528"/>
      <c r="C1239" s="528"/>
      <c r="D1239" s="506"/>
    </row>
    <row r="1240" spans="1:4" x14ac:dyDescent="0.2">
      <c r="A1240" s="528"/>
      <c r="C1240" s="528"/>
      <c r="D1240" s="506"/>
    </row>
    <row r="1241" spans="1:4" x14ac:dyDescent="0.2">
      <c r="A1241" s="528"/>
      <c r="C1241" s="528"/>
      <c r="D1241" s="506"/>
    </row>
    <row r="1242" spans="1:4" x14ac:dyDescent="0.2">
      <c r="A1242" s="528"/>
      <c r="C1242" s="528"/>
      <c r="D1242" s="506"/>
    </row>
    <row r="1243" spans="1:4" x14ac:dyDescent="0.2">
      <c r="A1243" s="528"/>
      <c r="C1243" s="528"/>
      <c r="D1243" s="506"/>
    </row>
    <row r="1244" spans="1:4" x14ac:dyDescent="0.2">
      <c r="A1244" s="528"/>
      <c r="C1244" s="528"/>
      <c r="D1244" s="506"/>
    </row>
    <row r="1245" spans="1:4" x14ac:dyDescent="0.2">
      <c r="A1245" s="528"/>
      <c r="C1245" s="528"/>
      <c r="D1245" s="506"/>
    </row>
    <row r="1246" spans="1:4" x14ac:dyDescent="0.2">
      <c r="A1246" s="528"/>
      <c r="C1246" s="528"/>
      <c r="D1246" s="506"/>
    </row>
    <row r="1247" spans="1:4" x14ac:dyDescent="0.2">
      <c r="A1247" s="528"/>
      <c r="C1247" s="528"/>
      <c r="D1247" s="506"/>
    </row>
    <row r="1248" spans="1:4" x14ac:dyDescent="0.2">
      <c r="A1248" s="528"/>
      <c r="C1248" s="528"/>
      <c r="D1248" s="506"/>
    </row>
    <row r="1249" spans="1:4" x14ac:dyDescent="0.2">
      <c r="A1249" s="528"/>
      <c r="C1249" s="528"/>
      <c r="D1249" s="506"/>
    </row>
    <row r="1250" spans="1:4" x14ac:dyDescent="0.2">
      <c r="A1250" s="528"/>
      <c r="C1250" s="528"/>
      <c r="D1250" s="506"/>
    </row>
    <row r="1251" spans="1:4" x14ac:dyDescent="0.2">
      <c r="A1251" s="528"/>
      <c r="C1251" s="528"/>
      <c r="D1251" s="506"/>
    </row>
    <row r="1252" spans="1:4" x14ac:dyDescent="0.2">
      <c r="A1252" s="528"/>
      <c r="C1252" s="528"/>
      <c r="D1252" s="506"/>
    </row>
    <row r="1253" spans="1:4" x14ac:dyDescent="0.2">
      <c r="A1253" s="528"/>
      <c r="C1253" s="528"/>
      <c r="D1253" s="506"/>
    </row>
    <row r="1254" spans="1:4" x14ac:dyDescent="0.2">
      <c r="A1254" s="528"/>
      <c r="C1254" s="528"/>
      <c r="D1254" s="506"/>
    </row>
    <row r="1255" spans="1:4" x14ac:dyDescent="0.2">
      <c r="A1255" s="528"/>
      <c r="C1255" s="528"/>
      <c r="D1255" s="506"/>
    </row>
    <row r="1256" spans="1:4" x14ac:dyDescent="0.2">
      <c r="A1256" s="528"/>
      <c r="C1256" s="528"/>
      <c r="D1256" s="506"/>
    </row>
    <row r="1257" spans="1:4" x14ac:dyDescent="0.2">
      <c r="A1257" s="528"/>
      <c r="C1257" s="528"/>
      <c r="D1257" s="506"/>
    </row>
    <row r="1258" spans="1:4" x14ac:dyDescent="0.2">
      <c r="A1258" s="528"/>
      <c r="C1258" s="528"/>
      <c r="D1258" s="506"/>
    </row>
    <row r="1259" spans="1:4" x14ac:dyDescent="0.2">
      <c r="A1259" s="528"/>
      <c r="C1259" s="528"/>
      <c r="D1259" s="506"/>
    </row>
    <row r="1260" spans="1:4" x14ac:dyDescent="0.2">
      <c r="A1260" s="528"/>
      <c r="C1260" s="528"/>
      <c r="D1260" s="506"/>
    </row>
    <row r="1261" spans="1:4" x14ac:dyDescent="0.2">
      <c r="A1261" s="528"/>
      <c r="C1261" s="528"/>
      <c r="D1261" s="506"/>
    </row>
    <row r="1262" spans="1:4" x14ac:dyDescent="0.2">
      <c r="A1262" s="528"/>
      <c r="C1262" s="528"/>
      <c r="D1262" s="506"/>
    </row>
    <row r="1263" spans="1:4" x14ac:dyDescent="0.2">
      <c r="A1263" s="528"/>
      <c r="C1263" s="528"/>
      <c r="D1263" s="506"/>
    </row>
    <row r="1264" spans="1:4" x14ac:dyDescent="0.2">
      <c r="A1264" s="528"/>
      <c r="C1264" s="528"/>
      <c r="D1264" s="506"/>
    </row>
    <row r="1265" spans="1:4" x14ac:dyDescent="0.2">
      <c r="A1265" s="528"/>
      <c r="C1265" s="528"/>
      <c r="D1265" s="506"/>
    </row>
    <row r="1266" spans="1:4" x14ac:dyDescent="0.2">
      <c r="A1266" s="528"/>
      <c r="C1266" s="528"/>
      <c r="D1266" s="506"/>
    </row>
    <row r="1267" spans="1:4" x14ac:dyDescent="0.2">
      <c r="A1267" s="528"/>
      <c r="C1267" s="528"/>
      <c r="D1267" s="506"/>
    </row>
    <row r="1268" spans="1:4" x14ac:dyDescent="0.2">
      <c r="A1268" s="528"/>
      <c r="C1268" s="528"/>
      <c r="D1268" s="506"/>
    </row>
    <row r="1269" spans="1:4" x14ac:dyDescent="0.2">
      <c r="A1269" s="528"/>
      <c r="C1269" s="528"/>
      <c r="D1269" s="506"/>
    </row>
    <row r="1270" spans="1:4" x14ac:dyDescent="0.2">
      <c r="A1270" s="528"/>
      <c r="C1270" s="528"/>
      <c r="D1270" s="506"/>
    </row>
    <row r="1271" spans="1:4" x14ac:dyDescent="0.2">
      <c r="A1271" s="528"/>
      <c r="C1271" s="528"/>
      <c r="D1271" s="506"/>
    </row>
    <row r="1272" spans="1:4" x14ac:dyDescent="0.2">
      <c r="A1272" s="528"/>
      <c r="C1272" s="528"/>
      <c r="D1272" s="506"/>
    </row>
    <row r="1273" spans="1:4" x14ac:dyDescent="0.2">
      <c r="A1273" s="528"/>
      <c r="C1273" s="528"/>
      <c r="D1273" s="506"/>
    </row>
    <row r="1274" spans="1:4" x14ac:dyDescent="0.2">
      <c r="A1274" s="528"/>
      <c r="C1274" s="528"/>
      <c r="D1274" s="506"/>
    </row>
    <row r="1275" spans="1:4" x14ac:dyDescent="0.2">
      <c r="A1275" s="528"/>
      <c r="C1275" s="528"/>
      <c r="D1275" s="506"/>
    </row>
    <row r="1276" spans="1:4" x14ac:dyDescent="0.2">
      <c r="A1276" s="528"/>
      <c r="C1276" s="528"/>
      <c r="D1276" s="506"/>
    </row>
    <row r="1277" spans="1:4" x14ac:dyDescent="0.2">
      <c r="A1277" s="528"/>
      <c r="C1277" s="528"/>
      <c r="D1277" s="506"/>
    </row>
    <row r="1278" spans="1:4" x14ac:dyDescent="0.2">
      <c r="A1278" s="528"/>
      <c r="C1278" s="528"/>
      <c r="D1278" s="506"/>
    </row>
    <row r="1279" spans="1:4" x14ac:dyDescent="0.2">
      <c r="A1279" s="528"/>
      <c r="C1279" s="528"/>
      <c r="D1279" s="506"/>
    </row>
    <row r="1280" spans="1:4" x14ac:dyDescent="0.2">
      <c r="A1280" s="528"/>
      <c r="C1280" s="528"/>
      <c r="D1280" s="506"/>
    </row>
    <row r="1281" spans="1:4" x14ac:dyDescent="0.2">
      <c r="A1281" s="528"/>
      <c r="C1281" s="528"/>
      <c r="D1281" s="506"/>
    </row>
    <row r="1282" spans="1:4" x14ac:dyDescent="0.2">
      <c r="A1282" s="528"/>
      <c r="C1282" s="528"/>
      <c r="D1282" s="506"/>
    </row>
    <row r="1283" spans="1:4" x14ac:dyDescent="0.2">
      <c r="A1283" s="528"/>
      <c r="C1283" s="528"/>
      <c r="D1283" s="506"/>
    </row>
    <row r="1284" spans="1:4" x14ac:dyDescent="0.2">
      <c r="A1284" s="528"/>
      <c r="C1284" s="528"/>
      <c r="D1284" s="506"/>
    </row>
    <row r="1285" spans="1:4" x14ac:dyDescent="0.2">
      <c r="A1285" s="528"/>
      <c r="C1285" s="528"/>
      <c r="D1285" s="506"/>
    </row>
    <row r="1286" spans="1:4" x14ac:dyDescent="0.2">
      <c r="A1286" s="528"/>
      <c r="C1286" s="528"/>
      <c r="D1286" s="506"/>
    </row>
    <row r="1287" spans="1:4" x14ac:dyDescent="0.2">
      <c r="A1287" s="528"/>
      <c r="C1287" s="528"/>
      <c r="D1287" s="506"/>
    </row>
    <row r="1288" spans="1:4" x14ac:dyDescent="0.2">
      <c r="A1288" s="528"/>
      <c r="C1288" s="528"/>
      <c r="D1288" s="506"/>
    </row>
    <row r="1289" spans="1:4" x14ac:dyDescent="0.2">
      <c r="A1289" s="528"/>
      <c r="C1289" s="528"/>
      <c r="D1289" s="506"/>
    </row>
    <row r="1290" spans="1:4" x14ac:dyDescent="0.2">
      <c r="A1290" s="528"/>
      <c r="C1290" s="528"/>
      <c r="D1290" s="506"/>
    </row>
    <row r="1291" spans="1:4" x14ac:dyDescent="0.2">
      <c r="A1291" s="528"/>
      <c r="C1291" s="528"/>
      <c r="D1291" s="506"/>
    </row>
    <row r="1292" spans="1:4" x14ac:dyDescent="0.2">
      <c r="A1292" s="528"/>
      <c r="C1292" s="528"/>
      <c r="D1292" s="506"/>
    </row>
    <row r="1293" spans="1:4" x14ac:dyDescent="0.2">
      <c r="A1293" s="528"/>
      <c r="C1293" s="528"/>
      <c r="D1293" s="506"/>
    </row>
    <row r="1294" spans="1:4" x14ac:dyDescent="0.2">
      <c r="A1294" s="528"/>
      <c r="C1294" s="528"/>
      <c r="D1294" s="506"/>
    </row>
    <row r="1295" spans="1:4" x14ac:dyDescent="0.2">
      <c r="A1295" s="528"/>
      <c r="C1295" s="528"/>
      <c r="D1295" s="506"/>
    </row>
    <row r="1296" spans="1:4" x14ac:dyDescent="0.2">
      <c r="A1296" s="528"/>
      <c r="C1296" s="528"/>
      <c r="D1296" s="506"/>
    </row>
    <row r="1297" spans="1:4" x14ac:dyDescent="0.2">
      <c r="A1297" s="528"/>
      <c r="C1297" s="528"/>
      <c r="D1297" s="506"/>
    </row>
    <row r="1298" spans="1:4" x14ac:dyDescent="0.2">
      <c r="A1298" s="528"/>
      <c r="C1298" s="528"/>
      <c r="D1298" s="506"/>
    </row>
    <row r="1299" spans="1:4" x14ac:dyDescent="0.2">
      <c r="A1299" s="528"/>
      <c r="C1299" s="528"/>
      <c r="D1299" s="506"/>
    </row>
    <row r="1300" spans="1:4" x14ac:dyDescent="0.2">
      <c r="A1300" s="528"/>
      <c r="C1300" s="528"/>
      <c r="D1300" s="506"/>
    </row>
    <row r="1301" spans="1:4" x14ac:dyDescent="0.2">
      <c r="A1301" s="528"/>
      <c r="C1301" s="528"/>
      <c r="D1301" s="506"/>
    </row>
    <row r="1302" spans="1:4" x14ac:dyDescent="0.2">
      <c r="A1302" s="528"/>
      <c r="C1302" s="528"/>
      <c r="D1302" s="506"/>
    </row>
    <row r="1303" spans="1:4" x14ac:dyDescent="0.2">
      <c r="A1303" s="528"/>
      <c r="C1303" s="528"/>
      <c r="D1303" s="506"/>
    </row>
    <row r="1304" spans="1:4" x14ac:dyDescent="0.2">
      <c r="A1304" s="528"/>
      <c r="C1304" s="528"/>
      <c r="D1304" s="506"/>
    </row>
    <row r="1305" spans="1:4" x14ac:dyDescent="0.2">
      <c r="A1305" s="528"/>
      <c r="C1305" s="528"/>
      <c r="D1305" s="506"/>
    </row>
    <row r="1306" spans="1:4" x14ac:dyDescent="0.2">
      <c r="A1306" s="528"/>
      <c r="C1306" s="528"/>
      <c r="D1306" s="506"/>
    </row>
    <row r="1307" spans="1:4" x14ac:dyDescent="0.2">
      <c r="A1307" s="528"/>
      <c r="C1307" s="528"/>
      <c r="D1307" s="506"/>
    </row>
    <row r="1308" spans="1:4" x14ac:dyDescent="0.2">
      <c r="A1308" s="528"/>
      <c r="C1308" s="528"/>
      <c r="D1308" s="506"/>
    </row>
    <row r="1309" spans="1:4" x14ac:dyDescent="0.2">
      <c r="A1309" s="528"/>
      <c r="C1309" s="528"/>
      <c r="D1309" s="506"/>
    </row>
    <row r="1310" spans="1:4" x14ac:dyDescent="0.2">
      <c r="A1310" s="528"/>
      <c r="C1310" s="528"/>
      <c r="D1310" s="506"/>
    </row>
    <row r="1311" spans="1:4" x14ac:dyDescent="0.2">
      <c r="A1311" s="528"/>
      <c r="C1311" s="528"/>
      <c r="D1311" s="506"/>
    </row>
    <row r="1312" spans="1:4" x14ac:dyDescent="0.2">
      <c r="A1312" s="528"/>
      <c r="C1312" s="528"/>
      <c r="D1312" s="506"/>
    </row>
    <row r="1313" spans="1:4" x14ac:dyDescent="0.2">
      <c r="A1313" s="528"/>
      <c r="C1313" s="528"/>
      <c r="D1313" s="506"/>
    </row>
    <row r="1314" spans="1:4" x14ac:dyDescent="0.2">
      <c r="A1314" s="528"/>
      <c r="C1314" s="528"/>
      <c r="D1314" s="506"/>
    </row>
    <row r="1315" spans="1:4" x14ac:dyDescent="0.2">
      <c r="A1315" s="528"/>
      <c r="C1315" s="528"/>
      <c r="D1315" s="506"/>
    </row>
    <row r="1316" spans="1:4" x14ac:dyDescent="0.2">
      <c r="A1316" s="528"/>
      <c r="C1316" s="528"/>
      <c r="D1316" s="506"/>
    </row>
    <row r="1317" spans="1:4" x14ac:dyDescent="0.2">
      <c r="A1317" s="528"/>
      <c r="C1317" s="528"/>
      <c r="D1317" s="506"/>
    </row>
    <row r="1318" spans="1:4" x14ac:dyDescent="0.2">
      <c r="A1318" s="528"/>
      <c r="C1318" s="528"/>
      <c r="D1318" s="506"/>
    </row>
    <row r="1319" spans="1:4" x14ac:dyDescent="0.2">
      <c r="A1319" s="528"/>
      <c r="C1319" s="528"/>
      <c r="D1319" s="506"/>
    </row>
    <row r="1320" spans="1:4" x14ac:dyDescent="0.2">
      <c r="A1320" s="528"/>
      <c r="C1320" s="528"/>
      <c r="D1320" s="506"/>
    </row>
    <row r="1321" spans="1:4" x14ac:dyDescent="0.2">
      <c r="A1321" s="528"/>
      <c r="C1321" s="528"/>
      <c r="D1321" s="506"/>
    </row>
    <row r="1322" spans="1:4" x14ac:dyDescent="0.2">
      <c r="A1322" s="528"/>
      <c r="C1322" s="528"/>
      <c r="D1322" s="506"/>
    </row>
    <row r="1323" spans="1:4" x14ac:dyDescent="0.2">
      <c r="A1323" s="528"/>
      <c r="C1323" s="528"/>
      <c r="D1323" s="506"/>
    </row>
    <row r="1324" spans="1:4" x14ac:dyDescent="0.2">
      <c r="A1324" s="528"/>
      <c r="C1324" s="528"/>
      <c r="D1324" s="506"/>
    </row>
    <row r="1325" spans="1:4" x14ac:dyDescent="0.2">
      <c r="A1325" s="528"/>
      <c r="C1325" s="528"/>
      <c r="D1325" s="506"/>
    </row>
    <row r="1326" spans="1:4" x14ac:dyDescent="0.2">
      <c r="A1326" s="528"/>
      <c r="C1326" s="528"/>
      <c r="D1326" s="506"/>
    </row>
    <row r="1327" spans="1:4" x14ac:dyDescent="0.2">
      <c r="A1327" s="528"/>
      <c r="C1327" s="528"/>
      <c r="D1327" s="506"/>
    </row>
    <row r="1328" spans="1:4" x14ac:dyDescent="0.2">
      <c r="A1328" s="528"/>
      <c r="C1328" s="528"/>
      <c r="D1328" s="506"/>
    </row>
    <row r="1329" spans="1:4" x14ac:dyDescent="0.2">
      <c r="A1329" s="528"/>
      <c r="C1329" s="528"/>
      <c r="D1329" s="506"/>
    </row>
    <row r="1330" spans="1:4" x14ac:dyDescent="0.2">
      <c r="A1330" s="528"/>
      <c r="C1330" s="528"/>
      <c r="D1330" s="506"/>
    </row>
    <row r="1331" spans="1:4" x14ac:dyDescent="0.2">
      <c r="A1331" s="528"/>
      <c r="C1331" s="528"/>
      <c r="D1331" s="506"/>
    </row>
    <row r="1332" spans="1:4" x14ac:dyDescent="0.2">
      <c r="A1332" s="528"/>
      <c r="C1332" s="528"/>
      <c r="D1332" s="506"/>
    </row>
    <row r="1333" spans="1:4" x14ac:dyDescent="0.2">
      <c r="A1333" s="528"/>
      <c r="C1333" s="528"/>
      <c r="D1333" s="506"/>
    </row>
    <row r="1334" spans="1:4" x14ac:dyDescent="0.2">
      <c r="A1334" s="528"/>
      <c r="C1334" s="528"/>
      <c r="D1334" s="506"/>
    </row>
    <row r="1335" spans="1:4" x14ac:dyDescent="0.2">
      <c r="A1335" s="528"/>
      <c r="C1335" s="528"/>
      <c r="D1335" s="506"/>
    </row>
    <row r="1336" spans="1:4" x14ac:dyDescent="0.2">
      <c r="A1336" s="528"/>
      <c r="C1336" s="528"/>
      <c r="D1336" s="506"/>
    </row>
    <row r="1337" spans="1:4" x14ac:dyDescent="0.2">
      <c r="A1337" s="528"/>
      <c r="C1337" s="528"/>
      <c r="D1337" s="506"/>
    </row>
    <row r="1339" spans="1:4" x14ac:dyDescent="0.2">
      <c r="A1339" s="533" t="s">
        <v>268</v>
      </c>
      <c r="B1339" s="506">
        <f>MAX(B1047:B1333)</f>
        <v>306133.57</v>
      </c>
    </row>
    <row r="1340" spans="1:4" x14ac:dyDescent="0.2">
      <c r="A1340" s="533" t="s">
        <v>269</v>
      </c>
      <c r="B1340" s="506">
        <f>MIN(B1047:B1333)</f>
        <v>152434.01999999999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5"/>
  <sheetViews>
    <sheetView zoomScaleNormal="100" workbookViewId="0">
      <selection activeCell="B25" sqref="B25"/>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441</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6" t="s">
        <v>165</v>
      </c>
      <c r="B5" s="257"/>
      <c r="C5" s="257"/>
      <c r="D5" s="257"/>
      <c r="E5" s="257"/>
      <c r="F5" s="257"/>
      <c r="G5" s="257"/>
      <c r="H5" s="257"/>
      <c r="I5" s="257"/>
      <c r="J5" s="257"/>
      <c r="K5" s="258"/>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411" t="s">
        <v>22</v>
      </c>
      <c r="B6" s="411" t="s">
        <v>12</v>
      </c>
      <c r="C6" s="411" t="s">
        <v>1</v>
      </c>
      <c r="D6" s="411" t="s">
        <v>2</v>
      </c>
      <c r="E6" s="411" t="s">
        <v>3</v>
      </c>
      <c r="F6" s="765" t="s">
        <v>9</v>
      </c>
      <c r="G6" s="259" t="s">
        <v>27</v>
      </c>
      <c r="H6" s="765" t="s">
        <v>206</v>
      </c>
      <c r="I6" s="259" t="s">
        <v>26</v>
      </c>
      <c r="J6" s="259" t="s">
        <v>19</v>
      </c>
      <c r="K6" s="259" t="s">
        <v>99</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736" t="s">
        <v>337</v>
      </c>
      <c r="B7" s="625" t="s">
        <v>14</v>
      </c>
      <c r="C7" s="295" t="s">
        <v>356</v>
      </c>
      <c r="D7" s="294">
        <v>43466</v>
      </c>
      <c r="E7" s="294">
        <v>43830</v>
      </c>
      <c r="F7" s="759"/>
      <c r="G7" s="297"/>
      <c r="H7" s="315"/>
      <c r="I7" s="297"/>
      <c r="J7" s="314"/>
      <c r="K7" s="308"/>
      <c r="L7" s="46"/>
      <c r="M7" s="29"/>
      <c r="N7" s="29"/>
    </row>
    <row r="8" spans="1:48" x14ac:dyDescent="0.2">
      <c r="A8" s="736" t="s">
        <v>442</v>
      </c>
      <c r="B8" s="625" t="s">
        <v>14</v>
      </c>
      <c r="C8" s="295" t="s">
        <v>412</v>
      </c>
      <c r="D8" s="294">
        <v>43556</v>
      </c>
      <c r="E8" s="294">
        <v>43921</v>
      </c>
      <c r="F8" s="759">
        <v>18886</v>
      </c>
      <c r="G8" s="297">
        <f>I8-H8</f>
        <v>10616</v>
      </c>
      <c r="H8" s="315">
        <f>'April''20 AR Aging '!G6</f>
        <v>8270</v>
      </c>
      <c r="I8" s="297">
        <v>18886</v>
      </c>
      <c r="J8" s="297">
        <f>F8-I8</f>
        <v>0</v>
      </c>
      <c r="K8" s="308"/>
      <c r="L8" s="46"/>
      <c r="M8" s="29"/>
      <c r="N8" s="29"/>
    </row>
    <row r="9" spans="1:48" x14ac:dyDescent="0.2">
      <c r="A9" s="737" t="s">
        <v>413</v>
      </c>
      <c r="B9" s="626" t="s">
        <v>14</v>
      </c>
      <c r="C9" s="745" t="s">
        <v>356</v>
      </c>
      <c r="D9" s="762">
        <v>43831</v>
      </c>
      <c r="E9" s="762">
        <v>44196</v>
      </c>
      <c r="F9" s="760">
        <v>190000</v>
      </c>
      <c r="G9" s="313">
        <f>I9-H9</f>
        <v>0</v>
      </c>
      <c r="H9" s="761">
        <f>'April''20 AR Aging '!G7</f>
        <v>53275.97</v>
      </c>
      <c r="I9" s="313">
        <v>53275.97</v>
      </c>
      <c r="J9" s="312">
        <f>F9-I9</f>
        <v>136724.03</v>
      </c>
      <c r="K9" s="366"/>
      <c r="L9" s="250"/>
      <c r="M9" s="286"/>
      <c r="N9" s="29"/>
    </row>
    <row r="10" spans="1:48" hidden="1" x14ac:dyDescent="0.2">
      <c r="A10" s="290" t="s">
        <v>256</v>
      </c>
      <c r="B10" s="625" t="s">
        <v>13</v>
      </c>
      <c r="C10" s="295" t="s">
        <v>167</v>
      </c>
      <c r="D10" s="294">
        <v>42826</v>
      </c>
      <c r="E10" s="294">
        <v>43190</v>
      </c>
      <c r="F10" s="759"/>
      <c r="G10" s="297"/>
      <c r="H10" s="315"/>
      <c r="I10" s="297"/>
      <c r="J10" s="314"/>
      <c r="K10" s="297"/>
      <c r="L10" s="250"/>
      <c r="M10" s="286"/>
      <c r="N10" s="29"/>
    </row>
    <row r="11" spans="1:48" hidden="1" x14ac:dyDescent="0.2">
      <c r="A11" s="290" t="s">
        <v>310</v>
      </c>
      <c r="B11" s="625" t="s">
        <v>13</v>
      </c>
      <c r="C11" s="295" t="s">
        <v>167</v>
      </c>
      <c r="D11" s="294">
        <v>43282</v>
      </c>
      <c r="E11" s="294">
        <v>43646</v>
      </c>
      <c r="F11" s="759"/>
      <c r="G11" s="297"/>
      <c r="H11" s="315"/>
      <c r="I11" s="297"/>
      <c r="J11" s="314"/>
      <c r="K11" s="308"/>
      <c r="L11" s="250"/>
      <c r="M11" s="286"/>
      <c r="N11" s="29"/>
    </row>
    <row r="12" spans="1:48" x14ac:dyDescent="0.2">
      <c r="A12" s="737" t="s">
        <v>354</v>
      </c>
      <c r="B12" s="626" t="s">
        <v>13</v>
      </c>
      <c r="C12" s="745" t="s">
        <v>355</v>
      </c>
      <c r="D12" s="762">
        <v>43647</v>
      </c>
      <c r="E12" s="762">
        <v>44012</v>
      </c>
      <c r="F12" s="760">
        <v>300000</v>
      </c>
      <c r="G12" s="313">
        <f>I12-H12</f>
        <v>132234.72999999998</v>
      </c>
      <c r="H12" s="761">
        <f>'April''20 AR Aging '!G13</f>
        <v>60652.04</v>
      </c>
      <c r="I12" s="313">
        <v>192886.77</v>
      </c>
      <c r="J12" s="312">
        <f>F12-I12</f>
        <v>107113.23000000001</v>
      </c>
      <c r="K12" s="366"/>
      <c r="L12" s="250"/>
      <c r="M12" s="286"/>
      <c r="N12" s="29"/>
    </row>
    <row r="13" spans="1:48" hidden="1" x14ac:dyDescent="0.2">
      <c r="A13" s="290" t="s">
        <v>357</v>
      </c>
      <c r="B13" s="625" t="s">
        <v>13</v>
      </c>
      <c r="C13" s="295" t="s">
        <v>162</v>
      </c>
      <c r="D13" s="294">
        <v>43374</v>
      </c>
      <c r="E13" s="294">
        <v>43585</v>
      </c>
      <c r="F13" s="759"/>
      <c r="G13" s="297"/>
      <c r="H13" s="315"/>
      <c r="I13" s="297"/>
      <c r="J13" s="314"/>
      <c r="K13" s="308"/>
      <c r="L13" s="250"/>
      <c r="M13" s="286"/>
      <c r="N13" s="29"/>
    </row>
    <row r="14" spans="1:48" hidden="1" x14ac:dyDescent="0.2">
      <c r="A14" s="290" t="s">
        <v>358</v>
      </c>
      <c r="B14" s="625" t="s">
        <v>13</v>
      </c>
      <c r="C14" s="295" t="s">
        <v>162</v>
      </c>
      <c r="D14" s="294">
        <v>43586</v>
      </c>
      <c r="E14" s="294">
        <v>43676</v>
      </c>
      <c r="F14" s="759"/>
      <c r="G14" s="297"/>
      <c r="H14" s="759"/>
      <c r="I14" s="297"/>
      <c r="J14" s="314"/>
      <c r="K14" s="297"/>
      <c r="L14" s="250"/>
      <c r="M14" s="286"/>
      <c r="N14" s="29"/>
    </row>
    <row r="15" spans="1:48" x14ac:dyDescent="0.2">
      <c r="A15" s="737" t="s">
        <v>339</v>
      </c>
      <c r="B15" s="626" t="s">
        <v>13</v>
      </c>
      <c r="C15" s="745" t="s">
        <v>382</v>
      </c>
      <c r="D15" s="762">
        <v>43678</v>
      </c>
      <c r="E15" s="762">
        <v>44042</v>
      </c>
      <c r="F15" s="760">
        <v>330000</v>
      </c>
      <c r="G15" s="313">
        <f>I15-H15</f>
        <v>158648.12</v>
      </c>
      <c r="H15" s="761">
        <f>'April''20 AR Aging '!G31</f>
        <v>69826.22</v>
      </c>
      <c r="I15" s="313">
        <v>228474.34</v>
      </c>
      <c r="J15" s="312">
        <f>F15-I15</f>
        <v>101525.66</v>
      </c>
      <c r="K15" s="313"/>
      <c r="L15" s="250"/>
      <c r="M15" s="286"/>
      <c r="N15" s="29"/>
    </row>
    <row r="16" spans="1:48" s="3" customFormat="1" hidden="1" x14ac:dyDescent="0.2">
      <c r="A16" s="738" t="s">
        <v>329</v>
      </c>
      <c r="B16" s="733" t="s">
        <v>16</v>
      </c>
      <c r="C16" s="746" t="s">
        <v>5</v>
      </c>
      <c r="D16" s="763">
        <v>43466</v>
      </c>
      <c r="E16" s="763">
        <v>43830</v>
      </c>
      <c r="F16" s="766"/>
      <c r="G16" s="735"/>
      <c r="H16" s="771"/>
      <c r="I16" s="735"/>
      <c r="J16" s="734"/>
      <c r="K16" s="735"/>
      <c r="L16" s="250"/>
      <c r="M16" s="286"/>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90" t="s">
        <v>443</v>
      </c>
      <c r="B17" s="625" t="s">
        <v>16</v>
      </c>
      <c r="C17" s="295" t="s">
        <v>5</v>
      </c>
      <c r="D17" s="294">
        <v>43831</v>
      </c>
      <c r="E17" s="294">
        <v>44196</v>
      </c>
      <c r="F17" s="759">
        <v>45000</v>
      </c>
      <c r="G17" s="297">
        <f>I17-H17</f>
        <v>7500</v>
      </c>
      <c r="H17" s="315">
        <f>'April''20 AR Aging '!G39</f>
        <v>7500</v>
      </c>
      <c r="I17" s="297">
        <f>3750*4</f>
        <v>15000</v>
      </c>
      <c r="J17" s="314">
        <f>F17-I17</f>
        <v>30000</v>
      </c>
      <c r="K17" s="297"/>
      <c r="L17" s="250"/>
      <c r="M17" s="286"/>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739" t="s">
        <v>343</v>
      </c>
      <c r="B18" s="625" t="s">
        <v>16</v>
      </c>
      <c r="C18" s="295" t="s">
        <v>21</v>
      </c>
      <c r="D18" s="294">
        <v>43556</v>
      </c>
      <c r="E18" s="294">
        <v>43737</v>
      </c>
      <c r="F18" s="759">
        <v>3764</v>
      </c>
      <c r="G18" s="297">
        <f>I18-H18</f>
        <v>0</v>
      </c>
      <c r="H18" s="315">
        <f>'April''20 AR Aging '!G47</f>
        <v>620.39</v>
      </c>
      <c r="I18" s="297">
        <f>H18</f>
        <v>620.39</v>
      </c>
      <c r="J18" s="314">
        <f>F18-I18</f>
        <v>3143.61</v>
      </c>
      <c r="K18" s="297"/>
      <c r="L18" s="250"/>
      <c r="M18" s="286"/>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90"/>
      <c r="B19" s="625" t="s">
        <v>16</v>
      </c>
      <c r="C19" s="295" t="s">
        <v>21</v>
      </c>
      <c r="D19" s="294">
        <v>42644</v>
      </c>
      <c r="E19" s="294">
        <v>43008</v>
      </c>
      <c r="F19" s="759"/>
      <c r="G19" s="297"/>
      <c r="H19" s="759"/>
      <c r="I19" s="297"/>
      <c r="J19" s="314"/>
      <c r="K19" s="475"/>
      <c r="L19" s="250"/>
      <c r="M19" s="286"/>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x14ac:dyDescent="0.2">
      <c r="A20" s="290" t="s">
        <v>204</v>
      </c>
      <c r="B20" s="625" t="s">
        <v>16</v>
      </c>
      <c r="C20" s="295" t="s">
        <v>21</v>
      </c>
      <c r="D20" s="294">
        <v>43556</v>
      </c>
      <c r="E20" s="294">
        <v>43921</v>
      </c>
      <c r="F20" s="759">
        <v>147911</v>
      </c>
      <c r="G20" s="297">
        <f>I20-H20</f>
        <v>124197.54999999999</v>
      </c>
      <c r="H20" s="759">
        <f>'April''20 AR Aging '!G48</f>
        <v>21276.44</v>
      </c>
      <c r="I20" s="297">
        <v>145473.99</v>
      </c>
      <c r="J20" s="314">
        <f>F20-I20</f>
        <v>2437.0100000000093</v>
      </c>
      <c r="K20" s="475"/>
      <c r="L20" s="250"/>
      <c r="M20" s="286"/>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737" t="s">
        <v>204</v>
      </c>
      <c r="B21" s="626" t="s">
        <v>16</v>
      </c>
      <c r="C21" s="745" t="s">
        <v>21</v>
      </c>
      <c r="D21" s="762">
        <v>43922</v>
      </c>
      <c r="E21" s="762">
        <v>44286</v>
      </c>
      <c r="F21" s="767">
        <v>147911</v>
      </c>
      <c r="G21" s="313">
        <f>I21-H21</f>
        <v>0</v>
      </c>
      <c r="H21" s="760">
        <f>'April''20 AR Aging '!G49</f>
        <v>10772.59</v>
      </c>
      <c r="I21" s="313">
        <f>H21</f>
        <v>10772.59</v>
      </c>
      <c r="J21" s="312">
        <f>F21-I21</f>
        <v>137138.41</v>
      </c>
      <c r="K21" s="313"/>
      <c r="L21" s="250"/>
      <c r="M21" s="286"/>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744" customFormat="1" ht="15.75" customHeight="1" x14ac:dyDescent="0.2">
      <c r="A22" s="750" t="s">
        <v>444</v>
      </c>
      <c r="B22" s="749" t="s">
        <v>417</v>
      </c>
      <c r="C22" s="747" t="s">
        <v>21</v>
      </c>
      <c r="D22" s="764">
        <v>43831</v>
      </c>
      <c r="E22" s="764">
        <v>44196</v>
      </c>
      <c r="F22" s="768">
        <v>171400</v>
      </c>
      <c r="G22" s="751">
        <f>I22-H22</f>
        <v>0</v>
      </c>
      <c r="H22" s="772">
        <f>'April''20 AR Aging '!G68</f>
        <v>31519.059999999998</v>
      </c>
      <c r="I22" s="751">
        <f>H22</f>
        <v>31519.059999999998</v>
      </c>
      <c r="J22" s="752">
        <f>F22-I22</f>
        <v>139880.94</v>
      </c>
      <c r="K22" s="751"/>
      <c r="L22" s="740"/>
      <c r="M22" s="741"/>
      <c r="N22" s="742"/>
      <c r="O22" s="742"/>
      <c r="P22" s="742"/>
      <c r="Q22" s="742"/>
      <c r="R22" s="742"/>
      <c r="S22" s="742"/>
      <c r="T22" s="742"/>
      <c r="U22" s="742"/>
      <c r="V22" s="742"/>
      <c r="W22" s="742"/>
      <c r="X22" s="742"/>
      <c r="Y22" s="742"/>
      <c r="Z22" s="742"/>
      <c r="AA22" s="742"/>
      <c r="AB22" s="743"/>
      <c r="AC22" s="743"/>
      <c r="AD22" s="743"/>
      <c r="AE22" s="743"/>
      <c r="AF22" s="743"/>
      <c r="AG22" s="743"/>
      <c r="AH22" s="743"/>
      <c r="AI22" s="743"/>
      <c r="AJ22" s="743"/>
      <c r="AK22" s="743"/>
      <c r="AL22" s="743"/>
      <c r="AM22" s="377"/>
      <c r="AN22" s="377"/>
      <c r="AO22" s="377"/>
      <c r="AP22" s="377"/>
      <c r="AQ22" s="377"/>
      <c r="AR22" s="377"/>
      <c r="AS22" s="377"/>
      <c r="AT22" s="377"/>
      <c r="AU22" s="377"/>
      <c r="AV22" s="377"/>
    </row>
    <row r="23" spans="1:48" s="3" customFormat="1" hidden="1" x14ac:dyDescent="0.2">
      <c r="A23" s="290" t="s">
        <v>280</v>
      </c>
      <c r="B23" s="625" t="s">
        <v>306</v>
      </c>
      <c r="C23" s="295" t="s">
        <v>21</v>
      </c>
      <c r="D23" s="294">
        <v>43466</v>
      </c>
      <c r="E23" s="294">
        <v>43830</v>
      </c>
      <c r="F23" s="759"/>
      <c r="G23" s="297"/>
      <c r="H23" s="759"/>
      <c r="I23" s="297"/>
      <c r="J23" s="314"/>
      <c r="K23" s="297"/>
      <c r="L23" s="250"/>
      <c r="M23" s="286"/>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737" t="s">
        <v>15</v>
      </c>
      <c r="B24" s="626" t="s">
        <v>306</v>
      </c>
      <c r="C24" s="745" t="s">
        <v>21</v>
      </c>
      <c r="D24" s="762">
        <v>43831</v>
      </c>
      <c r="E24" s="762">
        <v>44196</v>
      </c>
      <c r="F24" s="760">
        <v>18000</v>
      </c>
      <c r="G24" s="313">
        <f>I24-H24</f>
        <v>0</v>
      </c>
      <c r="H24" s="760">
        <f>'April''20 AR Aging '!G40</f>
        <v>6000</v>
      </c>
      <c r="I24" s="313">
        <v>6000</v>
      </c>
      <c r="J24" s="312">
        <f>F24-I24</f>
        <v>12000</v>
      </c>
      <c r="K24" s="313"/>
      <c r="L24" s="726"/>
      <c r="M24" s="286"/>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x14ac:dyDescent="0.2">
      <c r="A25" s="738" t="s">
        <v>414</v>
      </c>
      <c r="B25" s="733" t="s">
        <v>402</v>
      </c>
      <c r="C25" s="746" t="s">
        <v>21</v>
      </c>
      <c r="D25" s="763">
        <v>43739</v>
      </c>
      <c r="E25" s="763">
        <v>43951</v>
      </c>
      <c r="F25" s="766">
        <v>15000</v>
      </c>
      <c r="G25" s="735">
        <f>I25-H25</f>
        <v>10673.04</v>
      </c>
      <c r="H25" s="766">
        <f>'April''20 AR Aging '!G62</f>
        <v>3999.91</v>
      </c>
      <c r="I25" s="735">
        <v>14672.95</v>
      </c>
      <c r="J25" s="734">
        <f>F25-I25</f>
        <v>327.04999999999927</v>
      </c>
      <c r="K25" s="735"/>
      <c r="L25" s="250"/>
      <c r="M25" s="286"/>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5" x14ac:dyDescent="0.25">
      <c r="A26" s="737" t="s">
        <v>474</v>
      </c>
      <c r="B26" s="626" t="s">
        <v>402</v>
      </c>
      <c r="C26" s="745" t="s">
        <v>21</v>
      </c>
      <c r="D26" s="762">
        <v>43952</v>
      </c>
      <c r="E26" s="762">
        <v>44316</v>
      </c>
      <c r="F26" s="760">
        <f>F25/7*12</f>
        <v>25714.28571428571</v>
      </c>
      <c r="G26" s="313"/>
      <c r="H26" s="760"/>
      <c r="I26" s="313"/>
      <c r="J26" s="312"/>
      <c r="K26" s="313"/>
      <c r="L26" s="250"/>
      <c r="M26" s="286"/>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hidden="1" x14ac:dyDescent="0.2">
      <c r="A27" s="615" t="s">
        <v>271</v>
      </c>
      <c r="B27" s="615" t="s">
        <v>187</v>
      </c>
      <c r="C27" s="295" t="s">
        <v>21</v>
      </c>
      <c r="D27" s="294">
        <v>43219</v>
      </c>
      <c r="E27" s="294">
        <v>43770</v>
      </c>
      <c r="F27" s="769"/>
      <c r="G27" s="297"/>
      <c r="H27" s="759"/>
      <c r="I27" s="297"/>
      <c r="J27" s="314"/>
      <c r="K27" s="297"/>
      <c r="L27" s="250"/>
      <c r="M27" s="286"/>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thickBot="1" x14ac:dyDescent="0.25">
      <c r="A28" s="391" t="s">
        <v>321</v>
      </c>
      <c r="B28" s="391" t="s">
        <v>187</v>
      </c>
      <c r="C28" s="748" t="s">
        <v>21</v>
      </c>
      <c r="D28" s="392">
        <v>43717</v>
      </c>
      <c r="E28" s="392">
        <v>43937</v>
      </c>
      <c r="F28" s="770">
        <v>38680</v>
      </c>
      <c r="G28" s="298">
        <f>I28-H28</f>
        <v>28755.71</v>
      </c>
      <c r="H28" s="773">
        <f>'April''20 AR Aging '!G60</f>
        <v>0</v>
      </c>
      <c r="I28" s="298">
        <v>28755.71</v>
      </c>
      <c r="J28" s="309">
        <f>F28-I28</f>
        <v>9924.2900000000009</v>
      </c>
      <c r="K28" s="298"/>
      <c r="L28" s="250"/>
      <c r="M28" s="286"/>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7" customFormat="1" ht="16.5" thickBot="1" x14ac:dyDescent="0.3">
      <c r="A29" s="260" t="s">
        <v>37</v>
      </c>
      <c r="B29" s="261"/>
      <c r="C29" s="262"/>
      <c r="D29" s="263"/>
      <c r="E29" s="263"/>
      <c r="F29" s="288"/>
      <c r="G29" s="288">
        <f>SUM(G9:G28)</f>
        <v>462009.14999999997</v>
      </c>
      <c r="H29" s="288">
        <f>SUM(H7:H28)</f>
        <v>273712.62</v>
      </c>
      <c r="I29" s="288">
        <f>SUM(I9:I28)</f>
        <v>727451.76999999979</v>
      </c>
      <c r="J29" s="288">
        <f>SUM(J9:J28)</f>
        <v>680214.23000000021</v>
      </c>
      <c r="K29" s="288">
        <f>SUM(K9:K28)</f>
        <v>0</v>
      </c>
      <c r="L29" s="47"/>
      <c r="M29" s="37"/>
      <c r="N29" s="37"/>
      <c r="O29" s="37"/>
      <c r="P29" s="37"/>
      <c r="Q29" s="37"/>
      <c r="R29" s="37"/>
      <c r="S29" s="37"/>
      <c r="T29" s="37"/>
      <c r="U29" s="37"/>
      <c r="V29" s="37"/>
      <c r="W29" s="37"/>
      <c r="X29" s="37"/>
      <c r="Y29" s="37"/>
      <c r="Z29" s="37"/>
      <c r="AA29" s="37"/>
      <c r="AB29" s="38"/>
      <c r="AC29" s="38"/>
      <c r="AD29" s="38"/>
      <c r="AE29" s="38"/>
      <c r="AF29" s="38"/>
      <c r="AG29" s="38"/>
      <c r="AH29" s="38"/>
      <c r="AI29" s="38"/>
      <c r="AJ29" s="38"/>
      <c r="AK29" s="38"/>
      <c r="AL29" s="38"/>
      <c r="AM29" s="39"/>
      <c r="AN29" s="39"/>
      <c r="AO29" s="39"/>
      <c r="AP29" s="39"/>
      <c r="AQ29" s="39"/>
      <c r="AR29" s="39"/>
      <c r="AS29" s="39"/>
      <c r="AT29" s="39"/>
      <c r="AU29" s="39"/>
      <c r="AV29" s="39"/>
    </row>
    <row r="30" spans="1:48" s="18" customFormat="1" x14ac:dyDescent="0.2">
      <c r="A30" s="55"/>
      <c r="B30" s="55"/>
      <c r="C30" s="19"/>
      <c r="D30" s="55"/>
      <c r="E30" s="287"/>
      <c r="F30" s="29"/>
      <c r="G30" s="29"/>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8" customFormat="1" ht="10.5" customHeight="1" thickBot="1" x14ac:dyDescent="0.25">
      <c r="A31" s="1"/>
      <c r="B31" s="44"/>
      <c r="C31" s="6"/>
      <c r="D31" s="6"/>
      <c r="E31" s="6"/>
      <c r="F31" s="29"/>
      <c r="G31" s="29"/>
      <c r="H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2" customFormat="1" ht="16.5" thickBot="1" x14ac:dyDescent="0.3">
      <c r="A32" s="302" t="s">
        <v>39</v>
      </c>
      <c r="B32" s="157"/>
      <c r="C32" s="158"/>
      <c r="D32" s="158"/>
      <c r="E32" s="158"/>
      <c r="F32" s="159"/>
      <c r="G32" s="159"/>
      <c r="H32" s="159"/>
      <c r="I32" s="159"/>
      <c r="J32" s="159"/>
      <c r="K32" s="160"/>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0" customFormat="1" ht="45.75" thickBot="1" x14ac:dyDescent="0.25">
      <c r="A33" s="321" t="s">
        <v>22</v>
      </c>
      <c r="B33" s="803" t="s">
        <v>12</v>
      </c>
      <c r="C33" s="804"/>
      <c r="D33" s="321" t="s">
        <v>2</v>
      </c>
      <c r="E33" s="321" t="s">
        <v>3</v>
      </c>
      <c r="F33" s="326" t="s">
        <v>23</v>
      </c>
      <c r="G33" s="326" t="s">
        <v>452</v>
      </c>
      <c r="H33" s="326" t="s">
        <v>171</v>
      </c>
      <c r="I33" s="326" t="s">
        <v>19</v>
      </c>
      <c r="J33" s="326" t="s">
        <v>344</v>
      </c>
      <c r="K33" s="326" t="s">
        <v>4</v>
      </c>
      <c r="L33" s="35"/>
      <c r="M33" s="35"/>
      <c r="N33" s="35"/>
      <c r="O33" s="35"/>
      <c r="P33" s="35"/>
      <c r="Q33" s="35"/>
      <c r="R33" s="35"/>
      <c r="S33" s="35"/>
      <c r="T33" s="35"/>
      <c r="U33" s="6"/>
      <c r="V33" s="35"/>
      <c r="W33" s="35"/>
      <c r="X33" s="35"/>
      <c r="Y33" s="35"/>
      <c r="Z33" s="35"/>
      <c r="AA33" s="35"/>
      <c r="AB33" s="36"/>
      <c r="AC33" s="36"/>
      <c r="AD33" s="36"/>
      <c r="AE33" s="36"/>
      <c r="AF33" s="36"/>
      <c r="AG33" s="36"/>
      <c r="AH33" s="36"/>
      <c r="AI33" s="36"/>
      <c r="AJ33" s="36"/>
      <c r="AK33" s="36"/>
      <c r="AL33" s="36"/>
      <c r="AM33" s="6"/>
      <c r="AN33" s="6"/>
      <c r="AO33" s="6"/>
      <c r="AP33" s="6"/>
      <c r="AQ33" s="6"/>
      <c r="AR33" s="6"/>
      <c r="AS33" s="6"/>
      <c r="AT33" s="6"/>
      <c r="AU33" s="6"/>
      <c r="AV33" s="6"/>
    </row>
    <row r="34" spans="1:48" hidden="1" x14ac:dyDescent="0.2">
      <c r="A34" s="290" t="s">
        <v>15</v>
      </c>
      <c r="B34" s="809" t="s">
        <v>11</v>
      </c>
      <c r="C34" s="810"/>
      <c r="D34" s="294">
        <v>41275</v>
      </c>
      <c r="E34" s="294">
        <v>41639</v>
      </c>
      <c r="F34" s="297"/>
      <c r="G34" s="297">
        <v>0</v>
      </c>
      <c r="H34" s="297"/>
      <c r="I34" s="297">
        <f>F34-H34</f>
        <v>0</v>
      </c>
      <c r="J34" s="297">
        <v>0</v>
      </c>
      <c r="K34" s="297">
        <f t="shared" ref="K34:K38" si="0">I34</f>
        <v>0</v>
      </c>
      <c r="L34" s="29"/>
      <c r="M34" s="29"/>
      <c r="N34" s="29"/>
    </row>
    <row r="35" spans="1:48" hidden="1" x14ac:dyDescent="0.2">
      <c r="A35" s="290" t="s">
        <v>261</v>
      </c>
      <c r="B35" s="809" t="s">
        <v>11</v>
      </c>
      <c r="C35" s="810"/>
      <c r="D35" s="294">
        <v>42736</v>
      </c>
      <c r="E35" s="294">
        <v>43100</v>
      </c>
      <c r="F35" s="297"/>
      <c r="G35" s="297">
        <v>0</v>
      </c>
      <c r="H35" s="297">
        <v>25000</v>
      </c>
      <c r="I35" s="297">
        <f>25000-H35</f>
        <v>0</v>
      </c>
      <c r="J35" s="297"/>
      <c r="K35" s="390">
        <f t="shared" ref="K35" si="1">I35</f>
        <v>0</v>
      </c>
      <c r="L35" s="29"/>
      <c r="M35" s="29"/>
      <c r="N35" s="29"/>
    </row>
    <row r="36" spans="1:48" hidden="1" x14ac:dyDescent="0.2">
      <c r="A36" s="290" t="s">
        <v>320</v>
      </c>
      <c r="B36" s="809" t="s">
        <v>11</v>
      </c>
      <c r="C36" s="810"/>
      <c r="D36" s="294">
        <v>43466</v>
      </c>
      <c r="E36" s="294">
        <v>43830</v>
      </c>
      <c r="F36" s="297"/>
      <c r="G36" s="297"/>
      <c r="H36" s="297"/>
      <c r="I36" s="297"/>
      <c r="J36" s="297"/>
      <c r="K36" s="732"/>
      <c r="L36" s="29"/>
      <c r="M36" s="29"/>
      <c r="N36" s="29"/>
    </row>
    <row r="37" spans="1:48" ht="15" x14ac:dyDescent="0.25">
      <c r="A37" s="290" t="s">
        <v>445</v>
      </c>
      <c r="B37" s="809" t="s">
        <v>11</v>
      </c>
      <c r="C37" s="810"/>
      <c r="D37" s="294">
        <v>43831</v>
      </c>
      <c r="E37" s="294">
        <v>44196</v>
      </c>
      <c r="F37" s="297">
        <v>25000</v>
      </c>
      <c r="G37" s="297">
        <v>25000</v>
      </c>
      <c r="H37" s="297">
        <v>7979.94</v>
      </c>
      <c r="I37" s="297">
        <f>F37-H37</f>
        <v>17020.060000000001</v>
      </c>
      <c r="J37" s="297"/>
      <c r="K37" s="314">
        <f>I37</f>
        <v>17020.060000000001</v>
      </c>
      <c r="L37" s="29"/>
      <c r="M37" s="29"/>
      <c r="N37" s="29"/>
    </row>
    <row r="38" spans="1:48" x14ac:dyDescent="0.2">
      <c r="A38" s="290" t="s">
        <v>446</v>
      </c>
      <c r="B38" s="809" t="s">
        <v>11</v>
      </c>
      <c r="C38" s="810"/>
      <c r="D38" s="294">
        <v>43678</v>
      </c>
      <c r="E38" s="294" t="s">
        <v>453</v>
      </c>
      <c r="F38" s="297">
        <v>7125</v>
      </c>
      <c r="G38" s="297">
        <v>4681.5600000000004</v>
      </c>
      <c r="H38" s="297">
        <v>2599.64</v>
      </c>
      <c r="I38" s="297">
        <f t="shared" ref="I38" si="2">G38-H38</f>
        <v>2081.9200000000005</v>
      </c>
      <c r="J38" s="297"/>
      <c r="K38" s="314">
        <f t="shared" si="0"/>
        <v>2081.9200000000005</v>
      </c>
      <c r="L38" s="29"/>
      <c r="M38" s="29"/>
      <c r="N38" s="29"/>
    </row>
    <row r="39" spans="1:48" ht="15" x14ac:dyDescent="0.25">
      <c r="A39" s="290" t="s">
        <v>473</v>
      </c>
      <c r="B39" s="809" t="s">
        <v>11</v>
      </c>
      <c r="C39" s="810"/>
      <c r="D39" s="294">
        <v>43922</v>
      </c>
      <c r="E39" s="294" t="s">
        <v>453</v>
      </c>
      <c r="F39" s="297">
        <v>1500</v>
      </c>
      <c r="G39" s="297"/>
      <c r="H39" s="297"/>
      <c r="I39" s="297">
        <v>1500</v>
      </c>
      <c r="J39" s="297"/>
      <c r="K39" s="314">
        <f t="shared" ref="K39" si="3">I39</f>
        <v>1500</v>
      </c>
      <c r="L39" s="29"/>
      <c r="M39" s="29"/>
      <c r="N39" s="29"/>
    </row>
    <row r="40" spans="1:48" s="4" customFormat="1" hidden="1" x14ac:dyDescent="0.2">
      <c r="A40" s="290" t="s">
        <v>342</v>
      </c>
      <c r="B40" s="813" t="s">
        <v>17</v>
      </c>
      <c r="C40" s="814"/>
      <c r="D40" s="294">
        <v>42736</v>
      </c>
      <c r="E40" s="294">
        <v>43646</v>
      </c>
      <c r="F40" s="297"/>
      <c r="G40" s="297"/>
      <c r="H40" s="297"/>
      <c r="I40" s="297"/>
      <c r="J40" s="297"/>
      <c r="K40" s="314"/>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290" t="s">
        <v>400</v>
      </c>
      <c r="B41" s="813" t="s">
        <v>17</v>
      </c>
      <c r="C41" s="814"/>
      <c r="D41" s="294">
        <v>43831</v>
      </c>
      <c r="E41" s="294">
        <v>44561</v>
      </c>
      <c r="F41" s="297">
        <v>98000</v>
      </c>
      <c r="G41" s="297"/>
      <c r="H41" s="297">
        <v>13854.63</v>
      </c>
      <c r="I41" s="297">
        <f>50000-H41</f>
        <v>36145.370000000003</v>
      </c>
      <c r="J41" s="297"/>
      <c r="K41" s="314">
        <f>I41</f>
        <v>36145.370000000003</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4" customFormat="1" ht="15" hidden="1" x14ac:dyDescent="0.25">
      <c r="A42" s="290" t="s">
        <v>427</v>
      </c>
      <c r="B42" s="805" t="s">
        <v>426</v>
      </c>
      <c r="C42" s="806"/>
      <c r="D42" s="625"/>
      <c r="E42" s="625"/>
      <c r="F42" s="297"/>
      <c r="G42" s="297"/>
      <c r="H42" s="297"/>
      <c r="I42" s="297"/>
      <c r="J42" s="314"/>
      <c r="K42" s="390"/>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ht="15" thickBot="1" x14ac:dyDescent="0.25">
      <c r="A43" s="290" t="s">
        <v>18</v>
      </c>
      <c r="B43" s="805" t="s">
        <v>43</v>
      </c>
      <c r="C43" s="806"/>
      <c r="D43" s="294">
        <v>40226</v>
      </c>
      <c r="E43" s="295" t="s">
        <v>25</v>
      </c>
      <c r="F43" s="297">
        <f>8007.78+5000+50</f>
        <v>13057.779999999999</v>
      </c>
      <c r="G43" s="297">
        <v>2898.7</v>
      </c>
      <c r="H43" s="297"/>
      <c r="I43" s="297">
        <f>+G43-H43</f>
        <v>2898.7</v>
      </c>
      <c r="J43" s="297">
        <f>I43</f>
        <v>2898.7</v>
      </c>
      <c r="K43" s="314">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 customFormat="1" ht="15.75" thickBot="1" x14ac:dyDescent="0.3">
      <c r="A44" s="291" t="s">
        <v>401</v>
      </c>
      <c r="B44" s="811" t="s">
        <v>447</v>
      </c>
      <c r="C44" s="812"/>
      <c r="D44" s="392">
        <v>43770</v>
      </c>
      <c r="E44" s="392">
        <v>44196</v>
      </c>
      <c r="F44" s="298">
        <v>30000</v>
      </c>
      <c r="G44" s="298">
        <v>6032.85</v>
      </c>
      <c r="H44" s="298">
        <v>2804.25</v>
      </c>
      <c r="I44" s="298">
        <f>G44-H44</f>
        <v>3228.6000000000004</v>
      </c>
      <c r="J44" s="298"/>
      <c r="K44" s="309">
        <f t="shared" ref="K44" si="4">I44</f>
        <v>3228.6000000000004</v>
      </c>
      <c r="L44" s="255" t="s">
        <v>104</v>
      </c>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54" customFormat="1" ht="15.75" thickBot="1" x14ac:dyDescent="0.3">
      <c r="A45" s="289" t="s">
        <v>28</v>
      </c>
      <c r="B45" s="292"/>
      <c r="C45" s="292"/>
      <c r="D45" s="293"/>
      <c r="E45" s="293"/>
      <c r="F45" s="296">
        <f t="shared" ref="F45:K45" si="5">SUM(F34:F44)</f>
        <v>174682.78</v>
      </c>
      <c r="G45" s="299">
        <f t="shared" si="5"/>
        <v>38613.11</v>
      </c>
      <c r="H45" s="296">
        <f t="shared" si="5"/>
        <v>52238.46</v>
      </c>
      <c r="I45" s="296">
        <f t="shared" si="5"/>
        <v>62874.65</v>
      </c>
      <c r="J45" s="300">
        <f t="shared" si="5"/>
        <v>2898.7</v>
      </c>
      <c r="K45" s="301">
        <f t="shared" si="5"/>
        <v>59975.950000000004</v>
      </c>
      <c r="L45" s="447">
        <f>K29+K45</f>
        <v>59975.950000000004</v>
      </c>
      <c r="M45" s="252"/>
      <c r="N45" s="252"/>
      <c r="O45" s="252"/>
      <c r="P45" s="252"/>
      <c r="Q45" s="252"/>
      <c r="R45" s="252"/>
      <c r="S45" s="252"/>
      <c r="T45" s="252"/>
      <c r="U45" s="253"/>
      <c r="V45" s="252"/>
      <c r="W45" s="252"/>
      <c r="X45" s="252"/>
      <c r="Y45" s="252"/>
      <c r="Z45" s="252"/>
      <c r="AA45" s="252"/>
      <c r="AB45" s="252"/>
      <c r="AC45" s="252"/>
      <c r="AD45" s="252"/>
      <c r="AE45" s="252"/>
      <c r="AF45" s="252"/>
      <c r="AG45" s="252"/>
      <c r="AH45" s="252"/>
      <c r="AI45" s="252"/>
      <c r="AJ45" s="252"/>
      <c r="AK45" s="252"/>
      <c r="AL45" s="252"/>
      <c r="AM45" s="253"/>
      <c r="AN45" s="253"/>
      <c r="AO45" s="253"/>
      <c r="AP45" s="253"/>
      <c r="AQ45" s="253"/>
      <c r="AR45" s="253"/>
      <c r="AS45" s="253"/>
      <c r="AT45" s="253"/>
      <c r="AU45" s="253"/>
      <c r="AV45" s="253"/>
    </row>
    <row r="46" spans="1:48" s="18" customFormat="1" ht="15" thickBot="1" x14ac:dyDescent="0.25">
      <c r="B46" s="1"/>
      <c r="C46" s="6"/>
      <c r="D46" s="6"/>
      <c r="E46" s="6"/>
      <c r="F46" s="29"/>
      <c r="G46" s="29"/>
      <c r="H46" s="29"/>
      <c r="I46" s="29"/>
      <c r="J46" s="29"/>
      <c r="K46" s="29"/>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21" customFormat="1" ht="18.75" thickBot="1" x14ac:dyDescent="0.3">
      <c r="A47" s="302" t="s">
        <v>144</v>
      </c>
      <c r="B47" s="303"/>
      <c r="C47" s="304"/>
      <c r="D47" s="304"/>
      <c r="E47" s="304"/>
      <c r="F47" s="307"/>
      <c r="G47" s="307"/>
      <c r="H47" s="307"/>
      <c r="I47" s="307"/>
      <c r="J47" s="307"/>
      <c r="K47" s="310"/>
      <c r="L47" s="307"/>
      <c r="M47" s="311"/>
      <c r="N47" s="40"/>
      <c r="O47" s="40"/>
      <c r="P47" s="40"/>
      <c r="Q47" s="40"/>
      <c r="R47" s="40"/>
      <c r="S47" s="40"/>
      <c r="T47" s="40"/>
      <c r="U47" s="41"/>
      <c r="V47" s="40"/>
      <c r="W47" s="40"/>
      <c r="X47" s="40"/>
      <c r="Y47" s="40"/>
      <c r="Z47" s="40"/>
      <c r="AA47" s="40"/>
      <c r="AB47" s="42"/>
      <c r="AC47" s="42"/>
      <c r="AD47" s="42"/>
      <c r="AE47" s="42"/>
      <c r="AF47" s="42"/>
      <c r="AG47" s="42"/>
      <c r="AH47" s="42"/>
      <c r="AI47" s="42"/>
      <c r="AJ47" s="42"/>
      <c r="AK47" s="42"/>
      <c r="AL47" s="42"/>
      <c r="AM47" s="41"/>
      <c r="AN47" s="41"/>
      <c r="AO47" s="41"/>
      <c r="AP47" s="41"/>
      <c r="AQ47" s="41"/>
      <c r="AR47" s="41"/>
      <c r="AS47" s="41"/>
      <c r="AT47" s="41"/>
      <c r="AU47" s="41"/>
      <c r="AV47" s="41"/>
    </row>
    <row r="48" spans="1:48" s="23" customFormat="1" ht="33" customHeight="1" thickBot="1" x14ac:dyDescent="0.25">
      <c r="A48" s="321" t="s">
        <v>31</v>
      </c>
      <c r="B48" s="803" t="s">
        <v>24</v>
      </c>
      <c r="C48" s="804"/>
      <c r="D48" s="804"/>
      <c r="E48" s="808"/>
      <c r="F48" s="325" t="s">
        <v>40</v>
      </c>
      <c r="G48" s="259" t="s">
        <v>452</v>
      </c>
      <c r="H48" s="259" t="s">
        <v>170</v>
      </c>
      <c r="I48" s="259" t="s">
        <v>205</v>
      </c>
      <c r="J48" s="259" t="s">
        <v>44</v>
      </c>
      <c r="K48" s="259" t="s">
        <v>10</v>
      </c>
      <c r="L48" s="259" t="s">
        <v>341</v>
      </c>
      <c r="M48" s="259" t="s">
        <v>4</v>
      </c>
      <c r="N48" s="35"/>
      <c r="O48" s="35"/>
      <c r="P48" s="35"/>
      <c r="Q48" s="35"/>
      <c r="R48" s="35"/>
      <c r="S48" s="35"/>
      <c r="T48" s="35"/>
      <c r="U48" s="6"/>
      <c r="V48" s="35"/>
      <c r="W48" s="35"/>
      <c r="X48" s="35"/>
      <c r="Y48" s="35"/>
      <c r="Z48" s="35"/>
      <c r="AA48" s="35"/>
      <c r="AB48" s="36"/>
      <c r="AC48" s="36"/>
      <c r="AD48" s="36"/>
      <c r="AE48" s="36"/>
      <c r="AF48" s="36"/>
      <c r="AG48" s="36"/>
      <c r="AH48" s="36"/>
      <c r="AI48" s="36"/>
      <c r="AJ48" s="36"/>
      <c r="AK48" s="36"/>
      <c r="AL48" s="36"/>
      <c r="AM48" s="6"/>
      <c r="AN48" s="6"/>
      <c r="AO48" s="6"/>
      <c r="AP48" s="6"/>
      <c r="AQ48" s="6"/>
      <c r="AR48" s="6"/>
      <c r="AS48" s="6"/>
      <c r="AT48" s="6"/>
      <c r="AU48" s="6"/>
      <c r="AV48" s="6"/>
    </row>
    <row r="49" spans="1:48" s="18" customFormat="1" hidden="1" x14ac:dyDescent="0.2">
      <c r="A49" s="290" t="s">
        <v>32</v>
      </c>
      <c r="B49" s="805" t="s">
        <v>35</v>
      </c>
      <c r="C49" s="806"/>
      <c r="D49" s="806"/>
      <c r="E49" s="807"/>
      <c r="F49" s="297"/>
      <c r="G49" s="297"/>
      <c r="H49" s="297">
        <v>0</v>
      </c>
      <c r="I49" s="297"/>
      <c r="J49" s="297"/>
      <c r="K49" s="297"/>
      <c r="L49" s="297"/>
      <c r="M49" s="297">
        <v>0</v>
      </c>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hidden="1" x14ac:dyDescent="0.2">
      <c r="A50" s="290" t="s">
        <v>33</v>
      </c>
      <c r="B50" s="805" t="s">
        <v>36</v>
      </c>
      <c r="C50" s="806"/>
      <c r="D50" s="806"/>
      <c r="E50" s="807"/>
      <c r="F50" s="297"/>
      <c r="G50" s="297"/>
      <c r="H50" s="297"/>
      <c r="I50" s="308"/>
      <c r="J50" s="297"/>
      <c r="K50" s="297"/>
      <c r="L50" s="297"/>
      <c r="M50" s="297">
        <v>0</v>
      </c>
      <c r="N50" s="29"/>
    </row>
    <row r="51" spans="1:48" ht="15" hidden="1" customHeight="1" x14ac:dyDescent="0.2">
      <c r="A51" s="290"/>
      <c r="B51" s="805"/>
      <c r="C51" s="806"/>
      <c r="D51" s="806"/>
      <c r="E51" s="807"/>
      <c r="F51" s="297"/>
      <c r="G51" s="297"/>
      <c r="H51" s="297"/>
      <c r="I51" s="518"/>
      <c r="J51" s="297"/>
      <c r="K51" s="390"/>
      <c r="L51" s="297"/>
      <c r="M51" s="297"/>
      <c r="N51" s="29"/>
    </row>
    <row r="52" spans="1:48" s="18" customFormat="1" hidden="1" x14ac:dyDescent="0.2">
      <c r="A52" s="290"/>
      <c r="B52" s="805"/>
      <c r="C52" s="806"/>
      <c r="D52" s="806"/>
      <c r="E52" s="807"/>
      <c r="F52" s="297"/>
      <c r="G52" s="297"/>
      <c r="H52" s="297"/>
      <c r="I52" s="297"/>
      <c r="J52" s="297"/>
      <c r="K52" s="390"/>
      <c r="L52" s="297"/>
      <c r="M52" s="297"/>
      <c r="N52" s="29"/>
      <c r="O52" s="29"/>
      <c r="P52" s="29"/>
      <c r="Q52" s="29"/>
      <c r="R52" s="29"/>
      <c r="S52" s="29"/>
      <c r="T52" s="29"/>
      <c r="U52" s="1"/>
      <c r="V52" s="29"/>
      <c r="W52" s="29"/>
      <c r="X52" s="29"/>
      <c r="Y52" s="29"/>
      <c r="Z52" s="29"/>
      <c r="AA52" s="29"/>
      <c r="AB52" s="11"/>
      <c r="AC52" s="11"/>
      <c r="AD52" s="11"/>
      <c r="AE52" s="11"/>
      <c r="AF52" s="11"/>
      <c r="AG52" s="11"/>
      <c r="AH52" s="11"/>
      <c r="AI52" s="11"/>
      <c r="AJ52" s="11"/>
      <c r="AK52" s="11"/>
      <c r="AL52" s="11"/>
      <c r="AM52" s="1"/>
      <c r="AN52" s="1"/>
      <c r="AO52" s="1"/>
      <c r="AP52" s="1"/>
      <c r="AQ52" s="1"/>
      <c r="AR52" s="1"/>
      <c r="AS52" s="1"/>
      <c r="AT52" s="1"/>
      <c r="AU52" s="1"/>
      <c r="AV52" s="1"/>
    </row>
    <row r="53" spans="1:48" hidden="1" x14ac:dyDescent="0.2">
      <c r="A53" s="290" t="s">
        <v>330</v>
      </c>
      <c r="B53" s="565" t="s">
        <v>332</v>
      </c>
      <c r="C53" s="566"/>
      <c r="D53" s="566"/>
      <c r="E53" s="567"/>
      <c r="F53" s="297"/>
      <c r="G53" s="297"/>
      <c r="H53" s="297"/>
      <c r="I53" s="604"/>
      <c r="J53" s="314"/>
      <c r="K53" s="390"/>
      <c r="L53" s="297"/>
      <c r="M53" s="297"/>
      <c r="N53" s="29"/>
    </row>
    <row r="54" spans="1:48" s="18" customFormat="1" hidden="1" x14ac:dyDescent="0.2">
      <c r="A54" s="290" t="s">
        <v>331</v>
      </c>
      <c r="B54" s="805" t="s">
        <v>333</v>
      </c>
      <c r="C54" s="806"/>
      <c r="D54" s="806"/>
      <c r="E54" s="807"/>
      <c r="F54" s="297"/>
      <c r="G54" s="297"/>
      <c r="H54" s="297"/>
      <c r="I54" s="297"/>
      <c r="J54" s="314"/>
      <c r="K54" s="390"/>
      <c r="L54" s="297"/>
      <c r="M54" s="297"/>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s="18" customFormat="1" ht="15" x14ac:dyDescent="0.25">
      <c r="A55" s="290" t="s">
        <v>448</v>
      </c>
      <c r="B55" s="723" t="s">
        <v>472</v>
      </c>
      <c r="C55" s="724"/>
      <c r="D55" s="724"/>
      <c r="E55" s="725"/>
      <c r="F55" s="297">
        <f>52000-10400</f>
        <v>41600</v>
      </c>
      <c r="G55" s="297"/>
      <c r="H55" s="297">
        <v>26000</v>
      </c>
      <c r="I55" s="297">
        <f>'April''20 AR Aging '!G66</f>
        <v>15600</v>
      </c>
      <c r="J55" s="314">
        <f>52000/12*4</f>
        <v>17333.333333333332</v>
      </c>
      <c r="K55" s="390">
        <f>F55-J55</f>
        <v>24266.666666666668</v>
      </c>
      <c r="L55" s="297">
        <f>K55</f>
        <v>24266.666666666668</v>
      </c>
      <c r="M55" s="297"/>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x14ac:dyDescent="0.2">
      <c r="A56" s="290" t="s">
        <v>449</v>
      </c>
      <c r="B56" s="805" t="s">
        <v>415</v>
      </c>
      <c r="C56" s="806"/>
      <c r="D56" s="806"/>
      <c r="E56" s="807"/>
      <c r="F56" s="297">
        <v>19000</v>
      </c>
      <c r="G56" s="297"/>
      <c r="H56" s="297">
        <v>19000</v>
      </c>
      <c r="I56" s="297"/>
      <c r="J56" s="314">
        <f>19000/12*4</f>
        <v>6333.333333333333</v>
      </c>
      <c r="K56" s="390">
        <f>H56-J56</f>
        <v>12666.666666666668</v>
      </c>
      <c r="L56" s="297">
        <f>K56</f>
        <v>12666.666666666668</v>
      </c>
      <c r="M56" s="297"/>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18" customFormat="1" x14ac:dyDescent="0.2">
      <c r="A57" s="290" t="s">
        <v>348</v>
      </c>
      <c r="B57" s="684" t="s">
        <v>450</v>
      </c>
      <c r="C57" s="685"/>
      <c r="D57" s="685"/>
      <c r="E57" s="686"/>
      <c r="F57" s="297">
        <v>20000</v>
      </c>
      <c r="G57" s="297"/>
      <c r="H57" s="297">
        <f>J57-I57</f>
        <v>0</v>
      </c>
      <c r="I57" s="297">
        <f>'April''20 AR Aging '!G64</f>
        <v>5000</v>
      </c>
      <c r="J57" s="314">
        <f>1250*4</f>
        <v>5000</v>
      </c>
      <c r="K57" s="390"/>
      <c r="L57" s="297"/>
      <c r="M57" s="297"/>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290" t="s">
        <v>20</v>
      </c>
      <c r="B58" s="805" t="s">
        <v>145</v>
      </c>
      <c r="C58" s="806"/>
      <c r="D58" s="806"/>
      <c r="E58" s="807"/>
      <c r="F58" s="297"/>
      <c r="G58" s="297">
        <v>0</v>
      </c>
      <c r="H58" s="297">
        <f>J58</f>
        <v>3319.5</v>
      </c>
      <c r="I58" s="297"/>
      <c r="J58" s="314">
        <v>3319.5</v>
      </c>
      <c r="K58" s="390">
        <f>H58-J58</f>
        <v>0</v>
      </c>
      <c r="L58" s="297">
        <v>0</v>
      </c>
      <c r="M58" s="297">
        <v>0</v>
      </c>
      <c r="N58" s="29"/>
    </row>
    <row r="59" spans="1:48" x14ac:dyDescent="0.2">
      <c r="A59" s="290" t="s">
        <v>20</v>
      </c>
      <c r="B59" s="805" t="s">
        <v>6</v>
      </c>
      <c r="C59" s="806"/>
      <c r="D59" s="806"/>
      <c r="E59" s="807"/>
      <c r="F59" s="297"/>
      <c r="G59" s="297">
        <v>807.18</v>
      </c>
      <c r="H59" s="297"/>
      <c r="I59" s="297"/>
      <c r="J59" s="314"/>
      <c r="K59" s="390">
        <f>G59+H59-J59</f>
        <v>807.18</v>
      </c>
      <c r="L59" s="297">
        <f>K59</f>
        <v>807.18</v>
      </c>
      <c r="M59" s="297">
        <v>0</v>
      </c>
      <c r="N59" s="29"/>
    </row>
    <row r="60" spans="1:48" x14ac:dyDescent="0.2">
      <c r="A60" s="290" t="s">
        <v>20</v>
      </c>
      <c r="B60" s="805" t="s">
        <v>7</v>
      </c>
      <c r="C60" s="806"/>
      <c r="D60" s="806"/>
      <c r="E60" s="807"/>
      <c r="F60" s="297"/>
      <c r="G60" s="297">
        <v>16139</v>
      </c>
      <c r="H60" s="297">
        <v>1825</v>
      </c>
      <c r="I60" s="297">
        <v>0</v>
      </c>
      <c r="J60" s="314">
        <v>1651.67</v>
      </c>
      <c r="K60" s="390">
        <f>G60+H60-J60</f>
        <v>16312.33</v>
      </c>
      <c r="L60" s="297">
        <f>K60</f>
        <v>16312.33</v>
      </c>
      <c r="M60" s="297">
        <v>0</v>
      </c>
      <c r="N60" s="29"/>
    </row>
    <row r="61" spans="1:48" ht="15" thickBot="1" x14ac:dyDescent="0.25">
      <c r="A61" s="290" t="s">
        <v>20</v>
      </c>
      <c r="B61" s="805" t="s">
        <v>8</v>
      </c>
      <c r="C61" s="806"/>
      <c r="D61" s="806"/>
      <c r="E61" s="807"/>
      <c r="F61" s="297"/>
      <c r="G61" s="297">
        <v>9461.82</v>
      </c>
      <c r="H61" s="297"/>
      <c r="I61" s="297">
        <v>0</v>
      </c>
      <c r="J61" s="314">
        <v>2112.65</v>
      </c>
      <c r="K61" s="390">
        <f>G61+H61-J61</f>
        <v>7349.17</v>
      </c>
      <c r="L61" s="297">
        <f>K61</f>
        <v>7349.17</v>
      </c>
      <c r="M61" s="297">
        <v>0</v>
      </c>
      <c r="N61" s="29"/>
    </row>
    <row r="62" spans="1:48" s="25" customFormat="1" ht="15" hidden="1" thickBot="1" x14ac:dyDescent="0.25">
      <c r="A62" s="290" t="s">
        <v>392</v>
      </c>
      <c r="B62" s="805" t="s">
        <v>381</v>
      </c>
      <c r="C62" s="806"/>
      <c r="D62" s="806"/>
      <c r="E62" s="807"/>
      <c r="F62" s="297"/>
      <c r="G62" s="297"/>
      <c r="H62" s="297"/>
      <c r="I62" s="297"/>
      <c r="J62" s="297"/>
      <c r="K62" s="297"/>
      <c r="L62" s="297"/>
      <c r="M62" s="297"/>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290" t="s">
        <v>20</v>
      </c>
      <c r="B63" s="305" t="s">
        <v>81</v>
      </c>
      <c r="C63" s="281"/>
      <c r="D63" s="281"/>
      <c r="E63" s="306"/>
      <c r="F63" s="297"/>
      <c r="G63" s="297"/>
      <c r="H63" s="297"/>
      <c r="I63" s="297"/>
      <c r="J63" s="297"/>
      <c r="K63" s="297"/>
      <c r="L63" s="297"/>
      <c r="M63" s="297"/>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291"/>
      <c r="B64" s="805"/>
      <c r="C64" s="806"/>
      <c r="D64" s="806"/>
      <c r="E64" s="807"/>
      <c r="F64" s="298"/>
      <c r="G64" s="298">
        <v>0</v>
      </c>
      <c r="H64" s="298"/>
      <c r="I64" s="309"/>
      <c r="J64" s="298"/>
      <c r="K64" s="298"/>
      <c r="L64" s="298"/>
      <c r="M64" s="298">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254" customFormat="1" ht="15.75" thickBot="1" x14ac:dyDescent="0.3">
      <c r="A65" s="322" t="s">
        <v>38</v>
      </c>
      <c r="B65" s="323"/>
      <c r="C65" s="323"/>
      <c r="D65" s="323"/>
      <c r="E65" s="324"/>
      <c r="F65" s="383">
        <f t="shared" ref="F65:M65" si="6">SUM(F49:F64)</f>
        <v>80600</v>
      </c>
      <c r="G65" s="384">
        <f t="shared" si="6"/>
        <v>26408</v>
      </c>
      <c r="H65" s="384">
        <f>SUM(H49:H64)</f>
        <v>50144.5</v>
      </c>
      <c r="I65" s="384">
        <f t="shared" si="6"/>
        <v>20600</v>
      </c>
      <c r="J65" s="384">
        <f t="shared" si="6"/>
        <v>35750.486666666664</v>
      </c>
      <c r="K65" s="385">
        <f>SUM(K49:K64)</f>
        <v>61402.013333333336</v>
      </c>
      <c r="L65" s="386">
        <f>SUM(L49:L64)</f>
        <v>61402.013333333336</v>
      </c>
      <c r="M65" s="385">
        <f t="shared" si="6"/>
        <v>0</v>
      </c>
      <c r="N65" s="252"/>
      <c r="O65" s="252"/>
      <c r="P65" s="252"/>
      <c r="Q65" s="252"/>
      <c r="R65" s="252"/>
      <c r="S65" s="252"/>
      <c r="T65" s="252"/>
      <c r="U65" s="253"/>
      <c r="V65" s="252"/>
      <c r="W65" s="252"/>
      <c r="X65" s="252"/>
      <c r="Y65" s="252"/>
      <c r="Z65" s="252"/>
      <c r="AA65" s="252"/>
      <c r="AB65" s="252"/>
      <c r="AC65" s="252"/>
      <c r="AD65" s="252"/>
      <c r="AE65" s="252"/>
      <c r="AF65" s="252"/>
      <c r="AG65" s="252"/>
      <c r="AH65" s="252"/>
      <c r="AI65" s="252"/>
      <c r="AJ65" s="252"/>
      <c r="AK65" s="252"/>
      <c r="AL65" s="252"/>
      <c r="AM65" s="253"/>
      <c r="AN65" s="253"/>
      <c r="AO65" s="253"/>
      <c r="AP65" s="253"/>
      <c r="AQ65" s="253"/>
      <c r="AR65" s="253"/>
      <c r="AS65" s="253"/>
      <c r="AT65" s="253"/>
      <c r="AU65" s="253"/>
      <c r="AV65" s="253"/>
    </row>
    <row r="66" spans="1:48" ht="15" thickBot="1" x14ac:dyDescent="0.25">
      <c r="H66" s="28"/>
      <c r="L66" s="691" t="s">
        <v>359</v>
      </c>
      <c r="N66" s="29"/>
    </row>
    <row r="67" spans="1:48" s="48" customFormat="1" ht="16.5" thickBot="1" x14ac:dyDescent="0.3">
      <c r="A67" s="52"/>
      <c r="B67" s="53"/>
      <c r="C67" s="53"/>
      <c r="D67" s="53"/>
      <c r="E67" s="53"/>
      <c r="F67" s="53"/>
      <c r="G67" s="53"/>
      <c r="H67" s="53"/>
      <c r="I67" s="53"/>
      <c r="J67" s="53"/>
      <c r="K67" s="53"/>
      <c r="L67" s="500">
        <f>L65+J45</f>
        <v>64300.713333333333</v>
      </c>
      <c r="M67" s="681"/>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2.25" hidden="1" thickBot="1" x14ac:dyDescent="0.3">
      <c r="A68" s="54"/>
      <c r="B68" s="50"/>
      <c r="C68" s="50"/>
      <c r="D68" s="50"/>
      <c r="E68" s="50"/>
      <c r="F68" s="50"/>
      <c r="G68" s="150" t="s">
        <v>178</v>
      </c>
      <c r="H68" s="151" t="s">
        <v>170</v>
      </c>
      <c r="I68" s="151" t="s">
        <v>103</v>
      </c>
      <c r="J68" s="151" t="s">
        <v>58</v>
      </c>
      <c r="K68" s="152" t="s">
        <v>46</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341" t="s">
        <v>76</v>
      </c>
      <c r="B69" s="817" t="s">
        <v>45</v>
      </c>
      <c r="C69" s="817"/>
      <c r="D69" s="817"/>
      <c r="E69" s="817"/>
      <c r="F69" s="342"/>
      <c r="G69" s="342">
        <f>104647.76-J52-1250-1250</f>
        <v>102147.76</v>
      </c>
      <c r="H69" s="342">
        <f>90450.47-J69-H72</f>
        <v>62444.11</v>
      </c>
      <c r="I69" s="342">
        <f>H58</f>
        <v>3319.5</v>
      </c>
      <c r="J69" s="342">
        <f>'April''20 AR Aging '!G43</f>
        <v>28006.36</v>
      </c>
      <c r="K69" s="343">
        <f>+I69+J69+H69-G69</f>
        <v>-8377.7899999999936</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344" t="s">
        <v>34</v>
      </c>
      <c r="B70" s="816" t="s">
        <v>29</v>
      </c>
      <c r="C70" s="816"/>
      <c r="D70" s="816"/>
      <c r="E70" s="816"/>
      <c r="F70" s="339"/>
      <c r="G70" s="339"/>
      <c r="H70" s="339">
        <v>0</v>
      </c>
      <c r="I70" s="340"/>
      <c r="J70" s="339">
        <v>0</v>
      </c>
      <c r="K70" s="345"/>
      <c r="L70" s="315"/>
      <c r="M70" s="315">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344" t="s">
        <v>20</v>
      </c>
      <c r="B71" s="818" t="s">
        <v>154</v>
      </c>
      <c r="C71" s="819"/>
      <c r="D71" s="819"/>
      <c r="E71" s="820"/>
      <c r="F71" s="339"/>
      <c r="G71" s="339"/>
      <c r="H71" s="339"/>
      <c r="I71" s="340"/>
      <c r="J71" s="339"/>
      <c r="K71" s="345"/>
      <c r="L71" s="315"/>
      <c r="M71" s="315"/>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346" t="s">
        <v>153</v>
      </c>
      <c r="B72" s="815" t="s">
        <v>45</v>
      </c>
      <c r="C72" s="815"/>
      <c r="D72" s="815"/>
      <c r="E72" s="815"/>
      <c r="F72" s="347"/>
      <c r="G72" s="347"/>
      <c r="H72" s="347">
        <v>0</v>
      </c>
      <c r="I72" s="347"/>
      <c r="J72" s="347"/>
      <c r="K72" s="348"/>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230"/>
      <c r="G73" s="231"/>
      <c r="H73" s="230"/>
      <c r="I73" s="230"/>
      <c r="J73" s="230">
        <f>J69+I65+H29+J72</f>
        <v>322318.98</v>
      </c>
      <c r="K73" s="230" t="s">
        <v>51</v>
      </c>
      <c r="N73" s="29"/>
    </row>
    <row r="74" spans="1:48" x14ac:dyDescent="0.2">
      <c r="F74" s="230"/>
      <c r="G74" s="231"/>
      <c r="H74" s="230"/>
      <c r="I74" s="230"/>
      <c r="J74" s="710">
        <f>'April''20 AR Aging '!G70</f>
        <v>322737.69999999995</v>
      </c>
      <c r="K74" s="230" t="s">
        <v>451</v>
      </c>
      <c r="N74" s="29"/>
    </row>
    <row r="75" spans="1:48" ht="15" customHeight="1" thickBot="1" x14ac:dyDescent="0.25">
      <c r="F75" s="230"/>
      <c r="G75" s="231"/>
      <c r="H75" s="230"/>
      <c r="I75" s="230"/>
      <c r="J75" s="711">
        <f>J74-J73</f>
        <v>418.71999999997206</v>
      </c>
      <c r="K75" s="230" t="s">
        <v>416</v>
      </c>
      <c r="N75" s="29"/>
    </row>
    <row r="76" spans="1:48" ht="15" customHeight="1" thickTop="1" x14ac:dyDescent="0.2">
      <c r="C76" s="8"/>
      <c r="E76" s="9"/>
    </row>
    <row r="85" spans="1:12" x14ac:dyDescent="0.2">
      <c r="A85" s="10"/>
      <c r="B85" s="1"/>
      <c r="C85" s="6"/>
      <c r="D85" s="6"/>
      <c r="E85" s="7"/>
      <c r="F85" s="29"/>
      <c r="G85" s="29"/>
      <c r="I85" s="29"/>
      <c r="J85" s="29"/>
      <c r="K85" s="29"/>
      <c r="L85" s="29"/>
    </row>
  </sheetData>
  <mergeCells count="29">
    <mergeCell ref="B61:E61"/>
    <mergeCell ref="B37:C37"/>
    <mergeCell ref="B38:C38"/>
    <mergeCell ref="B40:C40"/>
    <mergeCell ref="B54:E54"/>
    <mergeCell ref="B39:C39"/>
    <mergeCell ref="B56:E56"/>
    <mergeCell ref="B42:C42"/>
    <mergeCell ref="B72:E72"/>
    <mergeCell ref="B62:E62"/>
    <mergeCell ref="B70:E70"/>
    <mergeCell ref="B64:E64"/>
    <mergeCell ref="B69:E69"/>
    <mergeCell ref="B71:E71"/>
    <mergeCell ref="B33:C33"/>
    <mergeCell ref="B60:E60"/>
    <mergeCell ref="B48:E48"/>
    <mergeCell ref="B35:C35"/>
    <mergeCell ref="B43:C43"/>
    <mergeCell ref="B44:C44"/>
    <mergeCell ref="B49:E49"/>
    <mergeCell ref="B50:E50"/>
    <mergeCell ref="B58:E58"/>
    <mergeCell ref="B59:E59"/>
    <mergeCell ref="B34:C34"/>
    <mergeCell ref="B51:E51"/>
    <mergeCell ref="B52:E52"/>
    <mergeCell ref="B36:C36"/>
    <mergeCell ref="B41:C41"/>
  </mergeCells>
  <pageMargins left="0.45" right="0" top="0.75" bottom="0" header="0.3" footer="0.05"/>
  <pageSetup paperSize="5"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0"/>
  <sheetViews>
    <sheetView tabSelected="1" zoomScale="75" zoomScaleNormal="75" workbookViewId="0">
      <selection activeCell="B127" sqref="B127"/>
    </sheetView>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33" customWidth="1"/>
    <col min="8" max="8" width="11.75" style="1" customWidth="1"/>
    <col min="9" max="9" width="17.625" style="774"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32"/>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431</v>
      </c>
      <c r="B2" s="16"/>
      <c r="C2" s="13"/>
      <c r="D2" s="13"/>
      <c r="E2" s="26"/>
      <c r="F2" s="26"/>
      <c r="G2" s="632"/>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31"/>
      <c r="F3" s="93"/>
    </row>
    <row r="4" spans="1:2009" s="57" customFormat="1" ht="16.5" thickBot="1" x14ac:dyDescent="0.3">
      <c r="A4" s="56"/>
      <c r="B4" s="56"/>
      <c r="C4" s="93" t="s">
        <v>428</v>
      </c>
      <c r="D4" s="93" t="s">
        <v>432</v>
      </c>
      <c r="E4" s="93" t="s">
        <v>433</v>
      </c>
      <c r="F4" s="93" t="s">
        <v>434</v>
      </c>
      <c r="G4" s="634" t="s">
        <v>75</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21" t="s">
        <v>70</v>
      </c>
      <c r="B5" s="822"/>
      <c r="C5" s="148"/>
      <c r="D5" s="148"/>
      <c r="E5" s="156"/>
      <c r="F5" s="156"/>
      <c r="G5" s="635"/>
      <c r="H5" s="94"/>
      <c r="I5" s="559"/>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38" customFormat="1" ht="24.95" customHeight="1" x14ac:dyDescent="0.25">
      <c r="A6" s="334"/>
      <c r="B6" s="125" t="s">
        <v>404</v>
      </c>
      <c r="C6" s="526"/>
      <c r="D6" s="163">
        <v>8270</v>
      </c>
      <c r="E6" s="526"/>
      <c r="F6" s="335"/>
      <c r="G6" s="636">
        <f>SUM(C6:F6)</f>
        <v>8270</v>
      </c>
      <c r="H6" s="336"/>
      <c r="I6" s="559"/>
      <c r="J6" s="336"/>
      <c r="K6" s="336"/>
      <c r="L6" s="336"/>
      <c r="M6" s="336"/>
      <c r="N6" s="336"/>
      <c r="O6" s="336"/>
      <c r="P6" s="336"/>
      <c r="Q6" s="336"/>
      <c r="R6" s="336"/>
      <c r="S6" s="336"/>
      <c r="T6" s="336"/>
      <c r="U6" s="336"/>
      <c r="V6" s="336"/>
      <c r="W6" s="336"/>
      <c r="X6" s="336"/>
      <c r="Y6" s="336"/>
      <c r="Z6" s="336"/>
      <c r="AA6" s="336"/>
      <c r="AB6" s="336"/>
      <c r="AC6" s="336"/>
      <c r="AD6" s="336"/>
      <c r="AE6" s="336"/>
      <c r="AF6" s="336"/>
      <c r="AG6" s="336"/>
      <c r="AH6" s="336"/>
      <c r="AI6" s="336"/>
      <c r="AJ6" s="336"/>
      <c r="AK6" s="336"/>
      <c r="AL6" s="336"/>
      <c r="AM6" s="336"/>
      <c r="AN6" s="336"/>
      <c r="AO6" s="336"/>
      <c r="AP6" s="336"/>
      <c r="AQ6" s="336"/>
      <c r="AR6" s="336"/>
      <c r="AS6" s="336"/>
      <c r="AT6" s="336"/>
      <c r="AU6" s="336"/>
      <c r="AV6" s="336"/>
      <c r="AW6" s="336"/>
      <c r="AX6" s="336"/>
      <c r="AY6" s="336"/>
      <c r="AZ6" s="336"/>
      <c r="BA6" s="336"/>
      <c r="BB6" s="336"/>
      <c r="BC6" s="336"/>
      <c r="BD6" s="336"/>
      <c r="BE6" s="336"/>
      <c r="BF6" s="336"/>
      <c r="BG6" s="336"/>
      <c r="BH6" s="336"/>
      <c r="BI6" s="336"/>
      <c r="BJ6" s="337"/>
      <c r="BK6" s="337"/>
      <c r="BL6" s="337"/>
      <c r="BM6" s="337"/>
      <c r="BN6" s="337"/>
      <c r="BO6" s="337"/>
      <c r="BP6" s="337"/>
      <c r="BQ6" s="337"/>
      <c r="BR6" s="337"/>
      <c r="BS6" s="337"/>
      <c r="BT6" s="337"/>
      <c r="BU6" s="337"/>
      <c r="BV6" s="337"/>
      <c r="BW6" s="337"/>
      <c r="BX6" s="337"/>
      <c r="BY6" s="337"/>
      <c r="BZ6" s="337"/>
      <c r="CA6" s="337"/>
      <c r="CB6" s="337"/>
      <c r="CC6" s="337"/>
      <c r="CD6" s="337"/>
      <c r="CE6" s="337"/>
      <c r="CF6" s="337"/>
      <c r="CG6" s="337"/>
      <c r="CH6" s="337"/>
      <c r="CI6" s="337"/>
      <c r="CJ6" s="337"/>
      <c r="CK6" s="337"/>
      <c r="CL6" s="337"/>
      <c r="CM6" s="337"/>
      <c r="CN6" s="337"/>
      <c r="CO6" s="337"/>
      <c r="CP6" s="337"/>
      <c r="CQ6" s="337"/>
      <c r="CR6" s="337"/>
      <c r="CS6" s="337"/>
      <c r="CT6" s="337"/>
      <c r="CU6" s="337"/>
      <c r="CV6" s="337"/>
      <c r="CW6" s="337"/>
      <c r="CX6" s="337"/>
      <c r="CY6" s="337"/>
      <c r="CZ6" s="337"/>
      <c r="DA6" s="337"/>
      <c r="DB6" s="337"/>
      <c r="DC6" s="337"/>
      <c r="DD6" s="337"/>
      <c r="DE6" s="337"/>
      <c r="DF6" s="337"/>
      <c r="DG6" s="337"/>
      <c r="DH6" s="337"/>
      <c r="DI6" s="337"/>
      <c r="DJ6" s="337"/>
      <c r="DK6" s="337"/>
      <c r="DL6" s="337"/>
      <c r="DM6" s="337"/>
      <c r="DN6" s="337"/>
      <c r="DO6" s="337"/>
      <c r="DP6" s="337"/>
      <c r="DQ6" s="337"/>
      <c r="DR6" s="337"/>
      <c r="DS6" s="337"/>
      <c r="DT6" s="337"/>
      <c r="DU6" s="337"/>
      <c r="DV6" s="337"/>
      <c r="DW6" s="337"/>
      <c r="DX6" s="337"/>
      <c r="DY6" s="337"/>
      <c r="DZ6" s="337"/>
      <c r="EA6" s="337"/>
      <c r="EB6" s="337"/>
      <c r="EC6" s="337"/>
      <c r="ED6" s="337"/>
      <c r="EE6" s="337"/>
      <c r="EF6" s="337"/>
      <c r="EG6" s="337"/>
      <c r="EH6" s="337"/>
      <c r="EI6" s="337"/>
      <c r="EJ6" s="337"/>
      <c r="EK6" s="337"/>
      <c r="EL6" s="337"/>
      <c r="EM6" s="337"/>
      <c r="EN6" s="337"/>
      <c r="EO6" s="337"/>
      <c r="EP6" s="337"/>
      <c r="EQ6" s="337"/>
      <c r="ER6" s="337"/>
      <c r="ES6" s="337"/>
      <c r="ET6" s="337"/>
      <c r="EU6" s="337"/>
      <c r="EV6" s="337"/>
      <c r="EW6" s="337"/>
      <c r="EX6" s="337"/>
      <c r="EY6" s="337"/>
      <c r="EZ6" s="337"/>
      <c r="FA6" s="337"/>
      <c r="FB6" s="337"/>
      <c r="FC6" s="337"/>
      <c r="FD6" s="337"/>
      <c r="FE6" s="337"/>
      <c r="FF6" s="337"/>
      <c r="FG6" s="337"/>
      <c r="FH6" s="337"/>
      <c r="FI6" s="337"/>
      <c r="FJ6" s="337"/>
      <c r="FK6" s="337"/>
      <c r="FL6" s="337"/>
      <c r="FM6" s="337"/>
      <c r="FN6" s="337"/>
      <c r="FO6" s="337"/>
      <c r="FP6" s="337"/>
      <c r="FQ6" s="337"/>
      <c r="FR6" s="337"/>
      <c r="FS6" s="337"/>
      <c r="FT6" s="337"/>
      <c r="FU6" s="337"/>
      <c r="FV6" s="337"/>
      <c r="FW6" s="337"/>
      <c r="FX6" s="337"/>
      <c r="FY6" s="337"/>
      <c r="FZ6" s="337"/>
      <c r="GA6" s="337"/>
      <c r="GB6" s="337"/>
      <c r="GC6" s="337"/>
      <c r="GD6" s="337"/>
      <c r="GE6" s="337"/>
      <c r="GF6" s="337"/>
      <c r="GG6" s="337"/>
      <c r="GH6" s="337"/>
      <c r="GI6" s="337"/>
      <c r="GJ6" s="337"/>
      <c r="GK6" s="337"/>
      <c r="GL6" s="337"/>
      <c r="GM6" s="337"/>
      <c r="GN6" s="337"/>
      <c r="GO6" s="337"/>
      <c r="GP6" s="337"/>
      <c r="GQ6" s="337"/>
      <c r="GR6" s="337"/>
      <c r="GS6" s="337"/>
      <c r="GT6" s="337"/>
      <c r="GU6" s="337"/>
      <c r="GV6" s="337"/>
      <c r="GW6" s="337"/>
      <c r="GX6" s="337"/>
      <c r="GY6" s="337"/>
      <c r="GZ6" s="337"/>
      <c r="HA6" s="337"/>
      <c r="HB6" s="337"/>
      <c r="HC6" s="337"/>
      <c r="HD6" s="337"/>
      <c r="HE6" s="337"/>
      <c r="HF6" s="337"/>
      <c r="HG6" s="337"/>
      <c r="HH6" s="337"/>
      <c r="HI6" s="337"/>
      <c r="HJ6" s="337"/>
      <c r="HK6" s="337"/>
      <c r="HL6" s="337"/>
      <c r="HM6" s="337"/>
      <c r="HN6" s="337"/>
      <c r="HO6" s="337"/>
      <c r="HP6" s="337"/>
      <c r="HQ6" s="337"/>
      <c r="HR6" s="337"/>
      <c r="HS6" s="337"/>
      <c r="HT6" s="337"/>
      <c r="HU6" s="337"/>
      <c r="HV6" s="337"/>
      <c r="HW6" s="337"/>
      <c r="HX6" s="337"/>
      <c r="HY6" s="337"/>
      <c r="HZ6" s="337"/>
      <c r="IA6" s="337"/>
      <c r="IB6" s="337"/>
      <c r="IC6" s="337"/>
      <c r="ID6" s="337"/>
      <c r="IE6" s="337"/>
      <c r="IF6" s="337"/>
      <c r="IG6" s="337"/>
      <c r="IH6" s="337"/>
      <c r="II6" s="337"/>
      <c r="IJ6" s="337"/>
      <c r="IK6" s="337"/>
      <c r="IL6" s="337"/>
      <c r="IM6" s="337"/>
      <c r="IN6" s="337"/>
      <c r="IO6" s="337"/>
      <c r="IP6" s="337"/>
      <c r="IQ6" s="337"/>
      <c r="IR6" s="337"/>
      <c r="IS6" s="337"/>
      <c r="IT6" s="337"/>
      <c r="IU6" s="337"/>
      <c r="IV6" s="337"/>
      <c r="IW6" s="337"/>
      <c r="IX6" s="337"/>
      <c r="IY6" s="337"/>
      <c r="IZ6" s="337"/>
      <c r="JA6" s="337"/>
      <c r="JB6" s="337"/>
      <c r="JC6" s="337"/>
      <c r="JD6" s="337"/>
      <c r="JE6" s="337"/>
      <c r="JF6" s="337"/>
      <c r="JG6" s="337"/>
      <c r="JH6" s="337"/>
      <c r="JI6" s="337"/>
      <c r="JJ6" s="337"/>
      <c r="JK6" s="337"/>
      <c r="JL6" s="337"/>
      <c r="JM6" s="337"/>
      <c r="JN6" s="337"/>
      <c r="JO6" s="337"/>
      <c r="JP6" s="337"/>
      <c r="JQ6" s="337"/>
      <c r="JR6" s="337"/>
      <c r="JS6" s="337"/>
      <c r="JT6" s="337"/>
      <c r="JU6" s="337"/>
      <c r="JV6" s="337"/>
      <c r="JW6" s="337"/>
      <c r="JX6" s="337"/>
      <c r="JY6" s="337"/>
      <c r="JZ6" s="337"/>
      <c r="KA6" s="337"/>
      <c r="KB6" s="337"/>
      <c r="KC6" s="337"/>
      <c r="KD6" s="337"/>
      <c r="KE6" s="337"/>
      <c r="KF6" s="337"/>
      <c r="KG6" s="337"/>
      <c r="KH6" s="337"/>
      <c r="KI6" s="337"/>
      <c r="KJ6" s="337"/>
      <c r="KK6" s="337"/>
      <c r="KL6" s="337"/>
      <c r="KM6" s="337"/>
      <c r="KN6" s="337"/>
      <c r="KO6" s="337"/>
      <c r="KP6" s="337"/>
      <c r="KQ6" s="337"/>
      <c r="KR6" s="337"/>
      <c r="KS6" s="337"/>
      <c r="KT6" s="337"/>
      <c r="KU6" s="337"/>
      <c r="KV6" s="337"/>
      <c r="KW6" s="337"/>
      <c r="KX6" s="337"/>
      <c r="KY6" s="337"/>
      <c r="KZ6" s="337"/>
      <c r="LA6" s="337"/>
      <c r="LB6" s="337"/>
      <c r="LC6" s="337"/>
      <c r="LD6" s="337"/>
      <c r="LE6" s="337"/>
      <c r="LF6" s="337"/>
      <c r="LG6" s="337"/>
      <c r="LH6" s="337"/>
      <c r="LI6" s="337"/>
      <c r="LJ6" s="337"/>
      <c r="LK6" s="337"/>
      <c r="LL6" s="337"/>
      <c r="LM6" s="337"/>
      <c r="LN6" s="337"/>
      <c r="LO6" s="337"/>
      <c r="LP6" s="337"/>
      <c r="LQ6" s="337"/>
      <c r="LR6" s="337"/>
      <c r="LS6" s="337"/>
      <c r="LT6" s="337"/>
      <c r="LU6" s="337"/>
      <c r="LV6" s="337"/>
      <c r="LW6" s="337"/>
      <c r="LX6" s="337"/>
      <c r="LY6" s="337"/>
      <c r="LZ6" s="337"/>
      <c r="MA6" s="337"/>
      <c r="MB6" s="337"/>
      <c r="MC6" s="337"/>
      <c r="MD6" s="337"/>
      <c r="ME6" s="337"/>
      <c r="MF6" s="337"/>
      <c r="MG6" s="337"/>
      <c r="MH6" s="337"/>
      <c r="MI6" s="337"/>
      <c r="MJ6" s="337"/>
      <c r="MK6" s="337"/>
      <c r="ML6" s="337"/>
      <c r="MM6" s="337"/>
      <c r="MN6" s="337"/>
      <c r="MO6" s="337"/>
      <c r="MP6" s="337"/>
      <c r="MQ6" s="337"/>
      <c r="MR6" s="337"/>
      <c r="MS6" s="337"/>
      <c r="MT6" s="337"/>
      <c r="MU6" s="337"/>
      <c r="MV6" s="337"/>
      <c r="MW6" s="337"/>
      <c r="MX6" s="337"/>
      <c r="MY6" s="337"/>
      <c r="MZ6" s="337"/>
      <c r="NA6" s="337"/>
      <c r="NB6" s="337"/>
      <c r="NC6" s="337"/>
      <c r="ND6" s="337"/>
      <c r="NE6" s="337"/>
      <c r="NF6" s="337"/>
      <c r="NG6" s="337"/>
      <c r="NH6" s="337"/>
      <c r="NI6" s="337"/>
      <c r="NJ6" s="337"/>
      <c r="NK6" s="337"/>
      <c r="NL6" s="337"/>
      <c r="NM6" s="337"/>
      <c r="NN6" s="337"/>
      <c r="NO6" s="337"/>
      <c r="NP6" s="337"/>
      <c r="NQ6" s="337"/>
      <c r="NR6" s="337"/>
      <c r="NS6" s="337"/>
      <c r="NT6" s="337"/>
      <c r="NU6" s="337"/>
      <c r="NV6" s="337"/>
      <c r="NW6" s="337"/>
      <c r="NX6" s="337"/>
      <c r="NY6" s="337"/>
      <c r="NZ6" s="337"/>
      <c r="OA6" s="337"/>
      <c r="OB6" s="337"/>
      <c r="OC6" s="337"/>
      <c r="OD6" s="337"/>
      <c r="OE6" s="337"/>
      <c r="OF6" s="337"/>
      <c r="OG6" s="337"/>
      <c r="OH6" s="337"/>
      <c r="OI6" s="337"/>
      <c r="OJ6" s="337"/>
      <c r="OK6" s="337"/>
      <c r="OL6" s="337"/>
      <c r="OM6" s="337"/>
      <c r="ON6" s="337"/>
      <c r="OO6" s="337"/>
      <c r="OP6" s="337"/>
      <c r="OQ6" s="337"/>
      <c r="OR6" s="337"/>
      <c r="OS6" s="337"/>
      <c r="OT6" s="337"/>
      <c r="OU6" s="337"/>
      <c r="OV6" s="337"/>
      <c r="OW6" s="337"/>
      <c r="OX6" s="337"/>
      <c r="OY6" s="337"/>
      <c r="OZ6" s="337"/>
      <c r="PA6" s="337"/>
      <c r="PB6" s="337"/>
      <c r="PC6" s="337"/>
      <c r="PD6" s="337"/>
      <c r="PE6" s="337"/>
      <c r="PF6" s="337"/>
      <c r="PG6" s="337"/>
      <c r="PH6" s="337"/>
      <c r="PI6" s="337"/>
      <c r="PJ6" s="337"/>
      <c r="PK6" s="337"/>
      <c r="PL6" s="337"/>
      <c r="PM6" s="337"/>
      <c r="PN6" s="337"/>
      <c r="PO6" s="337"/>
      <c r="PP6" s="337"/>
      <c r="PQ6" s="337"/>
      <c r="PR6" s="337"/>
      <c r="PS6" s="337"/>
      <c r="PT6" s="337"/>
      <c r="PU6" s="337"/>
      <c r="PV6" s="337"/>
      <c r="PW6" s="337"/>
      <c r="PX6" s="337"/>
      <c r="PY6" s="337"/>
      <c r="PZ6" s="337"/>
      <c r="QA6" s="337"/>
      <c r="QB6" s="337"/>
      <c r="QC6" s="337"/>
      <c r="QD6" s="337"/>
      <c r="QE6" s="337"/>
      <c r="QF6" s="337"/>
      <c r="QG6" s="337"/>
      <c r="QH6" s="337"/>
      <c r="QI6" s="337"/>
      <c r="QJ6" s="337"/>
      <c r="QK6" s="337"/>
      <c r="QL6" s="337"/>
      <c r="QM6" s="337"/>
      <c r="QN6" s="337"/>
      <c r="QO6" s="337"/>
      <c r="QP6" s="337"/>
      <c r="QQ6" s="337"/>
      <c r="QR6" s="337"/>
      <c r="QS6" s="337"/>
      <c r="QT6" s="337"/>
      <c r="QU6" s="337"/>
      <c r="QV6" s="337"/>
      <c r="QW6" s="337"/>
      <c r="QX6" s="337"/>
      <c r="QY6" s="337"/>
      <c r="QZ6" s="337"/>
      <c r="RA6" s="337"/>
      <c r="RB6" s="337"/>
      <c r="RC6" s="337"/>
      <c r="RD6" s="337"/>
      <c r="RE6" s="337"/>
      <c r="RF6" s="337"/>
      <c r="RG6" s="337"/>
      <c r="RH6" s="337"/>
      <c r="RI6" s="337"/>
      <c r="RJ6" s="337"/>
      <c r="RK6" s="337"/>
      <c r="RL6" s="337"/>
      <c r="RM6" s="337"/>
      <c r="RN6" s="337"/>
      <c r="RO6" s="337"/>
      <c r="RP6" s="337"/>
      <c r="RQ6" s="337"/>
      <c r="RR6" s="337"/>
      <c r="RS6" s="337"/>
      <c r="RT6" s="337"/>
      <c r="RU6" s="337"/>
      <c r="RV6" s="337"/>
      <c r="RW6" s="337"/>
      <c r="RX6" s="337"/>
      <c r="RY6" s="337"/>
      <c r="RZ6" s="337"/>
      <c r="SA6" s="337"/>
      <c r="SB6" s="337"/>
      <c r="SC6" s="337"/>
      <c r="SD6" s="337"/>
      <c r="SE6" s="337"/>
      <c r="SF6" s="337"/>
      <c r="SG6" s="337"/>
      <c r="SH6" s="337"/>
      <c r="SI6" s="337"/>
      <c r="SJ6" s="337"/>
      <c r="SK6" s="337"/>
      <c r="SL6" s="337"/>
      <c r="SM6" s="337"/>
      <c r="SN6" s="337"/>
      <c r="SO6" s="337"/>
      <c r="SP6" s="337"/>
      <c r="SQ6" s="337"/>
      <c r="SR6" s="337"/>
      <c r="SS6" s="337"/>
      <c r="ST6" s="337"/>
      <c r="SU6" s="337"/>
      <c r="SV6" s="337"/>
      <c r="SW6" s="337"/>
      <c r="SX6" s="337"/>
      <c r="SY6" s="337"/>
      <c r="SZ6" s="337"/>
      <c r="TA6" s="337"/>
      <c r="TB6" s="337"/>
      <c r="TC6" s="337"/>
      <c r="TD6" s="337"/>
      <c r="TE6" s="337"/>
      <c r="TF6" s="337"/>
      <c r="TG6" s="337"/>
      <c r="TH6" s="337"/>
      <c r="TI6" s="337"/>
      <c r="TJ6" s="337"/>
      <c r="TK6" s="337"/>
      <c r="TL6" s="337"/>
      <c r="TM6" s="337"/>
      <c r="TN6" s="337"/>
      <c r="TO6" s="337"/>
      <c r="TP6" s="337"/>
      <c r="TQ6" s="337"/>
      <c r="TR6" s="337"/>
      <c r="TS6" s="337"/>
      <c r="TT6" s="337"/>
      <c r="TU6" s="337"/>
      <c r="TV6" s="337"/>
      <c r="TW6" s="337"/>
      <c r="TX6" s="337"/>
      <c r="TY6" s="337"/>
      <c r="TZ6" s="337"/>
      <c r="UA6" s="337"/>
      <c r="UB6" s="337"/>
      <c r="UC6" s="337"/>
      <c r="UD6" s="337"/>
      <c r="UE6" s="337"/>
      <c r="UF6" s="337"/>
      <c r="UG6" s="337"/>
      <c r="UH6" s="337"/>
      <c r="UI6" s="337"/>
      <c r="UJ6" s="337"/>
      <c r="UK6" s="337"/>
      <c r="UL6" s="337"/>
      <c r="UM6" s="337"/>
      <c r="UN6" s="337"/>
      <c r="UO6" s="337"/>
      <c r="UP6" s="337"/>
      <c r="UQ6" s="337"/>
      <c r="UR6" s="337"/>
      <c r="US6" s="337"/>
      <c r="UT6" s="337"/>
      <c r="UU6" s="337"/>
      <c r="UV6" s="337"/>
      <c r="UW6" s="337"/>
      <c r="UX6" s="337"/>
      <c r="UY6" s="337"/>
      <c r="UZ6" s="337"/>
      <c r="VA6" s="337"/>
      <c r="VB6" s="337"/>
      <c r="VC6" s="337"/>
      <c r="VD6" s="337"/>
      <c r="VE6" s="337"/>
      <c r="VF6" s="337"/>
      <c r="VG6" s="337"/>
      <c r="VH6" s="337"/>
      <c r="VI6" s="337"/>
      <c r="VJ6" s="337"/>
      <c r="VK6" s="337"/>
      <c r="VL6" s="337"/>
      <c r="VM6" s="337"/>
      <c r="VN6" s="337"/>
      <c r="VO6" s="337"/>
      <c r="VP6" s="337"/>
      <c r="VQ6" s="337"/>
      <c r="VR6" s="337"/>
      <c r="VS6" s="337"/>
      <c r="VT6" s="337"/>
      <c r="VU6" s="337"/>
      <c r="VV6" s="337"/>
      <c r="VW6" s="337"/>
      <c r="VX6" s="337"/>
      <c r="VY6" s="337"/>
      <c r="VZ6" s="337"/>
      <c r="WA6" s="337"/>
      <c r="WB6" s="337"/>
      <c r="WC6" s="337"/>
      <c r="WD6" s="337"/>
      <c r="WE6" s="337"/>
      <c r="WF6" s="337"/>
      <c r="WG6" s="337"/>
      <c r="WH6" s="337"/>
      <c r="WI6" s="337"/>
      <c r="WJ6" s="337"/>
      <c r="WK6" s="337"/>
      <c r="WL6" s="337"/>
      <c r="WM6" s="337"/>
      <c r="WN6" s="337"/>
      <c r="WO6" s="337"/>
      <c r="WP6" s="337"/>
      <c r="WQ6" s="337"/>
      <c r="WR6" s="337"/>
      <c r="WS6" s="337"/>
      <c r="WT6" s="337"/>
      <c r="WU6" s="337"/>
      <c r="WV6" s="337"/>
      <c r="WW6" s="337"/>
      <c r="WX6" s="337"/>
      <c r="WY6" s="337"/>
      <c r="WZ6" s="337"/>
      <c r="XA6" s="337"/>
      <c r="XB6" s="337"/>
      <c r="XC6" s="337"/>
      <c r="XD6" s="337"/>
      <c r="XE6" s="337"/>
      <c r="XF6" s="337"/>
      <c r="XG6" s="337"/>
      <c r="XH6" s="337"/>
      <c r="XI6" s="337"/>
      <c r="XJ6" s="337"/>
      <c r="XK6" s="337"/>
      <c r="XL6" s="337"/>
      <c r="XM6" s="337"/>
      <c r="XN6" s="337"/>
      <c r="XO6" s="337"/>
      <c r="XP6" s="337"/>
      <c r="XQ6" s="337"/>
      <c r="XR6" s="337"/>
      <c r="XS6" s="337"/>
      <c r="XT6" s="337"/>
      <c r="XU6" s="337"/>
      <c r="XV6" s="337"/>
      <c r="XW6" s="337"/>
      <c r="XX6" s="337"/>
      <c r="XY6" s="337"/>
      <c r="XZ6" s="337"/>
      <c r="YA6" s="337"/>
      <c r="YB6" s="337"/>
      <c r="YC6" s="337"/>
      <c r="YD6" s="337"/>
      <c r="YE6" s="337"/>
      <c r="YF6" s="337"/>
      <c r="YG6" s="337"/>
      <c r="YH6" s="337"/>
      <c r="YI6" s="337"/>
      <c r="YJ6" s="337"/>
      <c r="YK6" s="337"/>
      <c r="YL6" s="337"/>
      <c r="YM6" s="337"/>
      <c r="YN6" s="337"/>
      <c r="YO6" s="337"/>
      <c r="YP6" s="337"/>
      <c r="YQ6" s="337"/>
      <c r="YR6" s="337"/>
      <c r="YS6" s="337"/>
      <c r="YT6" s="337"/>
      <c r="YU6" s="337"/>
      <c r="YV6" s="337"/>
      <c r="YW6" s="337"/>
      <c r="YX6" s="337"/>
      <c r="YY6" s="337"/>
      <c r="YZ6" s="337"/>
      <c r="ZA6" s="337"/>
      <c r="ZB6" s="337"/>
      <c r="ZC6" s="337"/>
      <c r="ZD6" s="337"/>
      <c r="ZE6" s="337"/>
      <c r="ZF6" s="337"/>
      <c r="ZG6" s="337"/>
      <c r="ZH6" s="337"/>
      <c r="ZI6" s="337"/>
      <c r="ZJ6" s="337"/>
      <c r="ZK6" s="337"/>
      <c r="ZL6" s="337"/>
      <c r="ZM6" s="337"/>
      <c r="ZN6" s="337"/>
      <c r="ZO6" s="337"/>
      <c r="ZP6" s="337"/>
      <c r="ZQ6" s="337"/>
      <c r="ZR6" s="337"/>
      <c r="ZS6" s="337"/>
      <c r="ZT6" s="337"/>
      <c r="ZU6" s="337"/>
      <c r="ZV6" s="337"/>
      <c r="ZW6" s="337"/>
      <c r="ZX6" s="337"/>
      <c r="ZY6" s="337"/>
      <c r="ZZ6" s="337"/>
      <c r="AAA6" s="337"/>
      <c r="AAB6" s="337"/>
      <c r="AAC6" s="337"/>
      <c r="AAD6" s="337"/>
      <c r="AAE6" s="337"/>
      <c r="AAF6" s="337"/>
      <c r="AAG6" s="337"/>
      <c r="AAH6" s="337"/>
      <c r="AAI6" s="337"/>
      <c r="AAJ6" s="337"/>
      <c r="AAK6" s="337"/>
      <c r="AAL6" s="337"/>
      <c r="AAM6" s="337"/>
      <c r="AAN6" s="337"/>
      <c r="AAO6" s="337"/>
      <c r="AAP6" s="337"/>
      <c r="AAQ6" s="337"/>
      <c r="AAR6" s="337"/>
      <c r="AAS6" s="337"/>
      <c r="AAT6" s="337"/>
      <c r="AAU6" s="337"/>
      <c r="AAV6" s="337"/>
      <c r="AAW6" s="337"/>
      <c r="AAX6" s="337"/>
      <c r="AAY6" s="337"/>
      <c r="AAZ6" s="337"/>
      <c r="ABA6" s="337"/>
      <c r="ABB6" s="337"/>
      <c r="ABC6" s="337"/>
      <c r="ABD6" s="337"/>
      <c r="ABE6" s="337"/>
      <c r="ABF6" s="337"/>
      <c r="ABG6" s="337"/>
      <c r="ABH6" s="337"/>
      <c r="ABI6" s="337"/>
      <c r="ABJ6" s="337"/>
      <c r="ABK6" s="337"/>
      <c r="ABL6" s="337"/>
      <c r="ABM6" s="337"/>
      <c r="ABN6" s="337"/>
      <c r="ABO6" s="337"/>
      <c r="ABP6" s="337"/>
      <c r="ABQ6" s="337"/>
      <c r="ABR6" s="337"/>
      <c r="ABS6" s="337"/>
      <c r="ABT6" s="337"/>
      <c r="ABU6" s="337"/>
      <c r="ABV6" s="337"/>
      <c r="ABW6" s="337"/>
      <c r="ABX6" s="337"/>
      <c r="ABY6" s="337"/>
      <c r="ABZ6" s="337"/>
      <c r="ACA6" s="337"/>
      <c r="ACB6" s="337"/>
      <c r="ACC6" s="337"/>
      <c r="ACD6" s="337"/>
      <c r="ACE6" s="337"/>
      <c r="ACF6" s="337"/>
      <c r="ACG6" s="337"/>
      <c r="ACH6" s="337"/>
      <c r="ACI6" s="337"/>
      <c r="ACJ6" s="337"/>
      <c r="ACK6" s="337"/>
      <c r="ACL6" s="337"/>
      <c r="ACM6" s="337"/>
      <c r="ACN6" s="337"/>
      <c r="ACO6" s="337"/>
      <c r="ACP6" s="337"/>
      <c r="ACQ6" s="337"/>
      <c r="ACR6" s="337"/>
      <c r="ACS6" s="337"/>
      <c r="ACT6" s="337"/>
      <c r="ACU6" s="337"/>
      <c r="ACV6" s="337"/>
      <c r="ACW6" s="337"/>
      <c r="ACX6" s="337"/>
      <c r="ACY6" s="337"/>
      <c r="ACZ6" s="337"/>
      <c r="ADA6" s="337"/>
      <c r="ADB6" s="337"/>
      <c r="ADC6" s="337"/>
      <c r="ADD6" s="337"/>
      <c r="ADE6" s="337"/>
      <c r="ADF6" s="337"/>
      <c r="ADG6" s="337"/>
      <c r="ADH6" s="337"/>
      <c r="ADI6" s="337"/>
      <c r="ADJ6" s="337"/>
      <c r="ADK6" s="337"/>
      <c r="ADL6" s="337"/>
      <c r="ADM6" s="337"/>
      <c r="ADN6" s="337"/>
      <c r="ADO6" s="337"/>
      <c r="ADP6" s="337"/>
      <c r="ADQ6" s="337"/>
      <c r="ADR6" s="337"/>
      <c r="ADS6" s="337"/>
      <c r="ADT6" s="337"/>
      <c r="ADU6" s="337"/>
      <c r="ADV6" s="337"/>
      <c r="ADW6" s="337"/>
      <c r="ADX6" s="337"/>
      <c r="ADY6" s="337"/>
      <c r="ADZ6" s="337"/>
      <c r="AEA6" s="337"/>
      <c r="AEB6" s="337"/>
      <c r="AEC6" s="337"/>
      <c r="AED6" s="337"/>
      <c r="AEE6" s="337"/>
      <c r="AEF6" s="337"/>
      <c r="AEG6" s="337"/>
      <c r="AEH6" s="337"/>
      <c r="AEI6" s="337"/>
      <c r="AEJ6" s="337"/>
      <c r="AEK6" s="337"/>
      <c r="AEL6" s="337"/>
      <c r="AEM6" s="337"/>
      <c r="AEN6" s="337"/>
      <c r="AEO6" s="337"/>
      <c r="AEP6" s="337"/>
      <c r="AEQ6" s="337"/>
      <c r="AER6" s="337"/>
      <c r="AES6" s="337"/>
      <c r="AET6" s="337"/>
      <c r="AEU6" s="337"/>
      <c r="AEV6" s="337"/>
      <c r="AEW6" s="337"/>
      <c r="AEX6" s="337"/>
      <c r="AEY6" s="337"/>
      <c r="AEZ6" s="337"/>
      <c r="AFA6" s="337"/>
      <c r="AFB6" s="337"/>
      <c r="AFC6" s="337"/>
      <c r="AFD6" s="337"/>
      <c r="AFE6" s="337"/>
      <c r="AFF6" s="337"/>
      <c r="AFG6" s="337"/>
      <c r="AFH6" s="337"/>
      <c r="AFI6" s="337"/>
      <c r="AFJ6" s="337"/>
      <c r="AFK6" s="337"/>
      <c r="AFL6" s="337"/>
      <c r="AFM6" s="337"/>
      <c r="AFN6" s="337"/>
      <c r="AFO6" s="337"/>
      <c r="AFP6" s="337"/>
      <c r="AFQ6" s="337"/>
      <c r="AFR6" s="337"/>
      <c r="AFS6" s="337"/>
      <c r="AFT6" s="337"/>
      <c r="AFU6" s="337"/>
      <c r="AFV6" s="337"/>
      <c r="AFW6" s="337"/>
      <c r="AFX6" s="337"/>
      <c r="AFY6" s="337"/>
      <c r="AFZ6" s="337"/>
      <c r="AGA6" s="337"/>
      <c r="AGB6" s="337"/>
      <c r="AGC6" s="337"/>
      <c r="AGD6" s="337"/>
      <c r="AGE6" s="337"/>
      <c r="AGF6" s="337"/>
      <c r="AGG6" s="337"/>
      <c r="AGH6" s="337"/>
      <c r="AGI6" s="337"/>
      <c r="AGJ6" s="337"/>
      <c r="AGK6" s="337"/>
      <c r="AGL6" s="337"/>
      <c r="AGM6" s="337"/>
      <c r="AGN6" s="337"/>
      <c r="AGO6" s="337"/>
      <c r="AGP6" s="337"/>
      <c r="AGQ6" s="337"/>
      <c r="AGR6" s="337"/>
      <c r="AGS6" s="337"/>
      <c r="AGT6" s="337"/>
      <c r="AGU6" s="337"/>
      <c r="AGV6" s="337"/>
      <c r="AGW6" s="337"/>
      <c r="AGX6" s="337"/>
      <c r="AGY6" s="337"/>
      <c r="AGZ6" s="337"/>
      <c r="AHA6" s="337"/>
      <c r="AHB6" s="337"/>
      <c r="AHC6" s="337"/>
      <c r="AHD6" s="337"/>
      <c r="AHE6" s="337"/>
      <c r="AHF6" s="337"/>
      <c r="AHG6" s="337"/>
      <c r="AHH6" s="337"/>
      <c r="AHI6" s="337"/>
      <c r="AHJ6" s="337"/>
      <c r="AHK6" s="337"/>
      <c r="AHL6" s="337"/>
      <c r="AHM6" s="337"/>
      <c r="AHN6" s="337"/>
      <c r="AHO6" s="337"/>
      <c r="AHP6" s="337"/>
      <c r="AHQ6" s="337"/>
      <c r="AHR6" s="337"/>
      <c r="AHS6" s="337"/>
      <c r="AHT6" s="337"/>
      <c r="AHU6" s="337"/>
      <c r="AHV6" s="337"/>
      <c r="AHW6" s="337"/>
      <c r="AHX6" s="337"/>
      <c r="AHY6" s="337"/>
      <c r="AHZ6" s="337"/>
      <c r="AIA6" s="337"/>
      <c r="AIB6" s="337"/>
      <c r="AIC6" s="337"/>
      <c r="AID6" s="337"/>
      <c r="AIE6" s="337"/>
      <c r="AIF6" s="337"/>
      <c r="AIG6" s="337"/>
      <c r="AIH6" s="337"/>
      <c r="AII6" s="337"/>
      <c r="AIJ6" s="337"/>
      <c r="AIK6" s="337"/>
      <c r="AIL6" s="337"/>
      <c r="AIM6" s="337"/>
      <c r="AIN6" s="337"/>
      <c r="AIO6" s="337"/>
      <c r="AIP6" s="337"/>
      <c r="AIQ6" s="337"/>
      <c r="AIR6" s="337"/>
      <c r="AIS6" s="337"/>
      <c r="AIT6" s="337"/>
      <c r="AIU6" s="337"/>
      <c r="AIV6" s="337"/>
      <c r="AIW6" s="337"/>
      <c r="AIX6" s="337"/>
      <c r="AIY6" s="337"/>
      <c r="AIZ6" s="337"/>
      <c r="AJA6" s="337"/>
      <c r="AJB6" s="337"/>
      <c r="AJC6" s="337"/>
      <c r="AJD6" s="337"/>
      <c r="AJE6" s="337"/>
      <c r="AJF6" s="337"/>
      <c r="AJG6" s="337"/>
      <c r="AJH6" s="337"/>
      <c r="AJI6" s="337"/>
      <c r="AJJ6" s="337"/>
      <c r="AJK6" s="337"/>
      <c r="AJL6" s="337"/>
      <c r="AJM6" s="337"/>
      <c r="AJN6" s="337"/>
      <c r="AJO6" s="337"/>
      <c r="AJP6" s="337"/>
      <c r="AJQ6" s="337"/>
      <c r="AJR6" s="337"/>
      <c r="AJS6" s="337"/>
      <c r="AJT6" s="337"/>
      <c r="AJU6" s="337"/>
      <c r="AJV6" s="337"/>
      <c r="AJW6" s="337"/>
      <c r="AJX6" s="337"/>
      <c r="AJY6" s="337"/>
      <c r="AJZ6" s="337"/>
      <c r="AKA6" s="337"/>
      <c r="AKB6" s="337"/>
      <c r="AKC6" s="337"/>
      <c r="AKD6" s="337"/>
      <c r="AKE6" s="337"/>
      <c r="AKF6" s="337"/>
      <c r="AKG6" s="337"/>
      <c r="AKH6" s="337"/>
      <c r="AKI6" s="337"/>
      <c r="AKJ6" s="337"/>
      <c r="AKK6" s="337"/>
      <c r="AKL6" s="337"/>
      <c r="AKM6" s="337"/>
      <c r="AKN6" s="337"/>
      <c r="AKO6" s="337"/>
      <c r="AKP6" s="337"/>
      <c r="AKQ6" s="337"/>
      <c r="AKR6" s="337"/>
      <c r="AKS6" s="337"/>
      <c r="AKT6" s="337"/>
      <c r="AKU6" s="337"/>
      <c r="AKV6" s="337"/>
      <c r="AKW6" s="337"/>
      <c r="AKX6" s="337"/>
      <c r="AKY6" s="337"/>
      <c r="AKZ6" s="337"/>
      <c r="ALA6" s="337"/>
      <c r="ALB6" s="337"/>
      <c r="ALC6" s="337"/>
      <c r="ALD6" s="337"/>
      <c r="ALE6" s="337"/>
      <c r="ALF6" s="337"/>
      <c r="ALG6" s="337"/>
      <c r="ALH6" s="337"/>
      <c r="ALI6" s="337"/>
      <c r="ALJ6" s="337"/>
      <c r="ALK6" s="337"/>
      <c r="ALL6" s="337"/>
      <c r="ALM6" s="337"/>
      <c r="ALN6" s="337"/>
      <c r="ALO6" s="337"/>
      <c r="ALP6" s="337"/>
      <c r="ALQ6" s="337"/>
      <c r="ALR6" s="337"/>
      <c r="ALS6" s="337"/>
      <c r="ALT6" s="337"/>
      <c r="ALU6" s="337"/>
      <c r="ALV6" s="337"/>
      <c r="ALW6" s="337"/>
      <c r="ALX6" s="337"/>
      <c r="ALY6" s="337"/>
      <c r="ALZ6" s="337"/>
      <c r="AMA6" s="337"/>
      <c r="AMB6" s="337"/>
      <c r="AMC6" s="337"/>
      <c r="AMD6" s="337"/>
      <c r="AME6" s="337"/>
      <c r="AMF6" s="337"/>
      <c r="AMG6" s="337"/>
      <c r="AMH6" s="337"/>
      <c r="AMI6" s="337"/>
      <c r="AMJ6" s="337"/>
      <c r="AMK6" s="337"/>
      <c r="AML6" s="337"/>
      <c r="AMM6" s="337"/>
      <c r="AMN6" s="337"/>
      <c r="AMO6" s="337"/>
      <c r="AMP6" s="337"/>
      <c r="AMQ6" s="337"/>
      <c r="AMR6" s="337"/>
      <c r="AMS6" s="337"/>
      <c r="AMT6" s="337"/>
      <c r="AMU6" s="337"/>
      <c r="AMV6" s="337"/>
      <c r="AMW6" s="337"/>
      <c r="AMX6" s="337"/>
      <c r="AMY6" s="337"/>
      <c r="AMZ6" s="337"/>
      <c r="ANA6" s="337"/>
      <c r="ANB6" s="337"/>
      <c r="ANC6" s="337"/>
      <c r="AND6" s="337"/>
      <c r="ANE6" s="337"/>
      <c r="ANF6" s="337"/>
      <c r="ANG6" s="337"/>
      <c r="ANH6" s="337"/>
      <c r="ANI6" s="337"/>
      <c r="ANJ6" s="337"/>
      <c r="ANK6" s="337"/>
      <c r="ANL6" s="337"/>
      <c r="ANM6" s="337"/>
      <c r="ANN6" s="337"/>
      <c r="ANO6" s="337"/>
      <c r="ANP6" s="337"/>
      <c r="ANQ6" s="337"/>
      <c r="ANR6" s="337"/>
      <c r="ANS6" s="337"/>
      <c r="ANT6" s="337"/>
      <c r="ANU6" s="337"/>
      <c r="ANV6" s="337"/>
      <c r="ANW6" s="337"/>
      <c r="ANX6" s="337"/>
      <c r="ANY6" s="337"/>
      <c r="ANZ6" s="337"/>
      <c r="AOA6" s="337"/>
      <c r="AOB6" s="337"/>
      <c r="AOC6" s="337"/>
      <c r="AOD6" s="337"/>
      <c r="AOE6" s="337"/>
      <c r="AOF6" s="337"/>
      <c r="AOG6" s="337"/>
      <c r="AOH6" s="337"/>
      <c r="AOI6" s="337"/>
      <c r="AOJ6" s="337"/>
      <c r="AOK6" s="337"/>
      <c r="AOL6" s="337"/>
      <c r="AOM6" s="337"/>
      <c r="AON6" s="337"/>
      <c r="AOO6" s="337"/>
      <c r="AOP6" s="337"/>
      <c r="AOQ6" s="337"/>
      <c r="AOR6" s="337"/>
      <c r="AOS6" s="337"/>
      <c r="AOT6" s="337"/>
      <c r="AOU6" s="337"/>
      <c r="AOV6" s="337"/>
      <c r="AOW6" s="337"/>
      <c r="AOX6" s="337"/>
      <c r="AOY6" s="337"/>
      <c r="AOZ6" s="337"/>
      <c r="APA6" s="337"/>
      <c r="APB6" s="337"/>
      <c r="APC6" s="337"/>
      <c r="APD6" s="337"/>
      <c r="APE6" s="337"/>
      <c r="APF6" s="337"/>
      <c r="APG6" s="337"/>
      <c r="APH6" s="337"/>
      <c r="API6" s="337"/>
      <c r="APJ6" s="337"/>
      <c r="APK6" s="337"/>
      <c r="APL6" s="337"/>
      <c r="APM6" s="337"/>
      <c r="APN6" s="337"/>
      <c r="APO6" s="337"/>
      <c r="APP6" s="337"/>
      <c r="APQ6" s="337"/>
      <c r="APR6" s="337"/>
      <c r="APS6" s="337"/>
      <c r="APT6" s="337"/>
      <c r="APU6" s="337"/>
      <c r="APV6" s="337"/>
      <c r="APW6" s="337"/>
      <c r="APX6" s="337"/>
      <c r="APY6" s="337"/>
      <c r="APZ6" s="337"/>
      <c r="AQA6" s="337"/>
      <c r="AQB6" s="337"/>
      <c r="AQC6" s="337"/>
      <c r="AQD6" s="337"/>
      <c r="AQE6" s="337"/>
      <c r="AQF6" s="337"/>
      <c r="AQG6" s="337"/>
      <c r="AQH6" s="337"/>
      <c r="AQI6" s="337"/>
      <c r="AQJ6" s="337"/>
      <c r="AQK6" s="337"/>
      <c r="AQL6" s="337"/>
      <c r="AQM6" s="337"/>
      <c r="AQN6" s="337"/>
      <c r="AQO6" s="337"/>
      <c r="AQP6" s="337"/>
      <c r="AQQ6" s="337"/>
      <c r="AQR6" s="337"/>
      <c r="AQS6" s="337"/>
      <c r="AQT6" s="337"/>
      <c r="AQU6" s="337"/>
      <c r="AQV6" s="337"/>
      <c r="AQW6" s="337"/>
      <c r="AQX6" s="337"/>
      <c r="AQY6" s="337"/>
      <c r="AQZ6" s="337"/>
      <c r="ARA6" s="337"/>
      <c r="ARB6" s="337"/>
      <c r="ARC6" s="337"/>
      <c r="ARD6" s="337"/>
      <c r="ARE6" s="337"/>
      <c r="ARF6" s="337"/>
      <c r="ARG6" s="337"/>
      <c r="ARH6" s="337"/>
      <c r="ARI6" s="337"/>
      <c r="ARJ6" s="337"/>
      <c r="ARK6" s="337"/>
      <c r="ARL6" s="337"/>
      <c r="ARM6" s="337"/>
      <c r="ARN6" s="337"/>
      <c r="ARO6" s="337"/>
      <c r="ARP6" s="337"/>
      <c r="ARQ6" s="337"/>
      <c r="ARR6" s="337"/>
      <c r="ARS6" s="337"/>
      <c r="ART6" s="337"/>
      <c r="ARU6" s="337"/>
      <c r="ARV6" s="337"/>
      <c r="ARW6" s="337"/>
      <c r="ARX6" s="337"/>
      <c r="ARY6" s="337"/>
      <c r="ARZ6" s="337"/>
      <c r="ASA6" s="337"/>
      <c r="ASB6" s="337"/>
      <c r="ASC6" s="337"/>
      <c r="ASD6" s="337"/>
      <c r="ASE6" s="337"/>
      <c r="ASF6" s="337"/>
      <c r="ASG6" s="337"/>
      <c r="ASH6" s="337"/>
      <c r="ASI6" s="337"/>
      <c r="ASJ6" s="337"/>
      <c r="ASK6" s="337"/>
      <c r="ASL6" s="337"/>
      <c r="ASM6" s="337"/>
      <c r="ASN6" s="337"/>
      <c r="ASO6" s="337"/>
      <c r="ASP6" s="337"/>
      <c r="ASQ6" s="337"/>
      <c r="ASR6" s="337"/>
      <c r="ASS6" s="337"/>
      <c r="AST6" s="337"/>
      <c r="ASU6" s="337"/>
      <c r="ASV6" s="337"/>
      <c r="ASW6" s="337"/>
      <c r="ASX6" s="337"/>
      <c r="ASY6" s="337"/>
      <c r="ASZ6" s="337"/>
      <c r="ATA6" s="337"/>
      <c r="ATB6" s="337"/>
      <c r="ATC6" s="337"/>
      <c r="ATD6" s="337"/>
      <c r="ATE6" s="337"/>
      <c r="ATF6" s="337"/>
      <c r="ATG6" s="337"/>
      <c r="ATH6" s="337"/>
      <c r="ATI6" s="337"/>
      <c r="ATJ6" s="337"/>
      <c r="ATK6" s="337"/>
      <c r="ATL6" s="337"/>
      <c r="ATM6" s="337"/>
      <c r="ATN6" s="337"/>
      <c r="ATO6" s="337"/>
      <c r="ATP6" s="337"/>
      <c r="ATQ6" s="337"/>
      <c r="ATR6" s="337"/>
      <c r="ATS6" s="337"/>
      <c r="ATT6" s="337"/>
      <c r="ATU6" s="337"/>
      <c r="ATV6" s="337"/>
      <c r="ATW6" s="337"/>
      <c r="ATX6" s="337"/>
      <c r="ATY6" s="337"/>
      <c r="ATZ6" s="337"/>
      <c r="AUA6" s="337"/>
      <c r="AUB6" s="337"/>
      <c r="AUC6" s="337"/>
      <c r="AUD6" s="337"/>
      <c r="AUE6" s="337"/>
      <c r="AUF6" s="337"/>
      <c r="AUG6" s="337"/>
      <c r="AUH6" s="337"/>
      <c r="AUI6" s="337"/>
      <c r="AUJ6" s="337"/>
      <c r="AUK6" s="337"/>
      <c r="AUL6" s="337"/>
      <c r="AUM6" s="337"/>
      <c r="AUN6" s="337"/>
      <c r="AUO6" s="337"/>
      <c r="AUP6" s="337"/>
      <c r="AUQ6" s="337"/>
      <c r="AUR6" s="337"/>
      <c r="AUS6" s="337"/>
      <c r="AUT6" s="337"/>
      <c r="AUU6" s="337"/>
      <c r="AUV6" s="337"/>
      <c r="AUW6" s="337"/>
      <c r="AUX6" s="337"/>
      <c r="AUY6" s="337"/>
      <c r="AUZ6" s="337"/>
      <c r="AVA6" s="337"/>
      <c r="AVB6" s="337"/>
      <c r="AVC6" s="337"/>
      <c r="AVD6" s="337"/>
      <c r="AVE6" s="337"/>
      <c r="AVF6" s="337"/>
      <c r="AVG6" s="337"/>
      <c r="AVH6" s="337"/>
      <c r="AVI6" s="337"/>
      <c r="AVJ6" s="337"/>
      <c r="AVK6" s="337"/>
      <c r="AVL6" s="337"/>
      <c r="AVM6" s="337"/>
      <c r="AVN6" s="337"/>
      <c r="AVO6" s="337"/>
      <c r="AVP6" s="337"/>
      <c r="AVQ6" s="337"/>
      <c r="AVR6" s="337"/>
      <c r="AVS6" s="337"/>
      <c r="AVT6" s="337"/>
      <c r="AVU6" s="337"/>
      <c r="AVV6" s="337"/>
      <c r="AVW6" s="337"/>
      <c r="AVX6" s="337"/>
      <c r="AVY6" s="337"/>
      <c r="AVZ6" s="337"/>
      <c r="AWA6" s="337"/>
      <c r="AWB6" s="337"/>
      <c r="AWC6" s="337"/>
      <c r="AWD6" s="337"/>
      <c r="AWE6" s="337"/>
      <c r="AWF6" s="337"/>
      <c r="AWG6" s="337"/>
      <c r="AWH6" s="337"/>
      <c r="AWI6" s="337"/>
      <c r="AWJ6" s="337"/>
      <c r="AWK6" s="337"/>
      <c r="AWL6" s="337"/>
      <c r="AWM6" s="337"/>
      <c r="AWN6" s="337"/>
      <c r="AWO6" s="337"/>
      <c r="AWP6" s="337"/>
      <c r="AWQ6" s="337"/>
      <c r="AWR6" s="337"/>
      <c r="AWS6" s="337"/>
      <c r="AWT6" s="337"/>
      <c r="AWU6" s="337"/>
      <c r="AWV6" s="337"/>
      <c r="AWW6" s="337"/>
      <c r="AWX6" s="337"/>
      <c r="AWY6" s="337"/>
      <c r="AWZ6" s="337"/>
      <c r="AXA6" s="337"/>
      <c r="AXB6" s="337"/>
      <c r="AXC6" s="337"/>
      <c r="AXD6" s="337"/>
      <c r="AXE6" s="337"/>
      <c r="AXF6" s="337"/>
      <c r="AXG6" s="337"/>
      <c r="AXH6" s="337"/>
      <c r="AXI6" s="337"/>
      <c r="AXJ6" s="337"/>
      <c r="AXK6" s="337"/>
      <c r="AXL6" s="337"/>
      <c r="AXM6" s="337"/>
      <c r="AXN6" s="337"/>
      <c r="AXO6" s="337"/>
      <c r="AXP6" s="337"/>
      <c r="AXQ6" s="337"/>
      <c r="AXR6" s="337"/>
      <c r="AXS6" s="337"/>
      <c r="AXT6" s="337"/>
      <c r="AXU6" s="337"/>
      <c r="AXV6" s="337"/>
      <c r="AXW6" s="337"/>
      <c r="AXX6" s="337"/>
      <c r="AXY6" s="337"/>
      <c r="AXZ6" s="337"/>
      <c r="AYA6" s="337"/>
      <c r="AYB6" s="337"/>
      <c r="AYC6" s="337"/>
      <c r="AYD6" s="337"/>
      <c r="AYE6" s="337"/>
      <c r="AYF6" s="337"/>
      <c r="AYG6" s="337"/>
      <c r="AYH6" s="337"/>
      <c r="AYI6" s="337"/>
      <c r="AYJ6" s="337"/>
      <c r="AYK6" s="337"/>
      <c r="AYL6" s="337"/>
      <c r="AYM6" s="337"/>
      <c r="AYN6" s="337"/>
      <c r="AYO6" s="337"/>
      <c r="AYP6" s="337"/>
      <c r="AYQ6" s="337"/>
      <c r="AYR6" s="337"/>
      <c r="AYS6" s="337"/>
      <c r="AYT6" s="337"/>
      <c r="AYU6" s="337"/>
      <c r="AYV6" s="337"/>
      <c r="AYW6" s="337"/>
      <c r="AYX6" s="337"/>
      <c r="AYY6" s="337"/>
      <c r="AYZ6" s="337"/>
      <c r="AZA6" s="337"/>
      <c r="AZB6" s="337"/>
      <c r="AZC6" s="337"/>
      <c r="AZD6" s="337"/>
      <c r="AZE6" s="337"/>
      <c r="AZF6" s="337"/>
      <c r="AZG6" s="337"/>
      <c r="AZH6" s="337"/>
      <c r="AZI6" s="337"/>
      <c r="AZJ6" s="337"/>
      <c r="AZK6" s="337"/>
      <c r="AZL6" s="337"/>
      <c r="AZM6" s="337"/>
      <c r="AZN6" s="337"/>
      <c r="AZO6" s="337"/>
      <c r="AZP6" s="337"/>
      <c r="AZQ6" s="337"/>
      <c r="AZR6" s="337"/>
      <c r="AZS6" s="337"/>
      <c r="AZT6" s="337"/>
      <c r="AZU6" s="337"/>
      <c r="AZV6" s="337"/>
      <c r="AZW6" s="337"/>
      <c r="AZX6" s="337"/>
      <c r="AZY6" s="337"/>
      <c r="AZZ6" s="337"/>
      <c r="BAA6" s="337"/>
      <c r="BAB6" s="337"/>
      <c r="BAC6" s="337"/>
      <c r="BAD6" s="337"/>
      <c r="BAE6" s="337"/>
      <c r="BAF6" s="337"/>
      <c r="BAG6" s="337"/>
      <c r="BAH6" s="337"/>
      <c r="BAI6" s="337"/>
      <c r="BAJ6" s="337"/>
      <c r="BAK6" s="337"/>
      <c r="BAL6" s="337"/>
      <c r="BAM6" s="337"/>
      <c r="BAN6" s="337"/>
      <c r="BAO6" s="337"/>
      <c r="BAP6" s="337"/>
      <c r="BAQ6" s="337"/>
      <c r="BAR6" s="337"/>
      <c r="BAS6" s="337"/>
      <c r="BAT6" s="337"/>
      <c r="BAU6" s="337"/>
      <c r="BAV6" s="337"/>
      <c r="BAW6" s="337"/>
      <c r="BAX6" s="337"/>
      <c r="BAY6" s="337"/>
      <c r="BAZ6" s="337"/>
      <c r="BBA6" s="337"/>
      <c r="BBB6" s="337"/>
      <c r="BBC6" s="337"/>
      <c r="BBD6" s="337"/>
      <c r="BBE6" s="337"/>
      <c r="BBF6" s="337"/>
      <c r="BBG6" s="337"/>
      <c r="BBH6" s="337"/>
      <c r="BBI6" s="337"/>
      <c r="BBJ6" s="337"/>
      <c r="BBK6" s="337"/>
      <c r="BBL6" s="337"/>
      <c r="BBM6" s="337"/>
      <c r="BBN6" s="337"/>
      <c r="BBO6" s="337"/>
      <c r="BBP6" s="337"/>
      <c r="BBQ6" s="337"/>
      <c r="BBR6" s="337"/>
      <c r="BBS6" s="337"/>
      <c r="BBT6" s="337"/>
      <c r="BBU6" s="337"/>
      <c r="BBV6" s="337"/>
      <c r="BBW6" s="337"/>
      <c r="BBX6" s="337"/>
      <c r="BBY6" s="337"/>
      <c r="BBZ6" s="337"/>
      <c r="BCA6" s="337"/>
      <c r="BCB6" s="337"/>
      <c r="BCC6" s="337"/>
      <c r="BCD6" s="337"/>
      <c r="BCE6" s="337"/>
      <c r="BCF6" s="337"/>
      <c r="BCG6" s="337"/>
      <c r="BCH6" s="337"/>
      <c r="BCI6" s="337"/>
      <c r="BCJ6" s="337"/>
      <c r="BCK6" s="337"/>
      <c r="BCL6" s="337"/>
      <c r="BCM6" s="337"/>
      <c r="BCN6" s="337"/>
      <c r="BCO6" s="337"/>
      <c r="BCP6" s="337"/>
      <c r="BCQ6" s="337"/>
      <c r="BCR6" s="337"/>
      <c r="BCS6" s="337"/>
      <c r="BCT6" s="337"/>
      <c r="BCU6" s="337"/>
      <c r="BCV6" s="337"/>
      <c r="BCW6" s="337"/>
      <c r="BCX6" s="337"/>
      <c r="BCY6" s="337"/>
      <c r="BCZ6" s="337"/>
      <c r="BDA6" s="337"/>
      <c r="BDB6" s="337"/>
      <c r="BDC6" s="337"/>
      <c r="BDD6" s="337"/>
      <c r="BDE6" s="337"/>
      <c r="BDF6" s="337"/>
      <c r="BDG6" s="337"/>
      <c r="BDH6" s="337"/>
      <c r="BDI6" s="337"/>
      <c r="BDJ6" s="337"/>
      <c r="BDK6" s="337"/>
      <c r="BDL6" s="337"/>
      <c r="BDM6" s="337"/>
      <c r="BDN6" s="337"/>
      <c r="BDO6" s="337"/>
      <c r="BDP6" s="337"/>
      <c r="BDQ6" s="337"/>
      <c r="BDR6" s="337"/>
      <c r="BDS6" s="337"/>
      <c r="BDT6" s="337"/>
      <c r="BDU6" s="337"/>
      <c r="BDV6" s="337"/>
      <c r="BDW6" s="337"/>
      <c r="BDX6" s="337"/>
      <c r="BDY6" s="337"/>
      <c r="BDZ6" s="337"/>
      <c r="BEA6" s="337"/>
      <c r="BEB6" s="337"/>
      <c r="BEC6" s="337"/>
      <c r="BED6" s="337"/>
      <c r="BEE6" s="337"/>
      <c r="BEF6" s="337"/>
      <c r="BEG6" s="337"/>
      <c r="BEH6" s="337"/>
      <c r="BEI6" s="337"/>
      <c r="BEJ6" s="337"/>
      <c r="BEK6" s="337"/>
      <c r="BEL6" s="337"/>
      <c r="BEM6" s="337"/>
      <c r="BEN6" s="337"/>
      <c r="BEO6" s="337"/>
      <c r="BEP6" s="337"/>
      <c r="BEQ6" s="337"/>
      <c r="BER6" s="337"/>
      <c r="BES6" s="337"/>
      <c r="BET6" s="337"/>
      <c r="BEU6" s="337"/>
      <c r="BEV6" s="337"/>
      <c r="BEW6" s="337"/>
      <c r="BEX6" s="337"/>
      <c r="BEY6" s="337"/>
      <c r="BEZ6" s="337"/>
      <c r="BFA6" s="337"/>
      <c r="BFB6" s="337"/>
      <c r="BFC6" s="337"/>
      <c r="BFD6" s="337"/>
      <c r="BFE6" s="337"/>
      <c r="BFF6" s="337"/>
      <c r="BFG6" s="337"/>
      <c r="BFH6" s="337"/>
      <c r="BFI6" s="337"/>
      <c r="BFJ6" s="337"/>
      <c r="BFK6" s="337"/>
      <c r="BFL6" s="337"/>
      <c r="BFM6" s="337"/>
      <c r="BFN6" s="337"/>
      <c r="BFO6" s="337"/>
      <c r="BFP6" s="337"/>
      <c r="BFQ6" s="337"/>
      <c r="BFR6" s="337"/>
      <c r="BFS6" s="337"/>
      <c r="BFT6" s="337"/>
      <c r="BFU6" s="337"/>
      <c r="BFV6" s="337"/>
      <c r="BFW6" s="337"/>
      <c r="BFX6" s="337"/>
      <c r="BFY6" s="337"/>
      <c r="BFZ6" s="337"/>
      <c r="BGA6" s="337"/>
      <c r="BGB6" s="337"/>
      <c r="BGC6" s="337"/>
      <c r="BGD6" s="337"/>
      <c r="BGE6" s="337"/>
      <c r="BGF6" s="337"/>
      <c r="BGG6" s="337"/>
      <c r="BGH6" s="337"/>
      <c r="BGI6" s="337"/>
      <c r="BGJ6" s="337"/>
      <c r="BGK6" s="337"/>
      <c r="BGL6" s="337"/>
      <c r="BGM6" s="337"/>
      <c r="BGN6" s="337"/>
      <c r="BGO6" s="337"/>
      <c r="BGP6" s="337"/>
      <c r="BGQ6" s="337"/>
      <c r="BGR6" s="337"/>
      <c r="BGS6" s="337"/>
      <c r="BGT6" s="337"/>
      <c r="BGU6" s="337"/>
      <c r="BGV6" s="337"/>
      <c r="BGW6" s="337"/>
      <c r="BGX6" s="337"/>
      <c r="BGY6" s="337"/>
      <c r="BGZ6" s="337"/>
      <c r="BHA6" s="337"/>
      <c r="BHB6" s="337"/>
      <c r="BHC6" s="337"/>
      <c r="BHD6" s="337"/>
      <c r="BHE6" s="337"/>
      <c r="BHF6" s="337"/>
      <c r="BHG6" s="337"/>
      <c r="BHH6" s="337"/>
      <c r="BHI6" s="337"/>
      <c r="BHJ6" s="337"/>
      <c r="BHK6" s="337"/>
      <c r="BHL6" s="337"/>
      <c r="BHM6" s="337"/>
      <c r="BHN6" s="337"/>
      <c r="BHO6" s="337"/>
      <c r="BHP6" s="337"/>
      <c r="BHQ6" s="337"/>
      <c r="BHR6" s="337"/>
      <c r="BHS6" s="337"/>
      <c r="BHT6" s="337"/>
      <c r="BHU6" s="337"/>
      <c r="BHV6" s="337"/>
      <c r="BHW6" s="337"/>
      <c r="BHX6" s="337"/>
      <c r="BHY6" s="337"/>
      <c r="BHZ6" s="337"/>
      <c r="BIA6" s="337"/>
      <c r="BIB6" s="337"/>
      <c r="BIC6" s="337"/>
      <c r="BID6" s="337"/>
      <c r="BIE6" s="337"/>
      <c r="BIF6" s="337"/>
      <c r="BIG6" s="337"/>
      <c r="BIH6" s="337"/>
      <c r="BII6" s="337"/>
      <c r="BIJ6" s="337"/>
      <c r="BIK6" s="337"/>
      <c r="BIL6" s="337"/>
      <c r="BIM6" s="337"/>
      <c r="BIN6" s="337"/>
      <c r="BIO6" s="337"/>
      <c r="BIP6" s="337"/>
      <c r="BIQ6" s="337"/>
      <c r="BIR6" s="337"/>
      <c r="BIS6" s="337"/>
      <c r="BIT6" s="337"/>
      <c r="BIU6" s="337"/>
      <c r="BIV6" s="337"/>
      <c r="BIW6" s="337"/>
      <c r="BIX6" s="337"/>
      <c r="BIY6" s="337"/>
      <c r="BIZ6" s="337"/>
      <c r="BJA6" s="337"/>
      <c r="BJB6" s="337"/>
      <c r="BJC6" s="337"/>
      <c r="BJD6" s="337"/>
      <c r="BJE6" s="337"/>
      <c r="BJF6" s="337"/>
      <c r="BJG6" s="337"/>
      <c r="BJH6" s="337"/>
      <c r="BJI6" s="337"/>
      <c r="BJJ6" s="337"/>
      <c r="BJK6" s="337"/>
      <c r="BJL6" s="337"/>
      <c r="BJM6" s="337"/>
      <c r="BJN6" s="337"/>
      <c r="BJO6" s="337"/>
      <c r="BJP6" s="337"/>
      <c r="BJQ6" s="337"/>
      <c r="BJR6" s="337"/>
      <c r="BJS6" s="337"/>
      <c r="BJT6" s="337"/>
      <c r="BJU6" s="337"/>
      <c r="BJV6" s="337"/>
      <c r="BJW6" s="337"/>
      <c r="BJX6" s="337"/>
      <c r="BJY6" s="337"/>
      <c r="BJZ6" s="337"/>
      <c r="BKA6" s="337"/>
      <c r="BKB6" s="337"/>
      <c r="BKC6" s="337"/>
      <c r="BKD6" s="337"/>
      <c r="BKE6" s="337"/>
      <c r="BKF6" s="337"/>
      <c r="BKG6" s="337"/>
      <c r="BKH6" s="337"/>
      <c r="BKI6" s="337"/>
      <c r="BKJ6" s="337"/>
      <c r="BKK6" s="337"/>
      <c r="BKL6" s="337"/>
      <c r="BKM6" s="337"/>
      <c r="BKN6" s="337"/>
      <c r="BKO6" s="337"/>
      <c r="BKP6" s="337"/>
      <c r="BKQ6" s="337"/>
      <c r="BKR6" s="337"/>
      <c r="BKS6" s="337"/>
      <c r="BKT6" s="337"/>
      <c r="BKU6" s="337"/>
      <c r="BKV6" s="337"/>
      <c r="BKW6" s="337"/>
      <c r="BKX6" s="337"/>
      <c r="BKY6" s="337"/>
      <c r="BKZ6" s="337"/>
      <c r="BLA6" s="337"/>
      <c r="BLB6" s="337"/>
      <c r="BLC6" s="337"/>
      <c r="BLD6" s="337"/>
      <c r="BLE6" s="337"/>
      <c r="BLF6" s="337"/>
      <c r="BLG6" s="337"/>
      <c r="BLH6" s="337"/>
      <c r="BLI6" s="337"/>
      <c r="BLJ6" s="337"/>
      <c r="BLK6" s="337"/>
      <c r="BLL6" s="337"/>
      <c r="BLM6" s="337"/>
      <c r="BLN6" s="337"/>
      <c r="BLO6" s="337"/>
      <c r="BLP6" s="337"/>
      <c r="BLQ6" s="337"/>
      <c r="BLR6" s="337"/>
      <c r="BLS6" s="337"/>
      <c r="BLT6" s="337"/>
      <c r="BLU6" s="337"/>
      <c r="BLV6" s="337"/>
      <c r="BLW6" s="337"/>
      <c r="BLX6" s="337"/>
      <c r="BLY6" s="337"/>
      <c r="BLZ6" s="337"/>
      <c r="BMA6" s="337"/>
      <c r="BMB6" s="337"/>
      <c r="BMC6" s="337"/>
      <c r="BMD6" s="337"/>
      <c r="BME6" s="337"/>
      <c r="BMF6" s="337"/>
      <c r="BMG6" s="337"/>
      <c r="BMH6" s="337"/>
      <c r="BMI6" s="337"/>
      <c r="BMJ6" s="337"/>
      <c r="BMK6" s="337"/>
      <c r="BML6" s="337"/>
      <c r="BMM6" s="337"/>
      <c r="BMN6" s="337"/>
      <c r="BMO6" s="337"/>
      <c r="BMP6" s="337"/>
      <c r="BMQ6" s="337"/>
      <c r="BMR6" s="337"/>
      <c r="BMS6" s="337"/>
      <c r="BMT6" s="337"/>
      <c r="BMU6" s="337"/>
      <c r="BMV6" s="337"/>
      <c r="BMW6" s="337"/>
      <c r="BMX6" s="337"/>
      <c r="BMY6" s="337"/>
      <c r="BMZ6" s="337"/>
      <c r="BNA6" s="337"/>
      <c r="BNB6" s="337"/>
      <c r="BNC6" s="337"/>
      <c r="BND6" s="337"/>
      <c r="BNE6" s="337"/>
      <c r="BNF6" s="337"/>
      <c r="BNG6" s="337"/>
      <c r="BNH6" s="337"/>
      <c r="BNI6" s="337"/>
      <c r="BNJ6" s="337"/>
      <c r="BNK6" s="337"/>
      <c r="BNL6" s="337"/>
      <c r="BNM6" s="337"/>
      <c r="BNN6" s="337"/>
      <c r="BNO6" s="337"/>
      <c r="BNP6" s="337"/>
      <c r="BNQ6" s="337"/>
      <c r="BNR6" s="337"/>
      <c r="BNS6" s="337"/>
      <c r="BNT6" s="337"/>
      <c r="BNU6" s="337"/>
      <c r="BNV6" s="337"/>
      <c r="BNW6" s="337"/>
      <c r="BNX6" s="337"/>
      <c r="BNY6" s="337"/>
      <c r="BNZ6" s="337"/>
      <c r="BOA6" s="337"/>
      <c r="BOB6" s="337"/>
      <c r="BOC6" s="337"/>
      <c r="BOD6" s="337"/>
      <c r="BOE6" s="337"/>
      <c r="BOF6" s="337"/>
      <c r="BOG6" s="337"/>
      <c r="BOH6" s="337"/>
      <c r="BOI6" s="337"/>
      <c r="BOJ6" s="337"/>
      <c r="BOK6" s="337"/>
      <c r="BOL6" s="337"/>
      <c r="BOM6" s="337"/>
      <c r="BON6" s="337"/>
      <c r="BOO6" s="337"/>
      <c r="BOP6" s="337"/>
      <c r="BOQ6" s="337"/>
      <c r="BOR6" s="337"/>
      <c r="BOS6" s="337"/>
      <c r="BOT6" s="337"/>
      <c r="BOU6" s="337"/>
      <c r="BOV6" s="337"/>
      <c r="BOW6" s="337"/>
      <c r="BOX6" s="337"/>
      <c r="BOY6" s="337"/>
      <c r="BOZ6" s="337"/>
      <c r="BPA6" s="337"/>
      <c r="BPB6" s="337"/>
      <c r="BPC6" s="337"/>
      <c r="BPD6" s="337"/>
      <c r="BPE6" s="337"/>
      <c r="BPF6" s="337"/>
      <c r="BPG6" s="337"/>
      <c r="BPH6" s="337"/>
      <c r="BPI6" s="337"/>
      <c r="BPJ6" s="337"/>
      <c r="BPK6" s="337"/>
      <c r="BPL6" s="337"/>
      <c r="BPM6" s="337"/>
      <c r="BPN6" s="337"/>
      <c r="BPO6" s="337"/>
      <c r="BPP6" s="337"/>
      <c r="BPQ6" s="337"/>
      <c r="BPR6" s="337"/>
      <c r="BPS6" s="337"/>
      <c r="BPT6" s="337"/>
      <c r="BPU6" s="337"/>
      <c r="BPV6" s="337"/>
      <c r="BPW6" s="337"/>
      <c r="BPX6" s="337"/>
      <c r="BPY6" s="337"/>
      <c r="BPZ6" s="337"/>
      <c r="BQA6" s="337"/>
      <c r="BQB6" s="337"/>
      <c r="BQC6" s="337"/>
      <c r="BQD6" s="337"/>
      <c r="BQE6" s="337"/>
      <c r="BQF6" s="337"/>
      <c r="BQG6" s="337"/>
      <c r="BQH6" s="337"/>
      <c r="BQI6" s="337"/>
      <c r="BQJ6" s="337"/>
      <c r="BQK6" s="337"/>
      <c r="BQL6" s="337"/>
      <c r="BQM6" s="337"/>
      <c r="BQN6" s="337"/>
      <c r="BQO6" s="337"/>
      <c r="BQP6" s="337"/>
      <c r="BQQ6" s="337"/>
      <c r="BQR6" s="337"/>
      <c r="BQS6" s="337"/>
      <c r="BQT6" s="337"/>
      <c r="BQU6" s="337"/>
      <c r="BQV6" s="337"/>
      <c r="BQW6" s="337"/>
      <c r="BQX6" s="337"/>
      <c r="BQY6" s="337"/>
      <c r="BQZ6" s="337"/>
      <c r="BRA6" s="337"/>
      <c r="BRB6" s="337"/>
      <c r="BRC6" s="337"/>
      <c r="BRD6" s="337"/>
      <c r="BRE6" s="337"/>
      <c r="BRF6" s="337"/>
      <c r="BRG6" s="337"/>
      <c r="BRH6" s="337"/>
      <c r="BRI6" s="337"/>
      <c r="BRJ6" s="337"/>
      <c r="BRK6" s="337"/>
      <c r="BRL6" s="337"/>
      <c r="BRM6" s="337"/>
      <c r="BRN6" s="337"/>
      <c r="BRO6" s="337"/>
      <c r="BRP6" s="337"/>
      <c r="BRQ6" s="337"/>
      <c r="BRR6" s="337"/>
      <c r="BRS6" s="337"/>
      <c r="BRT6" s="337"/>
      <c r="BRU6" s="337"/>
      <c r="BRV6" s="337"/>
      <c r="BRW6" s="337"/>
      <c r="BRX6" s="337"/>
      <c r="BRY6" s="337"/>
      <c r="BRZ6" s="337"/>
      <c r="BSA6" s="337"/>
      <c r="BSB6" s="337"/>
      <c r="BSC6" s="337"/>
      <c r="BSD6" s="337"/>
      <c r="BSE6" s="337"/>
      <c r="BSF6" s="337"/>
      <c r="BSG6" s="337"/>
      <c r="BSH6" s="337"/>
      <c r="BSI6" s="337"/>
      <c r="BSJ6" s="337"/>
      <c r="BSK6" s="337"/>
      <c r="BSL6" s="337"/>
      <c r="BSM6" s="337"/>
      <c r="BSN6" s="337"/>
      <c r="BSO6" s="337"/>
      <c r="BSP6" s="337"/>
      <c r="BSQ6" s="337"/>
      <c r="BSR6" s="337"/>
      <c r="BSS6" s="337"/>
      <c r="BST6" s="337"/>
      <c r="BSU6" s="337"/>
      <c r="BSV6" s="337"/>
      <c r="BSW6" s="337"/>
      <c r="BSX6" s="337"/>
      <c r="BSY6" s="337"/>
      <c r="BSZ6" s="337"/>
      <c r="BTA6" s="337"/>
      <c r="BTB6" s="337"/>
      <c r="BTC6" s="337"/>
      <c r="BTD6" s="337"/>
      <c r="BTE6" s="337"/>
      <c r="BTF6" s="337"/>
      <c r="BTG6" s="337"/>
      <c r="BTH6" s="337"/>
      <c r="BTI6" s="337"/>
      <c r="BTJ6" s="337"/>
      <c r="BTK6" s="337"/>
      <c r="BTL6" s="337"/>
      <c r="BTM6" s="337"/>
      <c r="BTN6" s="337"/>
      <c r="BTO6" s="337"/>
      <c r="BTP6" s="337"/>
      <c r="BTQ6" s="337"/>
      <c r="BTR6" s="337"/>
      <c r="BTS6" s="337"/>
      <c r="BTT6" s="337"/>
      <c r="BTU6" s="337"/>
      <c r="BTV6" s="337"/>
      <c r="BTW6" s="337"/>
      <c r="BTX6" s="337"/>
      <c r="BTY6" s="337"/>
      <c r="BTZ6" s="337"/>
      <c r="BUA6" s="337"/>
      <c r="BUB6" s="337"/>
      <c r="BUC6" s="337"/>
      <c r="BUD6" s="337"/>
      <c r="BUE6" s="337"/>
      <c r="BUF6" s="337"/>
      <c r="BUG6" s="337"/>
      <c r="BUH6" s="337"/>
      <c r="BUI6" s="337"/>
      <c r="BUJ6" s="337"/>
      <c r="BUK6" s="337"/>
      <c r="BUL6" s="337"/>
      <c r="BUM6" s="337"/>
      <c r="BUN6" s="337"/>
      <c r="BUO6" s="337"/>
      <c r="BUP6" s="337"/>
      <c r="BUQ6" s="337"/>
      <c r="BUR6" s="337"/>
      <c r="BUS6" s="337"/>
      <c r="BUT6" s="337"/>
      <c r="BUU6" s="337"/>
      <c r="BUV6" s="337"/>
      <c r="BUW6" s="337"/>
      <c r="BUX6" s="337"/>
      <c r="BUY6" s="337"/>
      <c r="BUZ6" s="337"/>
      <c r="BVA6" s="337"/>
      <c r="BVB6" s="337"/>
      <c r="BVC6" s="337"/>
      <c r="BVD6" s="337"/>
      <c r="BVE6" s="337"/>
      <c r="BVF6" s="337"/>
      <c r="BVG6" s="337"/>
      <c r="BVH6" s="337"/>
      <c r="BVI6" s="337"/>
      <c r="BVJ6" s="337"/>
      <c r="BVK6" s="337"/>
      <c r="BVL6" s="337"/>
      <c r="BVM6" s="337"/>
      <c r="BVN6" s="337"/>
      <c r="BVO6" s="337"/>
      <c r="BVP6" s="337"/>
      <c r="BVQ6" s="337"/>
      <c r="BVR6" s="337"/>
      <c r="BVS6" s="337"/>
      <c r="BVT6" s="337"/>
      <c r="BVU6" s="337"/>
      <c r="BVV6" s="337"/>
      <c r="BVW6" s="337"/>
      <c r="BVX6" s="337"/>
      <c r="BVY6" s="337"/>
      <c r="BVZ6" s="337"/>
      <c r="BWA6" s="337"/>
      <c r="BWB6" s="337"/>
      <c r="BWC6" s="337"/>
      <c r="BWD6" s="337"/>
      <c r="BWE6" s="337"/>
      <c r="BWF6" s="337"/>
      <c r="BWG6" s="337"/>
      <c r="BWH6" s="337"/>
      <c r="BWI6" s="337"/>
      <c r="BWJ6" s="337"/>
      <c r="BWK6" s="337"/>
      <c r="BWL6" s="337"/>
      <c r="BWM6" s="337"/>
      <c r="BWN6" s="337"/>
      <c r="BWO6" s="337"/>
      <c r="BWP6" s="337"/>
      <c r="BWQ6" s="337"/>
      <c r="BWR6" s="337"/>
      <c r="BWS6" s="337"/>
      <c r="BWT6" s="337"/>
      <c r="BWU6" s="337"/>
      <c r="BWV6" s="337"/>
      <c r="BWW6" s="337"/>
      <c r="BWX6" s="337"/>
      <c r="BWY6" s="337"/>
      <c r="BWZ6" s="337"/>
      <c r="BXA6" s="337"/>
      <c r="BXB6" s="337"/>
      <c r="BXC6" s="337"/>
      <c r="BXD6" s="337"/>
      <c r="BXE6" s="337"/>
      <c r="BXF6" s="337"/>
      <c r="BXG6" s="337"/>
      <c r="BXH6" s="337"/>
      <c r="BXI6" s="337"/>
      <c r="BXJ6" s="337"/>
      <c r="BXK6" s="337"/>
      <c r="BXL6" s="337"/>
      <c r="BXM6" s="337"/>
      <c r="BXN6" s="337"/>
      <c r="BXO6" s="337"/>
      <c r="BXP6" s="337"/>
      <c r="BXQ6" s="337"/>
      <c r="BXR6" s="337"/>
      <c r="BXS6" s="337"/>
      <c r="BXT6" s="337"/>
      <c r="BXU6" s="337"/>
      <c r="BXV6" s="337"/>
      <c r="BXW6" s="337"/>
      <c r="BXX6" s="337"/>
      <c r="BXY6" s="337"/>
      <c r="BXZ6" s="337"/>
      <c r="BYA6" s="337"/>
      <c r="BYB6" s="337"/>
      <c r="BYC6" s="337"/>
      <c r="BYD6" s="337"/>
      <c r="BYE6" s="337"/>
      <c r="BYF6" s="337"/>
      <c r="BYG6" s="337"/>
    </row>
    <row r="7" spans="1:2009" s="97" customFormat="1" ht="24.95" customHeight="1" x14ac:dyDescent="0.25">
      <c r="A7" s="130"/>
      <c r="B7" s="125" t="s">
        <v>435</v>
      </c>
      <c r="C7" s="163">
        <v>12090.98</v>
      </c>
      <c r="D7" s="163">
        <f>53275.97-C7</f>
        <v>41184.990000000005</v>
      </c>
      <c r="E7" s="163"/>
      <c r="F7" s="164"/>
      <c r="G7" s="636">
        <f>ROUND(SUM(C7:F7),5)</f>
        <v>53275.97</v>
      </c>
      <c r="H7" s="94"/>
      <c r="I7" s="559"/>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161</v>
      </c>
      <c r="C8" s="196">
        <f>SUM(C5:C7)</f>
        <v>12090.98</v>
      </c>
      <c r="D8" s="754">
        <f>SUM(D5:D7)</f>
        <v>49454.990000000005</v>
      </c>
      <c r="E8" s="196"/>
      <c r="F8" s="196"/>
      <c r="G8" s="637">
        <f>ROUND(SUM(G3:G7),5)</f>
        <v>61545.97</v>
      </c>
      <c r="H8" s="197"/>
      <c r="I8" s="559"/>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38"/>
      <c r="H9" s="99"/>
      <c r="I9" s="775"/>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71</v>
      </c>
      <c r="B10" s="132"/>
      <c r="C10" s="166"/>
      <c r="D10" s="166"/>
      <c r="E10" s="167"/>
      <c r="F10" s="167"/>
      <c r="G10" s="639"/>
      <c r="H10" s="94"/>
      <c r="I10" s="559"/>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47</v>
      </c>
      <c r="C11" s="168"/>
      <c r="D11" s="168"/>
      <c r="E11" s="169"/>
      <c r="F11" s="169"/>
      <c r="G11" s="640">
        <f>ROUND(SUM(C11:F11),5)</f>
        <v>0</v>
      </c>
      <c r="H11" s="94"/>
      <c r="I11" s="559"/>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315</v>
      </c>
      <c r="C12" s="168"/>
      <c r="D12" s="168"/>
      <c r="E12" s="169"/>
      <c r="F12" s="169"/>
      <c r="G12" s="640">
        <f>ROUND(SUM(C12:F12),5)</f>
        <v>0</v>
      </c>
      <c r="H12" s="94"/>
      <c r="I12" s="559"/>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379</v>
      </c>
      <c r="C13" s="168">
        <v>25582.6</v>
      </c>
      <c r="D13" s="168">
        <v>23347.09</v>
      </c>
      <c r="E13" s="169">
        <v>11722.35</v>
      </c>
      <c r="F13" s="169"/>
      <c r="G13" s="640">
        <f>ROUND(SUM(C13:F13),5)</f>
        <v>60652.04</v>
      </c>
      <c r="H13" s="94"/>
      <c r="I13" s="559"/>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142</v>
      </c>
      <c r="C14" s="202">
        <f>ROUND(SUM(C10:C13),5)</f>
        <v>25582.6</v>
      </c>
      <c r="D14" s="202">
        <f>SUM(D11:D13)</f>
        <v>23347.09</v>
      </c>
      <c r="E14" s="202">
        <f>SUM(E11:E13)</f>
        <v>11722.35</v>
      </c>
      <c r="F14" s="202"/>
      <c r="G14" s="641">
        <f>ROUND(SUM(G10:G13),5)</f>
        <v>60652.04</v>
      </c>
      <c r="H14" s="197"/>
      <c r="I14" s="559"/>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42"/>
      <c r="H15" s="99"/>
      <c r="I15" s="775"/>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72</v>
      </c>
      <c r="B16" s="135"/>
      <c r="C16" s="172"/>
      <c r="D16" s="172"/>
      <c r="E16" s="173"/>
      <c r="F16" s="173"/>
      <c r="G16" s="643"/>
      <c r="H16" s="94"/>
      <c r="I16" s="559"/>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207</v>
      </c>
      <c r="C17" s="174"/>
      <c r="D17" s="174"/>
      <c r="E17" s="175"/>
      <c r="F17" s="175"/>
      <c r="G17" s="644">
        <f t="shared" ref="G17:G20" si="0">ROUND(SUM(C17:F17),5)</f>
        <v>0</v>
      </c>
      <c r="H17" s="94"/>
      <c r="I17" s="559"/>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265</v>
      </c>
      <c r="C18" s="174"/>
      <c r="D18" s="174"/>
      <c r="E18" s="175"/>
      <c r="F18" s="175"/>
      <c r="G18" s="644">
        <f t="shared" si="0"/>
        <v>0</v>
      </c>
      <c r="H18" s="94"/>
      <c r="I18" s="559"/>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308</v>
      </c>
      <c r="C19" s="174"/>
      <c r="D19" s="174"/>
      <c r="E19" s="175"/>
      <c r="F19" s="175"/>
      <c r="G19" s="644"/>
      <c r="H19" s="94"/>
      <c r="I19" s="559"/>
      <c r="J19" s="94"/>
      <c r="K19" s="602"/>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266</v>
      </c>
      <c r="C20" s="174"/>
      <c r="D20" s="174"/>
      <c r="E20" s="175"/>
      <c r="F20" s="175"/>
      <c r="G20" s="644">
        <f t="shared" si="0"/>
        <v>0</v>
      </c>
      <c r="H20" s="94"/>
      <c r="I20" s="559"/>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309</v>
      </c>
      <c r="C21" s="174"/>
      <c r="D21" s="174"/>
      <c r="E21" s="175"/>
      <c r="F21" s="175"/>
      <c r="G21" s="644"/>
      <c r="H21" s="94"/>
      <c r="I21" s="559"/>
      <c r="J21" s="94"/>
      <c r="K21" s="602"/>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316</v>
      </c>
      <c r="C22" s="174"/>
      <c r="D22" s="174"/>
      <c r="E22" s="175"/>
      <c r="F22" s="175"/>
      <c r="G22" s="644"/>
      <c r="H22" s="99"/>
      <c r="I22" s="775"/>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73</v>
      </c>
      <c r="C23" s="206"/>
      <c r="D23" s="206"/>
      <c r="E23" s="206"/>
      <c r="F23" s="206"/>
      <c r="G23" s="645"/>
      <c r="H23" s="207"/>
      <c r="I23" s="775"/>
      <c r="J23" s="207"/>
      <c r="K23" s="427"/>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46"/>
      <c r="H24" s="99"/>
      <c r="I24" s="775"/>
      <c r="J24" s="99"/>
      <c r="K24" s="428"/>
      <c r="L24" s="427">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98</v>
      </c>
      <c r="B25" s="139"/>
      <c r="C25" s="177"/>
      <c r="D25" s="177"/>
      <c r="E25" s="178"/>
      <c r="F25" s="178"/>
      <c r="G25" s="647"/>
      <c r="H25" s="94"/>
      <c r="I25" s="559"/>
      <c r="J25" s="94"/>
      <c r="K25" s="428"/>
      <c r="L25" s="428" t="s">
        <v>203</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160</v>
      </c>
      <c r="C26" s="179"/>
      <c r="D26" s="179"/>
      <c r="E26" s="180"/>
      <c r="F26" s="180"/>
      <c r="G26" s="648"/>
      <c r="H26" s="94"/>
      <c r="I26" s="559"/>
      <c r="J26" s="94"/>
      <c r="K26" s="429"/>
      <c r="L26"/>
      <c r="M26" s="430">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143</v>
      </c>
      <c r="C27" s="212"/>
      <c r="D27" s="213"/>
      <c r="E27" s="213"/>
      <c r="F27" s="213">
        <f>SUM(F25:F26)</f>
        <v>0</v>
      </c>
      <c r="G27" s="649">
        <f>ROUND(SUM(C27:F27),5)</f>
        <v>0</v>
      </c>
      <c r="H27" s="197"/>
      <c r="I27" s="559"/>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42"/>
      <c r="H28" s="99"/>
      <c r="I28" s="775"/>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158</v>
      </c>
      <c r="B29" s="142"/>
      <c r="C29" s="181"/>
      <c r="D29" s="181"/>
      <c r="E29" s="182"/>
      <c r="F29" s="182"/>
      <c r="G29" s="650"/>
      <c r="H29" s="94"/>
      <c r="I29" s="559"/>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hidden="1" customHeight="1" x14ac:dyDescent="0.25">
      <c r="A30" s="364"/>
      <c r="B30" s="114" t="s">
        <v>380</v>
      </c>
      <c r="C30" s="183"/>
      <c r="D30" s="183"/>
      <c r="E30" s="184"/>
      <c r="F30" s="184"/>
      <c r="G30" s="651">
        <f>SUM(C30:F30)</f>
        <v>0</v>
      </c>
      <c r="H30" s="94"/>
      <c r="I30" s="559"/>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386</v>
      </c>
      <c r="C31" s="183">
        <v>23500.03</v>
      </c>
      <c r="D31" s="183">
        <v>23725.57</v>
      </c>
      <c r="E31" s="184">
        <v>22600.62</v>
      </c>
      <c r="F31" s="184">
        <f>26789.88-26789.88</f>
        <v>0</v>
      </c>
      <c r="G31" s="651">
        <f>SUM(C31:F31)</f>
        <v>69826.22</v>
      </c>
      <c r="H31" s="94"/>
      <c r="I31" s="559"/>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19" customFormat="1" ht="24.95" customHeight="1" thickBot="1" x14ac:dyDescent="0.3">
      <c r="A32" s="215"/>
      <c r="B32" s="216" t="s">
        <v>159</v>
      </c>
      <c r="C32" s="217">
        <f>SUM(C30:C31)</f>
        <v>23500.03</v>
      </c>
      <c r="D32" s="217">
        <f>D30+D31</f>
        <v>23725.57</v>
      </c>
      <c r="E32" s="217">
        <f>E30+E31</f>
        <v>22600.62</v>
      </c>
      <c r="F32" s="217">
        <f>F30+F31</f>
        <v>0</v>
      </c>
      <c r="G32" s="652">
        <f>SUM(G30:G31)</f>
        <v>69826.22</v>
      </c>
      <c r="H32" s="197"/>
      <c r="I32" s="559"/>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8"/>
      <c r="OM32" s="218"/>
      <c r="ON32" s="218"/>
      <c r="OO32" s="218"/>
      <c r="OP32" s="218"/>
      <c r="OQ32" s="218"/>
      <c r="OR32" s="218"/>
      <c r="OS32" s="218"/>
      <c r="OT32" s="218"/>
      <c r="OU32" s="218"/>
      <c r="OV32" s="218"/>
      <c r="OW32" s="218"/>
      <c r="OX32" s="218"/>
      <c r="OY32" s="218"/>
      <c r="OZ32" s="218"/>
      <c r="PA32" s="218"/>
      <c r="PB32" s="218"/>
      <c r="PC32" s="218"/>
      <c r="PD32" s="218"/>
      <c r="PE32" s="218"/>
      <c r="PF32" s="218"/>
      <c r="PG32" s="218"/>
      <c r="PH32" s="218"/>
      <c r="PI32" s="218"/>
      <c r="PJ32" s="218"/>
      <c r="PK32" s="218"/>
      <c r="PL32" s="218"/>
      <c r="PM32" s="218"/>
      <c r="PN32" s="218"/>
      <c r="PO32" s="218"/>
      <c r="PP32" s="218"/>
      <c r="PQ32" s="218"/>
      <c r="PR32" s="218"/>
      <c r="PS32" s="218"/>
      <c r="PT32" s="218"/>
      <c r="PU32" s="218"/>
      <c r="PV32" s="218"/>
      <c r="PW32" s="218"/>
      <c r="PX32" s="218"/>
      <c r="PY32" s="218"/>
      <c r="PZ32" s="218"/>
      <c r="QA32" s="218"/>
      <c r="QB32" s="218"/>
      <c r="QC32" s="218"/>
      <c r="QD32" s="218"/>
      <c r="QE32" s="218"/>
      <c r="QF32" s="218"/>
      <c r="QG32" s="218"/>
      <c r="QH32" s="218"/>
      <c r="QI32" s="218"/>
      <c r="QJ32" s="218"/>
      <c r="QK32" s="218"/>
      <c r="QL32" s="218"/>
      <c r="QM32" s="218"/>
      <c r="QN32" s="218"/>
      <c r="QO32" s="218"/>
      <c r="QP32" s="218"/>
      <c r="QQ32" s="218"/>
      <c r="QR32" s="218"/>
      <c r="QS32" s="218"/>
      <c r="QT32" s="218"/>
      <c r="QU32" s="218"/>
      <c r="QV32" s="218"/>
      <c r="QW32" s="218"/>
      <c r="QX32" s="218"/>
      <c r="QY32" s="218"/>
      <c r="QZ32" s="218"/>
      <c r="RA32" s="218"/>
      <c r="RB32" s="218"/>
      <c r="RC32" s="218"/>
      <c r="RD32" s="218"/>
      <c r="RE32" s="218"/>
      <c r="RF32" s="218"/>
      <c r="RG32" s="218"/>
      <c r="RH32" s="218"/>
      <c r="RI32" s="218"/>
      <c r="RJ32" s="218"/>
      <c r="RK32" s="218"/>
      <c r="RL32" s="218"/>
      <c r="RM32" s="218"/>
      <c r="RN32" s="218"/>
      <c r="RO32" s="218"/>
      <c r="RP32" s="218"/>
      <c r="RQ32" s="218"/>
      <c r="RR32" s="218"/>
      <c r="RS32" s="218"/>
      <c r="RT32" s="218"/>
      <c r="RU32" s="218"/>
      <c r="RV32" s="218"/>
      <c r="RW32" s="218"/>
      <c r="RX32" s="218"/>
      <c r="RY32" s="218"/>
      <c r="RZ32" s="218"/>
      <c r="SA32" s="218"/>
      <c r="SB32" s="218"/>
      <c r="SC32" s="218"/>
      <c r="SD32" s="218"/>
      <c r="SE32" s="218"/>
      <c r="SF32" s="218"/>
      <c r="SG32" s="218"/>
      <c r="SH32" s="218"/>
      <c r="SI32" s="218"/>
      <c r="SJ32" s="218"/>
      <c r="SK32" s="218"/>
      <c r="SL32" s="218"/>
      <c r="SM32" s="218"/>
      <c r="SN32" s="218"/>
      <c r="SO32" s="218"/>
      <c r="SP32" s="218"/>
      <c r="SQ32" s="218"/>
      <c r="SR32" s="218"/>
      <c r="SS32" s="218"/>
      <c r="ST32" s="218"/>
      <c r="SU32" s="218"/>
      <c r="SV32" s="218"/>
      <c r="SW32" s="218"/>
      <c r="SX32" s="218"/>
      <c r="SY32" s="218"/>
      <c r="SZ32" s="218"/>
      <c r="TA32" s="218"/>
      <c r="TB32" s="218"/>
      <c r="TC32" s="218"/>
      <c r="TD32" s="218"/>
      <c r="TE32" s="218"/>
      <c r="TF32" s="218"/>
      <c r="TG32" s="218"/>
      <c r="TH32" s="218"/>
      <c r="TI32" s="218"/>
      <c r="TJ32" s="218"/>
      <c r="TK32" s="218"/>
      <c r="TL32" s="218"/>
      <c r="TM32" s="218"/>
      <c r="TN32" s="218"/>
      <c r="TO32" s="218"/>
      <c r="TP32" s="218"/>
      <c r="TQ32" s="218"/>
      <c r="TR32" s="218"/>
      <c r="TS32" s="218"/>
      <c r="TT32" s="218"/>
      <c r="TU32" s="218"/>
      <c r="TV32" s="218"/>
      <c r="TW32" s="218"/>
      <c r="TX32" s="218"/>
      <c r="TY32" s="218"/>
      <c r="TZ32" s="218"/>
      <c r="UA32" s="218"/>
      <c r="UB32" s="218"/>
      <c r="UC32" s="218"/>
      <c r="UD32" s="218"/>
      <c r="UE32" s="218"/>
      <c r="UF32" s="218"/>
      <c r="UG32" s="218"/>
      <c r="UH32" s="218"/>
      <c r="UI32" s="218"/>
      <c r="UJ32" s="218"/>
      <c r="UK32" s="218"/>
      <c r="UL32" s="218"/>
      <c r="UM32" s="218"/>
      <c r="UN32" s="218"/>
      <c r="UO32" s="218"/>
      <c r="UP32" s="218"/>
      <c r="UQ32" s="218"/>
      <c r="UR32" s="218"/>
      <c r="US32" s="218"/>
      <c r="UT32" s="218"/>
      <c r="UU32" s="218"/>
      <c r="UV32" s="218"/>
      <c r="UW32" s="218"/>
      <c r="UX32" s="218"/>
      <c r="UY32" s="218"/>
      <c r="UZ32" s="218"/>
      <c r="VA32" s="218"/>
      <c r="VB32" s="218"/>
      <c r="VC32" s="218"/>
      <c r="VD32" s="218"/>
      <c r="VE32" s="218"/>
      <c r="VF32" s="218"/>
      <c r="VG32" s="218"/>
      <c r="VH32" s="218"/>
      <c r="VI32" s="218"/>
      <c r="VJ32" s="218"/>
      <c r="VK32" s="218"/>
      <c r="VL32" s="218"/>
      <c r="VM32" s="218"/>
      <c r="VN32" s="218"/>
      <c r="VO32" s="218"/>
      <c r="VP32" s="218"/>
      <c r="VQ32" s="218"/>
      <c r="VR32" s="218"/>
      <c r="VS32" s="218"/>
      <c r="VT32" s="218"/>
      <c r="VU32" s="218"/>
      <c r="VV32" s="218"/>
      <c r="VW32" s="218"/>
      <c r="VX32" s="218"/>
      <c r="VY32" s="218"/>
      <c r="VZ32" s="218"/>
      <c r="WA32" s="218"/>
      <c r="WB32" s="218"/>
      <c r="WC32" s="218"/>
      <c r="WD32" s="218"/>
      <c r="WE32" s="218"/>
      <c r="WF32" s="218"/>
      <c r="WG32" s="218"/>
      <c r="WH32" s="218"/>
      <c r="WI32" s="218"/>
      <c r="WJ32" s="218"/>
      <c r="WK32" s="218"/>
      <c r="WL32" s="218"/>
      <c r="WM32" s="218"/>
      <c r="WN32" s="218"/>
      <c r="WO32" s="218"/>
      <c r="WP32" s="218"/>
      <c r="WQ32" s="218"/>
      <c r="WR32" s="218"/>
      <c r="WS32" s="218"/>
      <c r="WT32" s="218"/>
      <c r="WU32" s="218"/>
      <c r="WV32" s="218"/>
      <c r="WW32" s="218"/>
      <c r="WX32" s="218"/>
      <c r="WY32" s="218"/>
      <c r="WZ32" s="218"/>
      <c r="XA32" s="218"/>
      <c r="XB32" s="218"/>
      <c r="XC32" s="218"/>
      <c r="XD32" s="218"/>
      <c r="XE32" s="218"/>
      <c r="XF32" s="218"/>
      <c r="XG32" s="218"/>
      <c r="XH32" s="218"/>
      <c r="XI32" s="218"/>
      <c r="XJ32" s="218"/>
      <c r="XK32" s="218"/>
      <c r="XL32" s="218"/>
      <c r="XM32" s="218"/>
      <c r="XN32" s="218"/>
      <c r="XO32" s="218"/>
      <c r="XP32" s="218"/>
      <c r="XQ32" s="218"/>
      <c r="XR32" s="218"/>
      <c r="XS32" s="218"/>
      <c r="XT32" s="218"/>
      <c r="XU32" s="218"/>
      <c r="XV32" s="218"/>
      <c r="XW32" s="218"/>
      <c r="XX32" s="218"/>
      <c r="XY32" s="218"/>
      <c r="XZ32" s="218"/>
      <c r="YA32" s="218"/>
      <c r="YB32" s="218"/>
      <c r="YC32" s="218"/>
      <c r="YD32" s="218"/>
      <c r="YE32" s="218"/>
      <c r="YF32" s="218"/>
      <c r="YG32" s="218"/>
      <c r="YH32" s="218"/>
      <c r="YI32" s="218"/>
      <c r="YJ32" s="218"/>
      <c r="YK32" s="218"/>
      <c r="YL32" s="218"/>
      <c r="YM32" s="218"/>
      <c r="YN32" s="218"/>
      <c r="YO32" s="218"/>
      <c r="YP32" s="218"/>
      <c r="YQ32" s="218"/>
      <c r="YR32" s="218"/>
      <c r="YS32" s="218"/>
      <c r="YT32" s="218"/>
      <c r="YU32" s="218"/>
      <c r="YV32" s="218"/>
      <c r="YW32" s="218"/>
      <c r="YX32" s="218"/>
      <c r="YY32" s="218"/>
      <c r="YZ32" s="218"/>
      <c r="ZA32" s="218"/>
      <c r="ZB32" s="218"/>
      <c r="ZC32" s="218"/>
      <c r="ZD32" s="218"/>
      <c r="ZE32" s="218"/>
      <c r="ZF32" s="218"/>
      <c r="ZG32" s="218"/>
      <c r="ZH32" s="218"/>
      <c r="ZI32" s="218"/>
      <c r="ZJ32" s="218"/>
      <c r="ZK32" s="218"/>
      <c r="ZL32" s="218"/>
      <c r="ZM32" s="218"/>
      <c r="ZN32" s="218"/>
      <c r="ZO32" s="218"/>
      <c r="ZP32" s="218"/>
      <c r="ZQ32" s="218"/>
      <c r="ZR32" s="218"/>
      <c r="ZS32" s="218"/>
      <c r="ZT32" s="218"/>
      <c r="ZU32" s="218"/>
      <c r="ZV32" s="218"/>
      <c r="ZW32" s="218"/>
      <c r="ZX32" s="218"/>
      <c r="ZY32" s="218"/>
      <c r="ZZ32" s="218"/>
      <c r="AAA32" s="218"/>
      <c r="AAB32" s="218"/>
      <c r="AAC32" s="218"/>
      <c r="AAD32" s="218"/>
      <c r="AAE32" s="218"/>
      <c r="AAF32" s="218"/>
      <c r="AAG32" s="218"/>
      <c r="AAH32" s="218"/>
      <c r="AAI32" s="218"/>
      <c r="AAJ32" s="218"/>
      <c r="AAK32" s="218"/>
      <c r="AAL32" s="218"/>
      <c r="AAM32" s="218"/>
      <c r="AAN32" s="218"/>
      <c r="AAO32" s="218"/>
      <c r="AAP32" s="218"/>
      <c r="AAQ32" s="218"/>
      <c r="AAR32" s="218"/>
      <c r="AAS32" s="218"/>
      <c r="AAT32" s="218"/>
      <c r="AAU32" s="218"/>
      <c r="AAV32" s="218"/>
      <c r="AAW32" s="218"/>
      <c r="AAX32" s="218"/>
      <c r="AAY32" s="218"/>
      <c r="AAZ32" s="218"/>
      <c r="ABA32" s="218"/>
      <c r="ABB32" s="218"/>
      <c r="ABC32" s="218"/>
      <c r="ABD32" s="218"/>
      <c r="ABE32" s="218"/>
      <c r="ABF32" s="218"/>
      <c r="ABG32" s="218"/>
      <c r="ABH32" s="218"/>
      <c r="ABI32" s="218"/>
      <c r="ABJ32" s="218"/>
      <c r="ABK32" s="218"/>
      <c r="ABL32" s="218"/>
      <c r="ABM32" s="218"/>
      <c r="ABN32" s="218"/>
      <c r="ABO32" s="218"/>
      <c r="ABP32" s="218"/>
      <c r="ABQ32" s="218"/>
      <c r="ABR32" s="218"/>
      <c r="ABS32" s="218"/>
      <c r="ABT32" s="218"/>
      <c r="ABU32" s="218"/>
      <c r="ABV32" s="218"/>
      <c r="ABW32" s="218"/>
      <c r="ABX32" s="218"/>
      <c r="ABY32" s="218"/>
      <c r="ABZ32" s="218"/>
      <c r="ACA32" s="218"/>
      <c r="ACB32" s="218"/>
      <c r="ACC32" s="218"/>
      <c r="ACD32" s="218"/>
      <c r="ACE32" s="218"/>
      <c r="ACF32" s="218"/>
      <c r="ACG32" s="218"/>
      <c r="ACH32" s="218"/>
      <c r="ACI32" s="218"/>
      <c r="ACJ32" s="218"/>
      <c r="ACK32" s="218"/>
      <c r="ACL32" s="218"/>
      <c r="ACM32" s="218"/>
      <c r="ACN32" s="218"/>
      <c r="ACO32" s="218"/>
      <c r="ACP32" s="218"/>
      <c r="ACQ32" s="218"/>
      <c r="ACR32" s="218"/>
      <c r="ACS32" s="218"/>
      <c r="ACT32" s="218"/>
      <c r="ACU32" s="218"/>
      <c r="ACV32" s="218"/>
      <c r="ACW32" s="218"/>
      <c r="ACX32" s="218"/>
      <c r="ACY32" s="218"/>
      <c r="ACZ32" s="218"/>
      <c r="ADA32" s="218"/>
      <c r="ADB32" s="218"/>
      <c r="ADC32" s="218"/>
      <c r="ADD32" s="218"/>
      <c r="ADE32" s="218"/>
      <c r="ADF32" s="218"/>
      <c r="ADG32" s="218"/>
      <c r="ADH32" s="218"/>
      <c r="ADI32" s="218"/>
      <c r="ADJ32" s="218"/>
      <c r="ADK32" s="218"/>
      <c r="ADL32" s="218"/>
      <c r="ADM32" s="218"/>
      <c r="ADN32" s="218"/>
      <c r="ADO32" s="218"/>
      <c r="ADP32" s="218"/>
      <c r="ADQ32" s="218"/>
      <c r="ADR32" s="218"/>
      <c r="ADS32" s="218"/>
      <c r="ADT32" s="218"/>
      <c r="ADU32" s="218"/>
      <c r="ADV32" s="218"/>
      <c r="ADW32" s="218"/>
      <c r="ADX32" s="218"/>
      <c r="ADY32" s="218"/>
      <c r="ADZ32" s="218"/>
      <c r="AEA32" s="218"/>
      <c r="AEB32" s="218"/>
      <c r="AEC32" s="218"/>
      <c r="AED32" s="218"/>
      <c r="AEE32" s="218"/>
      <c r="AEF32" s="218"/>
      <c r="AEG32" s="218"/>
      <c r="AEH32" s="218"/>
      <c r="AEI32" s="218"/>
      <c r="AEJ32" s="218"/>
      <c r="AEK32" s="218"/>
      <c r="AEL32" s="218"/>
      <c r="AEM32" s="218"/>
      <c r="AEN32" s="218"/>
      <c r="AEO32" s="218"/>
      <c r="AEP32" s="218"/>
      <c r="AEQ32" s="218"/>
      <c r="AER32" s="218"/>
      <c r="AES32" s="218"/>
      <c r="AET32" s="218"/>
      <c r="AEU32" s="218"/>
      <c r="AEV32" s="218"/>
      <c r="AEW32" s="218"/>
      <c r="AEX32" s="218"/>
      <c r="AEY32" s="218"/>
      <c r="AEZ32" s="218"/>
      <c r="AFA32" s="218"/>
      <c r="AFB32" s="218"/>
      <c r="AFC32" s="218"/>
      <c r="AFD32" s="218"/>
      <c r="AFE32" s="218"/>
      <c r="AFF32" s="218"/>
      <c r="AFG32" s="218"/>
      <c r="AFH32" s="218"/>
      <c r="AFI32" s="218"/>
      <c r="AFJ32" s="218"/>
      <c r="AFK32" s="218"/>
      <c r="AFL32" s="218"/>
      <c r="AFM32" s="218"/>
      <c r="AFN32" s="218"/>
      <c r="AFO32" s="218"/>
      <c r="AFP32" s="218"/>
      <c r="AFQ32" s="218"/>
      <c r="AFR32" s="218"/>
      <c r="AFS32" s="218"/>
      <c r="AFT32" s="218"/>
      <c r="AFU32" s="218"/>
      <c r="AFV32" s="218"/>
      <c r="AFW32" s="218"/>
      <c r="AFX32" s="218"/>
      <c r="AFY32" s="218"/>
      <c r="AFZ32" s="218"/>
      <c r="AGA32" s="218"/>
      <c r="AGB32" s="218"/>
      <c r="AGC32" s="218"/>
      <c r="AGD32" s="218"/>
      <c r="AGE32" s="218"/>
      <c r="AGF32" s="218"/>
      <c r="AGG32" s="218"/>
      <c r="AGH32" s="218"/>
      <c r="AGI32" s="218"/>
      <c r="AGJ32" s="218"/>
      <c r="AGK32" s="218"/>
      <c r="AGL32" s="218"/>
      <c r="AGM32" s="218"/>
      <c r="AGN32" s="218"/>
      <c r="AGO32" s="218"/>
      <c r="AGP32" s="218"/>
      <c r="AGQ32" s="218"/>
      <c r="AGR32" s="218"/>
      <c r="AGS32" s="218"/>
      <c r="AGT32" s="218"/>
      <c r="AGU32" s="218"/>
      <c r="AGV32" s="218"/>
      <c r="AGW32" s="218"/>
      <c r="AGX32" s="218"/>
      <c r="AGY32" s="218"/>
      <c r="AGZ32" s="218"/>
      <c r="AHA32" s="218"/>
      <c r="AHB32" s="218"/>
      <c r="AHC32" s="218"/>
      <c r="AHD32" s="218"/>
      <c r="AHE32" s="218"/>
      <c r="AHF32" s="218"/>
      <c r="AHG32" s="218"/>
      <c r="AHH32" s="218"/>
      <c r="AHI32" s="218"/>
      <c r="AHJ32" s="218"/>
      <c r="AHK32" s="218"/>
      <c r="AHL32" s="218"/>
      <c r="AHM32" s="218"/>
      <c r="AHN32" s="218"/>
      <c r="AHO32" s="218"/>
      <c r="AHP32" s="218"/>
      <c r="AHQ32" s="218"/>
      <c r="AHR32" s="218"/>
      <c r="AHS32" s="218"/>
      <c r="AHT32" s="218"/>
      <c r="AHU32" s="218"/>
      <c r="AHV32" s="218"/>
      <c r="AHW32" s="218"/>
      <c r="AHX32" s="218"/>
      <c r="AHY32" s="218"/>
      <c r="AHZ32" s="218"/>
      <c r="AIA32" s="218"/>
      <c r="AIB32" s="218"/>
      <c r="AIC32" s="218"/>
      <c r="AID32" s="218"/>
      <c r="AIE32" s="218"/>
      <c r="AIF32" s="218"/>
      <c r="AIG32" s="218"/>
      <c r="AIH32" s="218"/>
      <c r="AII32" s="218"/>
      <c r="AIJ32" s="218"/>
      <c r="AIK32" s="218"/>
      <c r="AIL32" s="218"/>
      <c r="AIM32" s="218"/>
      <c r="AIN32" s="218"/>
      <c r="AIO32" s="218"/>
      <c r="AIP32" s="218"/>
      <c r="AIQ32" s="218"/>
      <c r="AIR32" s="218"/>
      <c r="AIS32" s="218"/>
      <c r="AIT32" s="218"/>
      <c r="AIU32" s="218"/>
      <c r="AIV32" s="218"/>
      <c r="AIW32" s="218"/>
      <c r="AIX32" s="218"/>
      <c r="AIY32" s="218"/>
      <c r="AIZ32" s="218"/>
      <c r="AJA32" s="218"/>
      <c r="AJB32" s="218"/>
      <c r="AJC32" s="218"/>
      <c r="AJD32" s="218"/>
      <c r="AJE32" s="218"/>
      <c r="AJF32" s="218"/>
      <c r="AJG32" s="218"/>
      <c r="AJH32" s="218"/>
      <c r="AJI32" s="218"/>
      <c r="AJJ32" s="218"/>
      <c r="AJK32" s="218"/>
      <c r="AJL32" s="218"/>
      <c r="AJM32" s="218"/>
      <c r="AJN32" s="218"/>
      <c r="AJO32" s="218"/>
      <c r="AJP32" s="218"/>
      <c r="AJQ32" s="218"/>
      <c r="AJR32" s="218"/>
      <c r="AJS32" s="218"/>
      <c r="AJT32" s="218"/>
      <c r="AJU32" s="218"/>
      <c r="AJV32" s="218"/>
      <c r="AJW32" s="218"/>
      <c r="AJX32" s="218"/>
      <c r="AJY32" s="218"/>
      <c r="AJZ32" s="218"/>
      <c r="AKA32" s="218"/>
      <c r="AKB32" s="218"/>
      <c r="AKC32" s="218"/>
      <c r="AKD32" s="218"/>
      <c r="AKE32" s="218"/>
      <c r="AKF32" s="218"/>
      <c r="AKG32" s="218"/>
      <c r="AKH32" s="218"/>
      <c r="AKI32" s="218"/>
      <c r="AKJ32" s="218"/>
      <c r="AKK32" s="218"/>
      <c r="AKL32" s="218"/>
      <c r="AKM32" s="218"/>
      <c r="AKN32" s="218"/>
      <c r="AKO32" s="218"/>
      <c r="AKP32" s="218"/>
      <c r="AKQ32" s="218"/>
      <c r="AKR32" s="218"/>
      <c r="AKS32" s="218"/>
      <c r="AKT32" s="218"/>
      <c r="AKU32" s="218"/>
      <c r="AKV32" s="218"/>
      <c r="AKW32" s="218"/>
      <c r="AKX32" s="218"/>
      <c r="AKY32" s="218"/>
      <c r="AKZ32" s="218"/>
      <c r="ALA32" s="218"/>
      <c r="ALB32" s="218"/>
      <c r="ALC32" s="218"/>
      <c r="ALD32" s="218"/>
      <c r="ALE32" s="218"/>
      <c r="ALF32" s="218"/>
      <c r="ALG32" s="218"/>
      <c r="ALH32" s="218"/>
      <c r="ALI32" s="218"/>
      <c r="ALJ32" s="218"/>
      <c r="ALK32" s="218"/>
      <c r="ALL32" s="218"/>
      <c r="ALM32" s="218"/>
      <c r="ALN32" s="218"/>
      <c r="ALO32" s="218"/>
      <c r="ALP32" s="218"/>
      <c r="ALQ32" s="218"/>
      <c r="ALR32" s="218"/>
      <c r="ALS32" s="218"/>
      <c r="ALT32" s="218"/>
      <c r="ALU32" s="218"/>
      <c r="ALV32" s="218"/>
      <c r="ALW32" s="218"/>
      <c r="ALX32" s="218"/>
      <c r="ALY32" s="218"/>
      <c r="ALZ32" s="218"/>
      <c r="AMA32" s="218"/>
      <c r="AMB32" s="218"/>
      <c r="AMC32" s="218"/>
      <c r="AMD32" s="218"/>
      <c r="AME32" s="218"/>
      <c r="AMF32" s="218"/>
      <c r="AMG32" s="218"/>
      <c r="AMH32" s="218"/>
      <c r="AMI32" s="218"/>
      <c r="AMJ32" s="218"/>
      <c r="AMK32" s="218"/>
      <c r="AML32" s="218"/>
      <c r="AMM32" s="218"/>
      <c r="AMN32" s="218"/>
      <c r="AMO32" s="218"/>
      <c r="AMP32" s="218"/>
      <c r="AMQ32" s="218"/>
      <c r="AMR32" s="218"/>
      <c r="AMS32" s="218"/>
      <c r="AMT32" s="218"/>
      <c r="AMU32" s="218"/>
      <c r="AMV32" s="218"/>
      <c r="AMW32" s="218"/>
      <c r="AMX32" s="218"/>
      <c r="AMY32" s="218"/>
      <c r="AMZ32" s="218"/>
      <c r="ANA32" s="218"/>
      <c r="ANB32" s="218"/>
      <c r="ANC32" s="218"/>
      <c r="AND32" s="218"/>
      <c r="ANE32" s="218"/>
      <c r="ANF32" s="218"/>
      <c r="ANG32" s="218"/>
      <c r="ANH32" s="218"/>
      <c r="ANI32" s="218"/>
      <c r="ANJ32" s="218"/>
      <c r="ANK32" s="218"/>
      <c r="ANL32" s="218"/>
      <c r="ANM32" s="218"/>
      <c r="ANN32" s="218"/>
      <c r="ANO32" s="218"/>
      <c r="ANP32" s="218"/>
      <c r="ANQ32" s="218"/>
      <c r="ANR32" s="218"/>
      <c r="ANS32" s="218"/>
      <c r="ANT32" s="218"/>
      <c r="ANU32" s="218"/>
      <c r="ANV32" s="218"/>
      <c r="ANW32" s="218"/>
      <c r="ANX32" s="218"/>
      <c r="ANY32" s="218"/>
      <c r="ANZ32" s="218"/>
      <c r="AOA32" s="218"/>
      <c r="AOB32" s="218"/>
      <c r="AOC32" s="218"/>
      <c r="AOD32" s="218"/>
      <c r="AOE32" s="218"/>
      <c r="AOF32" s="218"/>
      <c r="AOG32" s="218"/>
      <c r="AOH32" s="218"/>
      <c r="AOI32" s="218"/>
      <c r="AOJ32" s="218"/>
      <c r="AOK32" s="218"/>
      <c r="AOL32" s="218"/>
      <c r="AOM32" s="218"/>
      <c r="AON32" s="218"/>
      <c r="AOO32" s="218"/>
      <c r="AOP32" s="218"/>
      <c r="AOQ32" s="218"/>
      <c r="AOR32" s="218"/>
      <c r="AOS32" s="218"/>
      <c r="AOT32" s="218"/>
      <c r="AOU32" s="218"/>
      <c r="AOV32" s="218"/>
      <c r="AOW32" s="218"/>
      <c r="AOX32" s="218"/>
      <c r="AOY32" s="218"/>
      <c r="AOZ32" s="218"/>
      <c r="APA32" s="218"/>
      <c r="APB32" s="218"/>
      <c r="APC32" s="218"/>
      <c r="APD32" s="218"/>
      <c r="APE32" s="218"/>
      <c r="APF32" s="218"/>
      <c r="APG32" s="218"/>
      <c r="APH32" s="218"/>
      <c r="API32" s="218"/>
      <c r="APJ32" s="218"/>
      <c r="APK32" s="218"/>
      <c r="APL32" s="218"/>
      <c r="APM32" s="218"/>
      <c r="APN32" s="218"/>
      <c r="APO32" s="218"/>
      <c r="APP32" s="218"/>
      <c r="APQ32" s="218"/>
      <c r="APR32" s="218"/>
      <c r="APS32" s="218"/>
      <c r="APT32" s="218"/>
      <c r="APU32" s="218"/>
      <c r="APV32" s="218"/>
      <c r="APW32" s="218"/>
      <c r="APX32" s="218"/>
      <c r="APY32" s="218"/>
      <c r="APZ32" s="218"/>
      <c r="AQA32" s="218"/>
      <c r="AQB32" s="218"/>
      <c r="AQC32" s="218"/>
      <c r="AQD32" s="218"/>
      <c r="AQE32" s="218"/>
      <c r="AQF32" s="218"/>
      <c r="AQG32" s="218"/>
      <c r="AQH32" s="218"/>
      <c r="AQI32" s="218"/>
      <c r="AQJ32" s="218"/>
      <c r="AQK32" s="218"/>
      <c r="AQL32" s="218"/>
      <c r="AQM32" s="218"/>
      <c r="AQN32" s="218"/>
      <c r="AQO32" s="218"/>
      <c r="AQP32" s="218"/>
      <c r="AQQ32" s="218"/>
      <c r="AQR32" s="218"/>
      <c r="AQS32" s="218"/>
      <c r="AQT32" s="218"/>
      <c r="AQU32" s="218"/>
      <c r="AQV32" s="218"/>
      <c r="AQW32" s="218"/>
      <c r="AQX32" s="218"/>
      <c r="AQY32" s="218"/>
      <c r="AQZ32" s="218"/>
      <c r="ARA32" s="218"/>
      <c r="ARB32" s="218"/>
      <c r="ARC32" s="218"/>
      <c r="ARD32" s="218"/>
      <c r="ARE32" s="218"/>
      <c r="ARF32" s="218"/>
      <c r="ARG32" s="218"/>
      <c r="ARH32" s="218"/>
      <c r="ARI32" s="218"/>
      <c r="ARJ32" s="218"/>
      <c r="ARK32" s="218"/>
      <c r="ARL32" s="218"/>
      <c r="ARM32" s="218"/>
      <c r="ARN32" s="218"/>
      <c r="ARO32" s="218"/>
      <c r="ARP32" s="218"/>
      <c r="ARQ32" s="218"/>
      <c r="ARR32" s="218"/>
      <c r="ARS32" s="218"/>
      <c r="ART32" s="218"/>
      <c r="ARU32" s="218"/>
      <c r="ARV32" s="218"/>
      <c r="ARW32" s="218"/>
      <c r="ARX32" s="218"/>
      <c r="ARY32" s="218"/>
      <c r="ARZ32" s="218"/>
      <c r="ASA32" s="218"/>
      <c r="ASB32" s="218"/>
      <c r="ASC32" s="218"/>
      <c r="ASD32" s="218"/>
      <c r="ASE32" s="218"/>
      <c r="ASF32" s="218"/>
      <c r="ASG32" s="218"/>
      <c r="ASH32" s="218"/>
      <c r="ASI32" s="218"/>
      <c r="ASJ32" s="218"/>
      <c r="ASK32" s="218"/>
      <c r="ASL32" s="218"/>
      <c r="ASM32" s="218"/>
      <c r="ASN32" s="218"/>
      <c r="ASO32" s="218"/>
      <c r="ASP32" s="218"/>
      <c r="ASQ32" s="218"/>
      <c r="ASR32" s="218"/>
      <c r="ASS32" s="218"/>
      <c r="AST32" s="218"/>
      <c r="ASU32" s="218"/>
      <c r="ASV32" s="218"/>
      <c r="ASW32" s="218"/>
      <c r="ASX32" s="218"/>
      <c r="ASY32" s="218"/>
      <c r="ASZ32" s="218"/>
      <c r="ATA32" s="218"/>
      <c r="ATB32" s="218"/>
      <c r="ATC32" s="218"/>
      <c r="ATD32" s="218"/>
      <c r="ATE32" s="218"/>
      <c r="ATF32" s="218"/>
      <c r="ATG32" s="218"/>
      <c r="ATH32" s="218"/>
      <c r="ATI32" s="218"/>
      <c r="ATJ32" s="218"/>
      <c r="ATK32" s="218"/>
      <c r="ATL32" s="218"/>
      <c r="ATM32" s="218"/>
      <c r="ATN32" s="218"/>
      <c r="ATO32" s="218"/>
      <c r="ATP32" s="218"/>
      <c r="ATQ32" s="218"/>
      <c r="ATR32" s="218"/>
      <c r="ATS32" s="218"/>
      <c r="ATT32" s="218"/>
      <c r="ATU32" s="218"/>
      <c r="ATV32" s="218"/>
      <c r="ATW32" s="218"/>
      <c r="ATX32" s="218"/>
      <c r="ATY32" s="218"/>
      <c r="ATZ32" s="218"/>
      <c r="AUA32" s="218"/>
      <c r="AUB32" s="218"/>
      <c r="AUC32" s="218"/>
      <c r="AUD32" s="218"/>
      <c r="AUE32" s="218"/>
      <c r="AUF32" s="218"/>
      <c r="AUG32" s="218"/>
      <c r="AUH32" s="218"/>
      <c r="AUI32" s="218"/>
      <c r="AUJ32" s="218"/>
      <c r="AUK32" s="218"/>
      <c r="AUL32" s="218"/>
      <c r="AUM32" s="218"/>
      <c r="AUN32" s="218"/>
      <c r="AUO32" s="218"/>
      <c r="AUP32" s="218"/>
      <c r="AUQ32" s="218"/>
      <c r="AUR32" s="218"/>
      <c r="AUS32" s="218"/>
      <c r="AUT32" s="218"/>
      <c r="AUU32" s="218"/>
      <c r="AUV32" s="218"/>
      <c r="AUW32" s="218"/>
      <c r="AUX32" s="218"/>
      <c r="AUY32" s="218"/>
      <c r="AUZ32" s="218"/>
      <c r="AVA32" s="218"/>
      <c r="AVB32" s="218"/>
      <c r="AVC32" s="218"/>
      <c r="AVD32" s="218"/>
      <c r="AVE32" s="218"/>
      <c r="AVF32" s="218"/>
      <c r="AVG32" s="218"/>
      <c r="AVH32" s="218"/>
      <c r="AVI32" s="218"/>
      <c r="AVJ32" s="218"/>
      <c r="AVK32" s="218"/>
      <c r="AVL32" s="218"/>
      <c r="AVM32" s="218"/>
      <c r="AVN32" s="218"/>
      <c r="AVO32" s="218"/>
      <c r="AVP32" s="218"/>
      <c r="AVQ32" s="218"/>
      <c r="AVR32" s="218"/>
      <c r="AVS32" s="218"/>
      <c r="AVT32" s="218"/>
      <c r="AVU32" s="218"/>
      <c r="AVV32" s="218"/>
      <c r="AVW32" s="218"/>
      <c r="AVX32" s="218"/>
      <c r="AVY32" s="218"/>
      <c r="AVZ32" s="218"/>
      <c r="AWA32" s="218"/>
      <c r="AWB32" s="218"/>
      <c r="AWC32" s="218"/>
      <c r="AWD32" s="218"/>
      <c r="AWE32" s="218"/>
      <c r="AWF32" s="218"/>
      <c r="AWG32" s="218"/>
      <c r="AWH32" s="218"/>
      <c r="AWI32" s="218"/>
      <c r="AWJ32" s="218"/>
      <c r="AWK32" s="218"/>
      <c r="AWL32" s="218"/>
      <c r="AWM32" s="218"/>
      <c r="AWN32" s="218"/>
      <c r="AWO32" s="218"/>
      <c r="AWP32" s="218"/>
      <c r="AWQ32" s="218"/>
      <c r="AWR32" s="218"/>
      <c r="AWS32" s="218"/>
      <c r="AWT32" s="218"/>
      <c r="AWU32" s="218"/>
      <c r="AWV32" s="218"/>
      <c r="AWW32" s="218"/>
      <c r="AWX32" s="218"/>
      <c r="AWY32" s="218"/>
      <c r="AWZ32" s="218"/>
      <c r="AXA32" s="218"/>
      <c r="AXB32" s="218"/>
      <c r="AXC32" s="218"/>
      <c r="AXD32" s="218"/>
      <c r="AXE32" s="218"/>
      <c r="AXF32" s="218"/>
      <c r="AXG32" s="218"/>
      <c r="AXH32" s="218"/>
      <c r="AXI32" s="218"/>
      <c r="AXJ32" s="218"/>
      <c r="AXK32" s="218"/>
      <c r="AXL32" s="218"/>
      <c r="AXM32" s="218"/>
      <c r="AXN32" s="218"/>
      <c r="AXO32" s="218"/>
      <c r="AXP32" s="218"/>
      <c r="AXQ32" s="218"/>
      <c r="AXR32" s="218"/>
      <c r="AXS32" s="218"/>
      <c r="AXT32" s="218"/>
      <c r="AXU32" s="218"/>
      <c r="AXV32" s="218"/>
      <c r="AXW32" s="218"/>
      <c r="AXX32" s="218"/>
      <c r="AXY32" s="218"/>
      <c r="AXZ32" s="218"/>
      <c r="AYA32" s="218"/>
      <c r="AYB32" s="218"/>
      <c r="AYC32" s="218"/>
      <c r="AYD32" s="218"/>
      <c r="AYE32" s="218"/>
      <c r="AYF32" s="218"/>
      <c r="AYG32" s="218"/>
      <c r="AYH32" s="218"/>
      <c r="AYI32" s="218"/>
      <c r="AYJ32" s="218"/>
      <c r="AYK32" s="218"/>
      <c r="AYL32" s="218"/>
      <c r="AYM32" s="218"/>
      <c r="AYN32" s="218"/>
      <c r="AYO32" s="218"/>
      <c r="AYP32" s="218"/>
      <c r="AYQ32" s="218"/>
      <c r="AYR32" s="218"/>
      <c r="AYS32" s="218"/>
      <c r="AYT32" s="218"/>
      <c r="AYU32" s="218"/>
      <c r="AYV32" s="218"/>
      <c r="AYW32" s="218"/>
      <c r="AYX32" s="218"/>
      <c r="AYY32" s="218"/>
      <c r="AYZ32" s="218"/>
      <c r="AZA32" s="218"/>
      <c r="AZB32" s="218"/>
      <c r="AZC32" s="218"/>
      <c r="AZD32" s="218"/>
      <c r="AZE32" s="218"/>
      <c r="AZF32" s="218"/>
      <c r="AZG32" s="218"/>
      <c r="AZH32" s="218"/>
      <c r="AZI32" s="218"/>
      <c r="AZJ32" s="218"/>
      <c r="AZK32" s="218"/>
      <c r="AZL32" s="218"/>
      <c r="AZM32" s="218"/>
      <c r="AZN32" s="218"/>
      <c r="AZO32" s="218"/>
      <c r="AZP32" s="218"/>
      <c r="AZQ32" s="218"/>
      <c r="AZR32" s="218"/>
      <c r="AZS32" s="218"/>
      <c r="AZT32" s="218"/>
      <c r="AZU32" s="218"/>
      <c r="AZV32" s="218"/>
      <c r="AZW32" s="218"/>
      <c r="AZX32" s="218"/>
      <c r="AZY32" s="218"/>
      <c r="AZZ32" s="218"/>
      <c r="BAA32" s="218"/>
      <c r="BAB32" s="218"/>
      <c r="BAC32" s="218"/>
      <c r="BAD32" s="218"/>
      <c r="BAE32" s="218"/>
      <c r="BAF32" s="218"/>
      <c r="BAG32" s="218"/>
      <c r="BAH32" s="218"/>
      <c r="BAI32" s="218"/>
      <c r="BAJ32" s="218"/>
      <c r="BAK32" s="218"/>
      <c r="BAL32" s="218"/>
      <c r="BAM32" s="218"/>
      <c r="BAN32" s="218"/>
      <c r="BAO32" s="218"/>
      <c r="BAP32" s="218"/>
      <c r="BAQ32" s="218"/>
      <c r="BAR32" s="218"/>
      <c r="BAS32" s="218"/>
      <c r="BAT32" s="218"/>
      <c r="BAU32" s="218"/>
      <c r="BAV32" s="218"/>
      <c r="BAW32" s="218"/>
      <c r="BAX32" s="218"/>
      <c r="BAY32" s="218"/>
      <c r="BAZ32" s="218"/>
      <c r="BBA32" s="218"/>
      <c r="BBB32" s="218"/>
      <c r="BBC32" s="218"/>
      <c r="BBD32" s="218"/>
      <c r="BBE32" s="218"/>
      <c r="BBF32" s="218"/>
      <c r="BBG32" s="218"/>
      <c r="BBH32" s="218"/>
      <c r="BBI32" s="218"/>
      <c r="BBJ32" s="218"/>
      <c r="BBK32" s="218"/>
      <c r="BBL32" s="218"/>
      <c r="BBM32" s="218"/>
      <c r="BBN32" s="218"/>
      <c r="BBO32" s="218"/>
      <c r="BBP32" s="218"/>
      <c r="BBQ32" s="218"/>
      <c r="BBR32" s="218"/>
      <c r="BBS32" s="218"/>
      <c r="BBT32" s="218"/>
      <c r="BBU32" s="218"/>
      <c r="BBV32" s="218"/>
      <c r="BBW32" s="218"/>
      <c r="BBX32" s="218"/>
      <c r="BBY32" s="218"/>
      <c r="BBZ32" s="218"/>
      <c r="BCA32" s="218"/>
      <c r="BCB32" s="218"/>
      <c r="BCC32" s="218"/>
      <c r="BCD32" s="218"/>
      <c r="BCE32" s="218"/>
      <c r="BCF32" s="218"/>
      <c r="BCG32" s="218"/>
      <c r="BCH32" s="218"/>
      <c r="BCI32" s="218"/>
      <c r="BCJ32" s="218"/>
      <c r="BCK32" s="218"/>
      <c r="BCL32" s="218"/>
      <c r="BCM32" s="218"/>
      <c r="BCN32" s="218"/>
      <c r="BCO32" s="218"/>
      <c r="BCP32" s="218"/>
      <c r="BCQ32" s="218"/>
      <c r="BCR32" s="218"/>
      <c r="BCS32" s="218"/>
      <c r="BCT32" s="218"/>
      <c r="BCU32" s="218"/>
      <c r="BCV32" s="218"/>
      <c r="BCW32" s="218"/>
      <c r="BCX32" s="218"/>
      <c r="BCY32" s="218"/>
      <c r="BCZ32" s="218"/>
      <c r="BDA32" s="218"/>
      <c r="BDB32" s="218"/>
      <c r="BDC32" s="218"/>
      <c r="BDD32" s="218"/>
      <c r="BDE32" s="218"/>
      <c r="BDF32" s="218"/>
      <c r="BDG32" s="218"/>
      <c r="BDH32" s="218"/>
      <c r="BDI32" s="218"/>
      <c r="BDJ32" s="218"/>
      <c r="BDK32" s="218"/>
      <c r="BDL32" s="218"/>
      <c r="BDM32" s="218"/>
      <c r="BDN32" s="218"/>
      <c r="BDO32" s="218"/>
      <c r="BDP32" s="218"/>
      <c r="BDQ32" s="218"/>
      <c r="BDR32" s="218"/>
      <c r="BDS32" s="218"/>
      <c r="BDT32" s="218"/>
      <c r="BDU32" s="218"/>
      <c r="BDV32" s="218"/>
      <c r="BDW32" s="218"/>
      <c r="BDX32" s="218"/>
      <c r="BDY32" s="218"/>
      <c r="BDZ32" s="218"/>
      <c r="BEA32" s="218"/>
      <c r="BEB32" s="218"/>
      <c r="BEC32" s="218"/>
      <c r="BED32" s="218"/>
      <c r="BEE32" s="218"/>
      <c r="BEF32" s="218"/>
      <c r="BEG32" s="218"/>
      <c r="BEH32" s="218"/>
      <c r="BEI32" s="218"/>
      <c r="BEJ32" s="218"/>
      <c r="BEK32" s="218"/>
      <c r="BEL32" s="218"/>
      <c r="BEM32" s="218"/>
      <c r="BEN32" s="218"/>
      <c r="BEO32" s="218"/>
      <c r="BEP32" s="218"/>
      <c r="BEQ32" s="218"/>
      <c r="BER32" s="218"/>
      <c r="BES32" s="218"/>
      <c r="BET32" s="218"/>
      <c r="BEU32" s="218"/>
      <c r="BEV32" s="218"/>
      <c r="BEW32" s="218"/>
      <c r="BEX32" s="218"/>
      <c r="BEY32" s="218"/>
      <c r="BEZ32" s="218"/>
      <c r="BFA32" s="218"/>
      <c r="BFB32" s="218"/>
      <c r="BFC32" s="218"/>
      <c r="BFD32" s="218"/>
      <c r="BFE32" s="218"/>
      <c r="BFF32" s="218"/>
      <c r="BFG32" s="218"/>
      <c r="BFH32" s="218"/>
      <c r="BFI32" s="218"/>
      <c r="BFJ32" s="218"/>
      <c r="BFK32" s="218"/>
      <c r="BFL32" s="218"/>
      <c r="BFM32" s="218"/>
      <c r="BFN32" s="218"/>
      <c r="BFO32" s="218"/>
      <c r="BFP32" s="218"/>
      <c r="BFQ32" s="218"/>
      <c r="BFR32" s="218"/>
      <c r="BFS32" s="218"/>
      <c r="BFT32" s="218"/>
      <c r="BFU32" s="218"/>
      <c r="BFV32" s="218"/>
      <c r="BFW32" s="218"/>
      <c r="BFX32" s="218"/>
      <c r="BFY32" s="218"/>
      <c r="BFZ32" s="218"/>
      <c r="BGA32" s="218"/>
      <c r="BGB32" s="218"/>
      <c r="BGC32" s="218"/>
      <c r="BGD32" s="218"/>
      <c r="BGE32" s="218"/>
      <c r="BGF32" s="218"/>
      <c r="BGG32" s="218"/>
      <c r="BGH32" s="218"/>
      <c r="BGI32" s="218"/>
      <c r="BGJ32" s="218"/>
      <c r="BGK32" s="218"/>
      <c r="BGL32" s="218"/>
      <c r="BGM32" s="218"/>
      <c r="BGN32" s="218"/>
      <c r="BGO32" s="218"/>
      <c r="BGP32" s="218"/>
      <c r="BGQ32" s="218"/>
      <c r="BGR32" s="218"/>
      <c r="BGS32" s="218"/>
      <c r="BGT32" s="218"/>
      <c r="BGU32" s="218"/>
      <c r="BGV32" s="218"/>
      <c r="BGW32" s="218"/>
      <c r="BGX32" s="218"/>
      <c r="BGY32" s="218"/>
      <c r="BGZ32" s="218"/>
      <c r="BHA32" s="218"/>
      <c r="BHB32" s="218"/>
      <c r="BHC32" s="218"/>
      <c r="BHD32" s="218"/>
      <c r="BHE32" s="218"/>
      <c r="BHF32" s="218"/>
      <c r="BHG32" s="218"/>
      <c r="BHH32" s="218"/>
      <c r="BHI32" s="218"/>
      <c r="BHJ32" s="218"/>
      <c r="BHK32" s="218"/>
      <c r="BHL32" s="218"/>
      <c r="BHM32" s="218"/>
      <c r="BHN32" s="218"/>
      <c r="BHO32" s="218"/>
      <c r="BHP32" s="218"/>
      <c r="BHQ32" s="218"/>
      <c r="BHR32" s="218"/>
      <c r="BHS32" s="218"/>
      <c r="BHT32" s="218"/>
      <c r="BHU32" s="218"/>
      <c r="BHV32" s="218"/>
      <c r="BHW32" s="218"/>
      <c r="BHX32" s="218"/>
      <c r="BHY32" s="218"/>
      <c r="BHZ32" s="218"/>
      <c r="BIA32" s="218"/>
      <c r="BIB32" s="218"/>
      <c r="BIC32" s="218"/>
      <c r="BID32" s="218"/>
      <c r="BIE32" s="218"/>
      <c r="BIF32" s="218"/>
      <c r="BIG32" s="218"/>
      <c r="BIH32" s="218"/>
      <c r="BII32" s="218"/>
      <c r="BIJ32" s="218"/>
      <c r="BIK32" s="218"/>
      <c r="BIL32" s="218"/>
      <c r="BIM32" s="218"/>
      <c r="BIN32" s="218"/>
      <c r="BIO32" s="218"/>
      <c r="BIP32" s="218"/>
      <c r="BIQ32" s="218"/>
      <c r="BIR32" s="218"/>
      <c r="BIS32" s="218"/>
      <c r="BIT32" s="218"/>
      <c r="BIU32" s="218"/>
      <c r="BIV32" s="218"/>
      <c r="BIW32" s="218"/>
      <c r="BIX32" s="218"/>
      <c r="BIY32" s="218"/>
      <c r="BIZ32" s="218"/>
      <c r="BJA32" s="218"/>
      <c r="BJB32" s="218"/>
      <c r="BJC32" s="218"/>
      <c r="BJD32" s="218"/>
      <c r="BJE32" s="218"/>
      <c r="BJF32" s="218"/>
      <c r="BJG32" s="218"/>
      <c r="BJH32" s="218"/>
      <c r="BJI32" s="218"/>
      <c r="BJJ32" s="218"/>
      <c r="BJK32" s="218"/>
      <c r="BJL32" s="218"/>
      <c r="BJM32" s="218"/>
      <c r="BJN32" s="218"/>
      <c r="BJO32" s="218"/>
      <c r="BJP32" s="218"/>
      <c r="BJQ32" s="218"/>
      <c r="BJR32" s="218"/>
      <c r="BJS32" s="218"/>
      <c r="BJT32" s="218"/>
      <c r="BJU32" s="218"/>
      <c r="BJV32" s="218"/>
      <c r="BJW32" s="218"/>
      <c r="BJX32" s="218"/>
      <c r="BJY32" s="218"/>
      <c r="BJZ32" s="218"/>
      <c r="BKA32" s="218"/>
      <c r="BKB32" s="218"/>
      <c r="BKC32" s="218"/>
      <c r="BKD32" s="218"/>
      <c r="BKE32" s="218"/>
      <c r="BKF32" s="218"/>
      <c r="BKG32" s="218"/>
      <c r="BKH32" s="218"/>
      <c r="BKI32" s="218"/>
      <c r="BKJ32" s="218"/>
      <c r="BKK32" s="218"/>
      <c r="BKL32" s="218"/>
      <c r="BKM32" s="218"/>
      <c r="BKN32" s="218"/>
      <c r="BKO32" s="218"/>
      <c r="BKP32" s="218"/>
      <c r="BKQ32" s="218"/>
      <c r="BKR32" s="218"/>
      <c r="BKS32" s="218"/>
      <c r="BKT32" s="218"/>
      <c r="BKU32" s="218"/>
      <c r="BKV32" s="218"/>
      <c r="BKW32" s="218"/>
      <c r="BKX32" s="218"/>
      <c r="BKY32" s="218"/>
      <c r="BKZ32" s="218"/>
      <c r="BLA32" s="218"/>
      <c r="BLB32" s="218"/>
      <c r="BLC32" s="218"/>
      <c r="BLD32" s="218"/>
      <c r="BLE32" s="218"/>
      <c r="BLF32" s="218"/>
      <c r="BLG32" s="218"/>
      <c r="BLH32" s="218"/>
      <c r="BLI32" s="218"/>
      <c r="BLJ32" s="218"/>
      <c r="BLK32" s="218"/>
      <c r="BLL32" s="218"/>
      <c r="BLM32" s="218"/>
      <c r="BLN32" s="218"/>
      <c r="BLO32" s="218"/>
      <c r="BLP32" s="218"/>
      <c r="BLQ32" s="218"/>
      <c r="BLR32" s="218"/>
      <c r="BLS32" s="218"/>
      <c r="BLT32" s="218"/>
      <c r="BLU32" s="218"/>
      <c r="BLV32" s="218"/>
      <c r="BLW32" s="218"/>
      <c r="BLX32" s="218"/>
      <c r="BLY32" s="218"/>
      <c r="BLZ32" s="218"/>
      <c r="BMA32" s="218"/>
      <c r="BMB32" s="218"/>
      <c r="BMC32" s="218"/>
      <c r="BMD32" s="218"/>
      <c r="BME32" s="218"/>
      <c r="BMF32" s="218"/>
      <c r="BMG32" s="218"/>
      <c r="BMH32" s="218"/>
      <c r="BMI32" s="218"/>
      <c r="BMJ32" s="218"/>
      <c r="BMK32" s="218"/>
      <c r="BML32" s="218"/>
      <c r="BMM32" s="218"/>
      <c r="BMN32" s="218"/>
      <c r="BMO32" s="218"/>
      <c r="BMP32" s="218"/>
      <c r="BMQ32" s="218"/>
      <c r="BMR32" s="218"/>
      <c r="BMS32" s="218"/>
      <c r="BMT32" s="218"/>
      <c r="BMU32" s="218"/>
      <c r="BMV32" s="218"/>
      <c r="BMW32" s="218"/>
      <c r="BMX32" s="218"/>
      <c r="BMY32" s="218"/>
      <c r="BMZ32" s="218"/>
      <c r="BNA32" s="218"/>
      <c r="BNB32" s="218"/>
      <c r="BNC32" s="218"/>
      <c r="BND32" s="218"/>
      <c r="BNE32" s="218"/>
      <c r="BNF32" s="218"/>
      <c r="BNG32" s="218"/>
      <c r="BNH32" s="218"/>
      <c r="BNI32" s="218"/>
      <c r="BNJ32" s="218"/>
      <c r="BNK32" s="218"/>
      <c r="BNL32" s="218"/>
      <c r="BNM32" s="218"/>
      <c r="BNN32" s="218"/>
      <c r="BNO32" s="218"/>
      <c r="BNP32" s="218"/>
      <c r="BNQ32" s="218"/>
      <c r="BNR32" s="218"/>
      <c r="BNS32" s="218"/>
      <c r="BNT32" s="218"/>
      <c r="BNU32" s="218"/>
      <c r="BNV32" s="218"/>
      <c r="BNW32" s="218"/>
      <c r="BNX32" s="218"/>
      <c r="BNY32" s="218"/>
      <c r="BNZ32" s="218"/>
      <c r="BOA32" s="218"/>
      <c r="BOB32" s="218"/>
      <c r="BOC32" s="218"/>
      <c r="BOD32" s="218"/>
      <c r="BOE32" s="218"/>
      <c r="BOF32" s="218"/>
      <c r="BOG32" s="218"/>
      <c r="BOH32" s="218"/>
      <c r="BOI32" s="218"/>
      <c r="BOJ32" s="218"/>
      <c r="BOK32" s="218"/>
      <c r="BOL32" s="218"/>
      <c r="BOM32" s="218"/>
      <c r="BON32" s="218"/>
      <c r="BOO32" s="218"/>
      <c r="BOP32" s="218"/>
      <c r="BOQ32" s="218"/>
      <c r="BOR32" s="218"/>
      <c r="BOS32" s="218"/>
      <c r="BOT32" s="218"/>
      <c r="BOU32" s="218"/>
      <c r="BOV32" s="218"/>
      <c r="BOW32" s="218"/>
      <c r="BOX32" s="218"/>
      <c r="BOY32" s="218"/>
      <c r="BOZ32" s="218"/>
      <c r="BPA32" s="218"/>
      <c r="BPB32" s="218"/>
      <c r="BPC32" s="218"/>
      <c r="BPD32" s="218"/>
      <c r="BPE32" s="218"/>
      <c r="BPF32" s="218"/>
      <c r="BPG32" s="218"/>
      <c r="BPH32" s="218"/>
      <c r="BPI32" s="218"/>
      <c r="BPJ32" s="218"/>
      <c r="BPK32" s="218"/>
      <c r="BPL32" s="218"/>
      <c r="BPM32" s="218"/>
      <c r="BPN32" s="218"/>
      <c r="BPO32" s="218"/>
      <c r="BPP32" s="218"/>
      <c r="BPQ32" s="218"/>
      <c r="BPR32" s="218"/>
      <c r="BPS32" s="218"/>
      <c r="BPT32" s="218"/>
      <c r="BPU32" s="218"/>
      <c r="BPV32" s="218"/>
      <c r="BPW32" s="218"/>
      <c r="BPX32" s="218"/>
      <c r="BPY32" s="218"/>
      <c r="BPZ32" s="218"/>
      <c r="BQA32" s="218"/>
      <c r="BQB32" s="218"/>
      <c r="BQC32" s="218"/>
      <c r="BQD32" s="218"/>
      <c r="BQE32" s="218"/>
      <c r="BQF32" s="218"/>
      <c r="BQG32" s="218"/>
      <c r="BQH32" s="218"/>
      <c r="BQI32" s="218"/>
      <c r="BQJ32" s="218"/>
      <c r="BQK32" s="218"/>
      <c r="BQL32" s="218"/>
      <c r="BQM32" s="218"/>
      <c r="BQN32" s="218"/>
      <c r="BQO32" s="218"/>
      <c r="BQP32" s="218"/>
      <c r="BQQ32" s="218"/>
      <c r="BQR32" s="218"/>
      <c r="BQS32" s="218"/>
      <c r="BQT32" s="218"/>
      <c r="BQU32" s="218"/>
      <c r="BQV32" s="218"/>
      <c r="BQW32" s="218"/>
      <c r="BQX32" s="218"/>
      <c r="BQY32" s="218"/>
      <c r="BQZ32" s="218"/>
      <c r="BRA32" s="218"/>
      <c r="BRB32" s="218"/>
      <c r="BRC32" s="218"/>
      <c r="BRD32" s="218"/>
      <c r="BRE32" s="218"/>
      <c r="BRF32" s="218"/>
      <c r="BRG32" s="218"/>
      <c r="BRH32" s="218"/>
      <c r="BRI32" s="218"/>
      <c r="BRJ32" s="218"/>
      <c r="BRK32" s="218"/>
      <c r="BRL32" s="218"/>
      <c r="BRM32" s="218"/>
      <c r="BRN32" s="218"/>
      <c r="BRO32" s="218"/>
      <c r="BRP32" s="218"/>
      <c r="BRQ32" s="218"/>
      <c r="BRR32" s="218"/>
      <c r="BRS32" s="218"/>
      <c r="BRT32" s="218"/>
      <c r="BRU32" s="218"/>
      <c r="BRV32" s="218"/>
      <c r="BRW32" s="218"/>
      <c r="BRX32" s="218"/>
      <c r="BRY32" s="218"/>
      <c r="BRZ32" s="218"/>
      <c r="BSA32" s="218"/>
      <c r="BSB32" s="218"/>
      <c r="BSC32" s="218"/>
      <c r="BSD32" s="218"/>
      <c r="BSE32" s="218"/>
      <c r="BSF32" s="218"/>
      <c r="BSG32" s="218"/>
      <c r="BSH32" s="218"/>
      <c r="BSI32" s="218"/>
      <c r="BSJ32" s="218"/>
      <c r="BSK32" s="218"/>
      <c r="BSL32" s="218"/>
      <c r="BSM32" s="218"/>
      <c r="BSN32" s="218"/>
      <c r="BSO32" s="218"/>
      <c r="BSP32" s="218"/>
      <c r="BSQ32" s="218"/>
      <c r="BSR32" s="218"/>
      <c r="BSS32" s="218"/>
      <c r="BST32" s="218"/>
      <c r="BSU32" s="218"/>
      <c r="BSV32" s="218"/>
      <c r="BSW32" s="218"/>
      <c r="BSX32" s="218"/>
      <c r="BSY32" s="218"/>
      <c r="BSZ32" s="218"/>
      <c r="BTA32" s="218"/>
      <c r="BTB32" s="218"/>
      <c r="BTC32" s="218"/>
      <c r="BTD32" s="218"/>
      <c r="BTE32" s="218"/>
      <c r="BTF32" s="218"/>
      <c r="BTG32" s="218"/>
      <c r="BTH32" s="218"/>
      <c r="BTI32" s="218"/>
      <c r="BTJ32" s="218"/>
      <c r="BTK32" s="218"/>
      <c r="BTL32" s="218"/>
      <c r="BTM32" s="218"/>
      <c r="BTN32" s="218"/>
      <c r="BTO32" s="218"/>
      <c r="BTP32" s="218"/>
      <c r="BTQ32" s="218"/>
      <c r="BTR32" s="218"/>
      <c r="BTS32" s="218"/>
      <c r="BTT32" s="218"/>
      <c r="BTU32" s="218"/>
      <c r="BTV32" s="218"/>
      <c r="BTW32" s="218"/>
      <c r="BTX32" s="218"/>
      <c r="BTY32" s="218"/>
      <c r="BTZ32" s="218"/>
      <c r="BUA32" s="218"/>
      <c r="BUB32" s="218"/>
      <c r="BUC32" s="218"/>
      <c r="BUD32" s="218"/>
      <c r="BUE32" s="218"/>
      <c r="BUF32" s="218"/>
      <c r="BUG32" s="218"/>
      <c r="BUH32" s="218"/>
      <c r="BUI32" s="218"/>
      <c r="BUJ32" s="218"/>
      <c r="BUK32" s="218"/>
      <c r="BUL32" s="218"/>
      <c r="BUM32" s="218"/>
      <c r="BUN32" s="218"/>
      <c r="BUO32" s="218"/>
      <c r="BUP32" s="218"/>
      <c r="BUQ32" s="218"/>
      <c r="BUR32" s="218"/>
      <c r="BUS32" s="218"/>
      <c r="BUT32" s="218"/>
      <c r="BUU32" s="218"/>
      <c r="BUV32" s="218"/>
      <c r="BUW32" s="218"/>
      <c r="BUX32" s="218"/>
      <c r="BUY32" s="218"/>
      <c r="BUZ32" s="218"/>
      <c r="BVA32" s="218"/>
      <c r="BVB32" s="218"/>
      <c r="BVC32" s="218"/>
      <c r="BVD32" s="218"/>
      <c r="BVE32" s="218"/>
      <c r="BVF32" s="218"/>
      <c r="BVG32" s="218"/>
      <c r="BVH32" s="218"/>
      <c r="BVI32" s="218"/>
      <c r="BVJ32" s="218"/>
      <c r="BVK32" s="218"/>
      <c r="BVL32" s="218"/>
      <c r="BVM32" s="218"/>
      <c r="BVN32" s="218"/>
      <c r="BVO32" s="218"/>
      <c r="BVP32" s="218"/>
      <c r="BVQ32" s="218"/>
      <c r="BVR32" s="218"/>
      <c r="BVS32" s="218"/>
      <c r="BVT32" s="218"/>
      <c r="BVU32" s="218"/>
      <c r="BVV32" s="218"/>
      <c r="BVW32" s="218"/>
      <c r="BVX32" s="218"/>
      <c r="BVY32" s="218"/>
      <c r="BVZ32" s="218"/>
      <c r="BWA32" s="218"/>
      <c r="BWB32" s="218"/>
      <c r="BWC32" s="218"/>
      <c r="BWD32" s="218"/>
      <c r="BWE32" s="218"/>
      <c r="BWF32" s="218"/>
      <c r="BWG32" s="218"/>
      <c r="BWH32" s="218"/>
      <c r="BWI32" s="218"/>
      <c r="BWJ32" s="218"/>
      <c r="BWK32" s="218"/>
      <c r="BWL32" s="218"/>
      <c r="BWM32" s="218"/>
      <c r="BWN32" s="218"/>
      <c r="BWO32" s="218"/>
      <c r="BWP32" s="218"/>
      <c r="BWQ32" s="218"/>
      <c r="BWR32" s="218"/>
      <c r="BWS32" s="218"/>
      <c r="BWT32" s="218"/>
      <c r="BWU32" s="218"/>
      <c r="BWV32" s="218"/>
      <c r="BWW32" s="218"/>
      <c r="BWX32" s="218"/>
      <c r="BWY32" s="218"/>
      <c r="BWZ32" s="218"/>
      <c r="BXA32" s="218"/>
      <c r="BXB32" s="218"/>
      <c r="BXC32" s="218"/>
      <c r="BXD32" s="218"/>
      <c r="BXE32" s="218"/>
      <c r="BXF32" s="218"/>
      <c r="BXG32" s="218"/>
      <c r="BXH32" s="218"/>
      <c r="BXI32" s="218"/>
      <c r="BXJ32" s="218"/>
      <c r="BXK32" s="218"/>
      <c r="BXL32" s="218"/>
      <c r="BXM32" s="218"/>
      <c r="BXN32" s="218"/>
      <c r="BXO32" s="218"/>
      <c r="BXP32" s="218"/>
      <c r="BXQ32" s="218"/>
      <c r="BXR32" s="218"/>
      <c r="BXS32" s="218"/>
      <c r="BXT32" s="218"/>
      <c r="BXU32" s="218"/>
      <c r="BXV32" s="218"/>
      <c r="BXW32" s="218"/>
      <c r="BXX32" s="218"/>
      <c r="BXY32" s="218"/>
      <c r="BXZ32" s="218"/>
      <c r="BYA32" s="218"/>
      <c r="BYB32" s="218"/>
      <c r="BYC32" s="218"/>
      <c r="BYD32" s="218"/>
      <c r="BYE32" s="218"/>
      <c r="BYF32" s="218"/>
      <c r="BYG32" s="218"/>
    </row>
    <row r="33" spans="1:2009" s="94" customFormat="1" ht="17.25" customHeight="1" thickBot="1" x14ac:dyDescent="0.3">
      <c r="A33" s="111"/>
      <c r="B33" s="111"/>
      <c r="C33" s="176"/>
      <c r="D33" s="176"/>
      <c r="E33" s="176"/>
      <c r="F33" s="176"/>
      <c r="G33" s="646"/>
      <c r="I33" s="559"/>
    </row>
    <row r="34" spans="1:2009" s="113" customFormat="1" ht="24.95" hidden="1" customHeight="1" x14ac:dyDescent="0.25">
      <c r="A34" s="141" t="s">
        <v>41</v>
      </c>
      <c r="B34" s="142"/>
      <c r="C34" s="185"/>
      <c r="D34" s="185"/>
      <c r="E34" s="186"/>
      <c r="F34" s="186"/>
      <c r="G34" s="653"/>
      <c r="H34" s="94"/>
      <c r="I34" s="559"/>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651"/>
      <c r="H35" s="94"/>
      <c r="I35" s="559"/>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19" customFormat="1" ht="24.95" hidden="1" customHeight="1" thickBot="1" x14ac:dyDescent="0.3">
      <c r="A36" s="220"/>
      <c r="B36" s="216" t="s">
        <v>74</v>
      </c>
      <c r="C36" s="217"/>
      <c r="D36" s="217"/>
      <c r="E36" s="217"/>
      <c r="F36" s="217"/>
      <c r="G36" s="652"/>
      <c r="H36" s="197"/>
      <c r="I36" s="559"/>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8"/>
      <c r="OM36" s="218"/>
      <c r="ON36" s="218"/>
      <c r="OO36" s="218"/>
      <c r="OP36" s="218"/>
      <c r="OQ36" s="218"/>
      <c r="OR36" s="218"/>
      <c r="OS36" s="218"/>
      <c r="OT36" s="218"/>
      <c r="OU36" s="218"/>
      <c r="OV36" s="218"/>
      <c r="OW36" s="218"/>
      <c r="OX36" s="218"/>
      <c r="OY36" s="218"/>
      <c r="OZ36" s="218"/>
      <c r="PA36" s="218"/>
      <c r="PB36" s="218"/>
      <c r="PC36" s="218"/>
      <c r="PD36" s="218"/>
      <c r="PE36" s="218"/>
      <c r="PF36" s="218"/>
      <c r="PG36" s="218"/>
      <c r="PH36" s="218"/>
      <c r="PI36" s="218"/>
      <c r="PJ36" s="218"/>
      <c r="PK36" s="218"/>
      <c r="PL36" s="218"/>
      <c r="PM36" s="218"/>
      <c r="PN36" s="218"/>
      <c r="PO36" s="218"/>
      <c r="PP36" s="218"/>
      <c r="PQ36" s="218"/>
      <c r="PR36" s="218"/>
      <c r="PS36" s="218"/>
      <c r="PT36" s="218"/>
      <c r="PU36" s="218"/>
      <c r="PV36" s="218"/>
      <c r="PW36" s="218"/>
      <c r="PX36" s="218"/>
      <c r="PY36" s="218"/>
      <c r="PZ36" s="218"/>
      <c r="QA36" s="218"/>
      <c r="QB36" s="218"/>
      <c r="QC36" s="218"/>
      <c r="QD36" s="218"/>
      <c r="QE36" s="218"/>
      <c r="QF36" s="218"/>
      <c r="QG36" s="218"/>
      <c r="QH36" s="218"/>
      <c r="QI36" s="218"/>
      <c r="QJ36" s="218"/>
      <c r="QK36" s="218"/>
      <c r="QL36" s="218"/>
      <c r="QM36" s="218"/>
      <c r="QN36" s="218"/>
      <c r="QO36" s="218"/>
      <c r="QP36" s="218"/>
      <c r="QQ36" s="218"/>
      <c r="QR36" s="218"/>
      <c r="QS36" s="218"/>
      <c r="QT36" s="218"/>
      <c r="QU36" s="218"/>
      <c r="QV36" s="218"/>
      <c r="QW36" s="218"/>
      <c r="QX36" s="218"/>
      <c r="QY36" s="218"/>
      <c r="QZ36" s="218"/>
      <c r="RA36" s="218"/>
      <c r="RB36" s="218"/>
      <c r="RC36" s="218"/>
      <c r="RD36" s="218"/>
      <c r="RE36" s="218"/>
      <c r="RF36" s="218"/>
      <c r="RG36" s="218"/>
      <c r="RH36" s="218"/>
      <c r="RI36" s="218"/>
      <c r="RJ36" s="218"/>
      <c r="RK36" s="218"/>
      <c r="RL36" s="218"/>
      <c r="RM36" s="218"/>
      <c r="RN36" s="218"/>
      <c r="RO36" s="218"/>
      <c r="RP36" s="218"/>
      <c r="RQ36" s="218"/>
      <c r="RR36" s="218"/>
      <c r="RS36" s="218"/>
      <c r="RT36" s="218"/>
      <c r="RU36" s="218"/>
      <c r="RV36" s="218"/>
      <c r="RW36" s="218"/>
      <c r="RX36" s="218"/>
      <c r="RY36" s="218"/>
      <c r="RZ36" s="218"/>
      <c r="SA36" s="218"/>
      <c r="SB36" s="218"/>
      <c r="SC36" s="218"/>
      <c r="SD36" s="218"/>
      <c r="SE36" s="218"/>
      <c r="SF36" s="218"/>
      <c r="SG36" s="218"/>
      <c r="SH36" s="218"/>
      <c r="SI36" s="218"/>
      <c r="SJ36" s="218"/>
      <c r="SK36" s="218"/>
      <c r="SL36" s="218"/>
      <c r="SM36" s="218"/>
      <c r="SN36" s="218"/>
      <c r="SO36" s="218"/>
      <c r="SP36" s="218"/>
      <c r="SQ36" s="218"/>
      <c r="SR36" s="218"/>
      <c r="SS36" s="218"/>
      <c r="ST36" s="218"/>
      <c r="SU36" s="218"/>
      <c r="SV36" s="218"/>
      <c r="SW36" s="218"/>
      <c r="SX36" s="218"/>
      <c r="SY36" s="218"/>
      <c r="SZ36" s="218"/>
      <c r="TA36" s="218"/>
      <c r="TB36" s="218"/>
      <c r="TC36" s="218"/>
      <c r="TD36" s="218"/>
      <c r="TE36" s="218"/>
      <c r="TF36" s="218"/>
      <c r="TG36" s="218"/>
      <c r="TH36" s="218"/>
      <c r="TI36" s="218"/>
      <c r="TJ36" s="218"/>
      <c r="TK36" s="218"/>
      <c r="TL36" s="218"/>
      <c r="TM36" s="218"/>
      <c r="TN36" s="218"/>
      <c r="TO36" s="218"/>
      <c r="TP36" s="218"/>
      <c r="TQ36" s="218"/>
      <c r="TR36" s="218"/>
      <c r="TS36" s="218"/>
      <c r="TT36" s="218"/>
      <c r="TU36" s="218"/>
      <c r="TV36" s="218"/>
      <c r="TW36" s="218"/>
      <c r="TX36" s="218"/>
      <c r="TY36" s="218"/>
      <c r="TZ36" s="218"/>
      <c r="UA36" s="218"/>
      <c r="UB36" s="218"/>
      <c r="UC36" s="218"/>
      <c r="UD36" s="218"/>
      <c r="UE36" s="218"/>
      <c r="UF36" s="218"/>
      <c r="UG36" s="218"/>
      <c r="UH36" s="218"/>
      <c r="UI36" s="218"/>
      <c r="UJ36" s="218"/>
      <c r="UK36" s="218"/>
      <c r="UL36" s="218"/>
      <c r="UM36" s="218"/>
      <c r="UN36" s="218"/>
      <c r="UO36" s="218"/>
      <c r="UP36" s="218"/>
      <c r="UQ36" s="218"/>
      <c r="UR36" s="218"/>
      <c r="US36" s="218"/>
      <c r="UT36" s="218"/>
      <c r="UU36" s="218"/>
      <c r="UV36" s="218"/>
      <c r="UW36" s="218"/>
      <c r="UX36" s="218"/>
      <c r="UY36" s="218"/>
      <c r="UZ36" s="218"/>
      <c r="VA36" s="218"/>
      <c r="VB36" s="218"/>
      <c r="VC36" s="218"/>
      <c r="VD36" s="218"/>
      <c r="VE36" s="218"/>
      <c r="VF36" s="218"/>
      <c r="VG36" s="218"/>
      <c r="VH36" s="218"/>
      <c r="VI36" s="218"/>
      <c r="VJ36" s="218"/>
      <c r="VK36" s="218"/>
      <c r="VL36" s="218"/>
      <c r="VM36" s="218"/>
      <c r="VN36" s="218"/>
      <c r="VO36" s="218"/>
      <c r="VP36" s="218"/>
      <c r="VQ36" s="218"/>
      <c r="VR36" s="218"/>
      <c r="VS36" s="218"/>
      <c r="VT36" s="218"/>
      <c r="VU36" s="218"/>
      <c r="VV36" s="218"/>
      <c r="VW36" s="218"/>
      <c r="VX36" s="218"/>
      <c r="VY36" s="218"/>
      <c r="VZ36" s="218"/>
      <c r="WA36" s="218"/>
      <c r="WB36" s="218"/>
      <c r="WC36" s="218"/>
      <c r="WD36" s="218"/>
      <c r="WE36" s="218"/>
      <c r="WF36" s="218"/>
      <c r="WG36" s="218"/>
      <c r="WH36" s="218"/>
      <c r="WI36" s="218"/>
      <c r="WJ36" s="218"/>
      <c r="WK36" s="218"/>
      <c r="WL36" s="218"/>
      <c r="WM36" s="218"/>
      <c r="WN36" s="218"/>
      <c r="WO36" s="218"/>
      <c r="WP36" s="218"/>
      <c r="WQ36" s="218"/>
      <c r="WR36" s="218"/>
      <c r="WS36" s="218"/>
      <c r="WT36" s="218"/>
      <c r="WU36" s="218"/>
      <c r="WV36" s="218"/>
      <c r="WW36" s="218"/>
      <c r="WX36" s="218"/>
      <c r="WY36" s="218"/>
      <c r="WZ36" s="218"/>
      <c r="XA36" s="218"/>
      <c r="XB36" s="218"/>
      <c r="XC36" s="218"/>
      <c r="XD36" s="218"/>
      <c r="XE36" s="218"/>
      <c r="XF36" s="218"/>
      <c r="XG36" s="218"/>
      <c r="XH36" s="218"/>
      <c r="XI36" s="218"/>
      <c r="XJ36" s="218"/>
      <c r="XK36" s="218"/>
      <c r="XL36" s="218"/>
      <c r="XM36" s="218"/>
      <c r="XN36" s="218"/>
      <c r="XO36" s="218"/>
      <c r="XP36" s="218"/>
      <c r="XQ36" s="218"/>
      <c r="XR36" s="218"/>
      <c r="XS36" s="218"/>
      <c r="XT36" s="218"/>
      <c r="XU36" s="218"/>
      <c r="XV36" s="218"/>
      <c r="XW36" s="218"/>
      <c r="XX36" s="218"/>
      <c r="XY36" s="218"/>
      <c r="XZ36" s="218"/>
      <c r="YA36" s="218"/>
      <c r="YB36" s="218"/>
      <c r="YC36" s="218"/>
      <c r="YD36" s="218"/>
      <c r="YE36" s="218"/>
      <c r="YF36" s="218"/>
      <c r="YG36" s="218"/>
      <c r="YH36" s="218"/>
      <c r="YI36" s="218"/>
      <c r="YJ36" s="218"/>
      <c r="YK36" s="218"/>
      <c r="YL36" s="218"/>
      <c r="YM36" s="218"/>
      <c r="YN36" s="218"/>
      <c r="YO36" s="218"/>
      <c r="YP36" s="218"/>
      <c r="YQ36" s="218"/>
      <c r="YR36" s="218"/>
      <c r="YS36" s="218"/>
      <c r="YT36" s="218"/>
      <c r="YU36" s="218"/>
      <c r="YV36" s="218"/>
      <c r="YW36" s="218"/>
      <c r="YX36" s="218"/>
      <c r="YY36" s="218"/>
      <c r="YZ36" s="218"/>
      <c r="ZA36" s="218"/>
      <c r="ZB36" s="218"/>
      <c r="ZC36" s="218"/>
      <c r="ZD36" s="218"/>
      <c r="ZE36" s="218"/>
      <c r="ZF36" s="218"/>
      <c r="ZG36" s="218"/>
      <c r="ZH36" s="218"/>
      <c r="ZI36" s="218"/>
      <c r="ZJ36" s="218"/>
      <c r="ZK36" s="218"/>
      <c r="ZL36" s="218"/>
      <c r="ZM36" s="218"/>
      <c r="ZN36" s="218"/>
      <c r="ZO36" s="218"/>
      <c r="ZP36" s="218"/>
      <c r="ZQ36" s="218"/>
      <c r="ZR36" s="218"/>
      <c r="ZS36" s="218"/>
      <c r="ZT36" s="218"/>
      <c r="ZU36" s="218"/>
      <c r="ZV36" s="218"/>
      <c r="ZW36" s="218"/>
      <c r="ZX36" s="218"/>
      <c r="ZY36" s="218"/>
      <c r="ZZ36" s="218"/>
      <c r="AAA36" s="218"/>
      <c r="AAB36" s="218"/>
      <c r="AAC36" s="218"/>
      <c r="AAD36" s="218"/>
      <c r="AAE36" s="218"/>
      <c r="AAF36" s="218"/>
      <c r="AAG36" s="218"/>
      <c r="AAH36" s="218"/>
      <c r="AAI36" s="218"/>
      <c r="AAJ36" s="218"/>
      <c r="AAK36" s="218"/>
      <c r="AAL36" s="218"/>
      <c r="AAM36" s="218"/>
      <c r="AAN36" s="218"/>
      <c r="AAO36" s="218"/>
      <c r="AAP36" s="218"/>
      <c r="AAQ36" s="218"/>
      <c r="AAR36" s="218"/>
      <c r="AAS36" s="218"/>
      <c r="AAT36" s="218"/>
      <c r="AAU36" s="218"/>
      <c r="AAV36" s="218"/>
      <c r="AAW36" s="218"/>
      <c r="AAX36" s="218"/>
      <c r="AAY36" s="218"/>
      <c r="AAZ36" s="218"/>
      <c r="ABA36" s="218"/>
      <c r="ABB36" s="218"/>
      <c r="ABC36" s="218"/>
      <c r="ABD36" s="218"/>
      <c r="ABE36" s="218"/>
      <c r="ABF36" s="218"/>
      <c r="ABG36" s="218"/>
      <c r="ABH36" s="218"/>
      <c r="ABI36" s="218"/>
      <c r="ABJ36" s="218"/>
      <c r="ABK36" s="218"/>
      <c r="ABL36" s="218"/>
      <c r="ABM36" s="218"/>
      <c r="ABN36" s="218"/>
      <c r="ABO36" s="218"/>
      <c r="ABP36" s="218"/>
      <c r="ABQ36" s="218"/>
      <c r="ABR36" s="218"/>
      <c r="ABS36" s="218"/>
      <c r="ABT36" s="218"/>
      <c r="ABU36" s="218"/>
      <c r="ABV36" s="218"/>
      <c r="ABW36" s="218"/>
      <c r="ABX36" s="218"/>
      <c r="ABY36" s="218"/>
      <c r="ABZ36" s="218"/>
      <c r="ACA36" s="218"/>
      <c r="ACB36" s="218"/>
      <c r="ACC36" s="218"/>
      <c r="ACD36" s="218"/>
      <c r="ACE36" s="218"/>
      <c r="ACF36" s="218"/>
      <c r="ACG36" s="218"/>
      <c r="ACH36" s="218"/>
      <c r="ACI36" s="218"/>
      <c r="ACJ36" s="218"/>
      <c r="ACK36" s="218"/>
      <c r="ACL36" s="218"/>
      <c r="ACM36" s="218"/>
      <c r="ACN36" s="218"/>
      <c r="ACO36" s="218"/>
      <c r="ACP36" s="218"/>
      <c r="ACQ36" s="218"/>
      <c r="ACR36" s="218"/>
      <c r="ACS36" s="218"/>
      <c r="ACT36" s="218"/>
      <c r="ACU36" s="218"/>
      <c r="ACV36" s="218"/>
      <c r="ACW36" s="218"/>
      <c r="ACX36" s="218"/>
      <c r="ACY36" s="218"/>
      <c r="ACZ36" s="218"/>
      <c r="ADA36" s="218"/>
      <c r="ADB36" s="218"/>
      <c r="ADC36" s="218"/>
      <c r="ADD36" s="218"/>
      <c r="ADE36" s="218"/>
      <c r="ADF36" s="218"/>
      <c r="ADG36" s="218"/>
      <c r="ADH36" s="218"/>
      <c r="ADI36" s="218"/>
      <c r="ADJ36" s="218"/>
      <c r="ADK36" s="218"/>
      <c r="ADL36" s="218"/>
      <c r="ADM36" s="218"/>
      <c r="ADN36" s="218"/>
      <c r="ADO36" s="218"/>
      <c r="ADP36" s="218"/>
      <c r="ADQ36" s="218"/>
      <c r="ADR36" s="218"/>
      <c r="ADS36" s="218"/>
      <c r="ADT36" s="218"/>
      <c r="ADU36" s="218"/>
      <c r="ADV36" s="218"/>
      <c r="ADW36" s="218"/>
      <c r="ADX36" s="218"/>
      <c r="ADY36" s="218"/>
      <c r="ADZ36" s="218"/>
      <c r="AEA36" s="218"/>
      <c r="AEB36" s="218"/>
      <c r="AEC36" s="218"/>
      <c r="AED36" s="218"/>
      <c r="AEE36" s="218"/>
      <c r="AEF36" s="218"/>
      <c r="AEG36" s="218"/>
      <c r="AEH36" s="218"/>
      <c r="AEI36" s="218"/>
      <c r="AEJ36" s="218"/>
      <c r="AEK36" s="218"/>
      <c r="AEL36" s="218"/>
      <c r="AEM36" s="218"/>
      <c r="AEN36" s="218"/>
      <c r="AEO36" s="218"/>
      <c r="AEP36" s="218"/>
      <c r="AEQ36" s="218"/>
      <c r="AER36" s="218"/>
      <c r="AES36" s="218"/>
      <c r="AET36" s="218"/>
      <c r="AEU36" s="218"/>
      <c r="AEV36" s="218"/>
      <c r="AEW36" s="218"/>
      <c r="AEX36" s="218"/>
      <c r="AEY36" s="218"/>
      <c r="AEZ36" s="218"/>
      <c r="AFA36" s="218"/>
      <c r="AFB36" s="218"/>
      <c r="AFC36" s="218"/>
      <c r="AFD36" s="218"/>
      <c r="AFE36" s="218"/>
      <c r="AFF36" s="218"/>
      <c r="AFG36" s="218"/>
      <c r="AFH36" s="218"/>
      <c r="AFI36" s="218"/>
      <c r="AFJ36" s="218"/>
      <c r="AFK36" s="218"/>
      <c r="AFL36" s="218"/>
      <c r="AFM36" s="218"/>
      <c r="AFN36" s="218"/>
      <c r="AFO36" s="218"/>
      <c r="AFP36" s="218"/>
      <c r="AFQ36" s="218"/>
      <c r="AFR36" s="218"/>
      <c r="AFS36" s="218"/>
      <c r="AFT36" s="218"/>
      <c r="AFU36" s="218"/>
      <c r="AFV36" s="218"/>
      <c r="AFW36" s="218"/>
      <c r="AFX36" s="218"/>
      <c r="AFY36" s="218"/>
      <c r="AFZ36" s="218"/>
      <c r="AGA36" s="218"/>
      <c r="AGB36" s="218"/>
      <c r="AGC36" s="218"/>
      <c r="AGD36" s="218"/>
      <c r="AGE36" s="218"/>
      <c r="AGF36" s="218"/>
      <c r="AGG36" s="218"/>
      <c r="AGH36" s="218"/>
      <c r="AGI36" s="218"/>
      <c r="AGJ36" s="218"/>
      <c r="AGK36" s="218"/>
      <c r="AGL36" s="218"/>
      <c r="AGM36" s="218"/>
      <c r="AGN36" s="218"/>
      <c r="AGO36" s="218"/>
      <c r="AGP36" s="218"/>
      <c r="AGQ36" s="218"/>
      <c r="AGR36" s="218"/>
      <c r="AGS36" s="218"/>
      <c r="AGT36" s="218"/>
      <c r="AGU36" s="218"/>
      <c r="AGV36" s="218"/>
      <c r="AGW36" s="218"/>
      <c r="AGX36" s="218"/>
      <c r="AGY36" s="218"/>
      <c r="AGZ36" s="218"/>
      <c r="AHA36" s="218"/>
      <c r="AHB36" s="218"/>
      <c r="AHC36" s="218"/>
      <c r="AHD36" s="218"/>
      <c r="AHE36" s="218"/>
      <c r="AHF36" s="218"/>
      <c r="AHG36" s="218"/>
      <c r="AHH36" s="218"/>
      <c r="AHI36" s="218"/>
      <c r="AHJ36" s="218"/>
      <c r="AHK36" s="218"/>
      <c r="AHL36" s="218"/>
      <c r="AHM36" s="218"/>
      <c r="AHN36" s="218"/>
      <c r="AHO36" s="218"/>
      <c r="AHP36" s="218"/>
      <c r="AHQ36" s="218"/>
      <c r="AHR36" s="218"/>
      <c r="AHS36" s="218"/>
      <c r="AHT36" s="218"/>
      <c r="AHU36" s="218"/>
      <c r="AHV36" s="218"/>
      <c r="AHW36" s="218"/>
      <c r="AHX36" s="218"/>
      <c r="AHY36" s="218"/>
      <c r="AHZ36" s="218"/>
      <c r="AIA36" s="218"/>
      <c r="AIB36" s="218"/>
      <c r="AIC36" s="218"/>
      <c r="AID36" s="218"/>
      <c r="AIE36" s="218"/>
      <c r="AIF36" s="218"/>
      <c r="AIG36" s="218"/>
      <c r="AIH36" s="218"/>
      <c r="AII36" s="218"/>
      <c r="AIJ36" s="218"/>
      <c r="AIK36" s="218"/>
      <c r="AIL36" s="218"/>
      <c r="AIM36" s="218"/>
      <c r="AIN36" s="218"/>
      <c r="AIO36" s="218"/>
      <c r="AIP36" s="218"/>
      <c r="AIQ36" s="218"/>
      <c r="AIR36" s="218"/>
      <c r="AIS36" s="218"/>
      <c r="AIT36" s="218"/>
      <c r="AIU36" s="218"/>
      <c r="AIV36" s="218"/>
      <c r="AIW36" s="218"/>
      <c r="AIX36" s="218"/>
      <c r="AIY36" s="218"/>
      <c r="AIZ36" s="218"/>
      <c r="AJA36" s="218"/>
      <c r="AJB36" s="218"/>
      <c r="AJC36" s="218"/>
      <c r="AJD36" s="218"/>
      <c r="AJE36" s="218"/>
      <c r="AJF36" s="218"/>
      <c r="AJG36" s="218"/>
      <c r="AJH36" s="218"/>
      <c r="AJI36" s="218"/>
      <c r="AJJ36" s="218"/>
      <c r="AJK36" s="218"/>
      <c r="AJL36" s="218"/>
      <c r="AJM36" s="218"/>
      <c r="AJN36" s="218"/>
      <c r="AJO36" s="218"/>
      <c r="AJP36" s="218"/>
      <c r="AJQ36" s="218"/>
      <c r="AJR36" s="218"/>
      <c r="AJS36" s="218"/>
      <c r="AJT36" s="218"/>
      <c r="AJU36" s="218"/>
      <c r="AJV36" s="218"/>
      <c r="AJW36" s="218"/>
      <c r="AJX36" s="218"/>
      <c r="AJY36" s="218"/>
      <c r="AJZ36" s="218"/>
      <c r="AKA36" s="218"/>
      <c r="AKB36" s="218"/>
      <c r="AKC36" s="218"/>
      <c r="AKD36" s="218"/>
      <c r="AKE36" s="218"/>
      <c r="AKF36" s="218"/>
      <c r="AKG36" s="218"/>
      <c r="AKH36" s="218"/>
      <c r="AKI36" s="218"/>
      <c r="AKJ36" s="218"/>
      <c r="AKK36" s="218"/>
      <c r="AKL36" s="218"/>
      <c r="AKM36" s="218"/>
      <c r="AKN36" s="218"/>
      <c r="AKO36" s="218"/>
      <c r="AKP36" s="218"/>
      <c r="AKQ36" s="218"/>
      <c r="AKR36" s="218"/>
      <c r="AKS36" s="218"/>
      <c r="AKT36" s="218"/>
      <c r="AKU36" s="218"/>
      <c r="AKV36" s="218"/>
      <c r="AKW36" s="218"/>
      <c r="AKX36" s="218"/>
      <c r="AKY36" s="218"/>
      <c r="AKZ36" s="218"/>
      <c r="ALA36" s="218"/>
      <c r="ALB36" s="218"/>
      <c r="ALC36" s="218"/>
      <c r="ALD36" s="218"/>
      <c r="ALE36" s="218"/>
      <c r="ALF36" s="218"/>
      <c r="ALG36" s="218"/>
      <c r="ALH36" s="218"/>
      <c r="ALI36" s="218"/>
      <c r="ALJ36" s="218"/>
      <c r="ALK36" s="218"/>
      <c r="ALL36" s="218"/>
      <c r="ALM36" s="218"/>
      <c r="ALN36" s="218"/>
      <c r="ALO36" s="218"/>
      <c r="ALP36" s="218"/>
      <c r="ALQ36" s="218"/>
      <c r="ALR36" s="218"/>
      <c r="ALS36" s="218"/>
      <c r="ALT36" s="218"/>
      <c r="ALU36" s="218"/>
      <c r="ALV36" s="218"/>
      <c r="ALW36" s="218"/>
      <c r="ALX36" s="218"/>
      <c r="ALY36" s="218"/>
      <c r="ALZ36" s="218"/>
      <c r="AMA36" s="218"/>
      <c r="AMB36" s="218"/>
      <c r="AMC36" s="218"/>
      <c r="AMD36" s="218"/>
      <c r="AME36" s="218"/>
      <c r="AMF36" s="218"/>
      <c r="AMG36" s="218"/>
      <c r="AMH36" s="218"/>
      <c r="AMI36" s="218"/>
      <c r="AMJ36" s="218"/>
      <c r="AMK36" s="218"/>
      <c r="AML36" s="218"/>
      <c r="AMM36" s="218"/>
      <c r="AMN36" s="218"/>
      <c r="AMO36" s="218"/>
      <c r="AMP36" s="218"/>
      <c r="AMQ36" s="218"/>
      <c r="AMR36" s="218"/>
      <c r="AMS36" s="218"/>
      <c r="AMT36" s="218"/>
      <c r="AMU36" s="218"/>
      <c r="AMV36" s="218"/>
      <c r="AMW36" s="218"/>
      <c r="AMX36" s="218"/>
      <c r="AMY36" s="218"/>
      <c r="AMZ36" s="218"/>
      <c r="ANA36" s="218"/>
      <c r="ANB36" s="218"/>
      <c r="ANC36" s="218"/>
      <c r="AND36" s="218"/>
      <c r="ANE36" s="218"/>
      <c r="ANF36" s="218"/>
      <c r="ANG36" s="218"/>
      <c r="ANH36" s="218"/>
      <c r="ANI36" s="218"/>
      <c r="ANJ36" s="218"/>
      <c r="ANK36" s="218"/>
      <c r="ANL36" s="218"/>
      <c r="ANM36" s="218"/>
      <c r="ANN36" s="218"/>
      <c r="ANO36" s="218"/>
      <c r="ANP36" s="218"/>
      <c r="ANQ36" s="218"/>
      <c r="ANR36" s="218"/>
      <c r="ANS36" s="218"/>
      <c r="ANT36" s="218"/>
      <c r="ANU36" s="218"/>
      <c r="ANV36" s="218"/>
      <c r="ANW36" s="218"/>
      <c r="ANX36" s="218"/>
      <c r="ANY36" s="218"/>
      <c r="ANZ36" s="218"/>
      <c r="AOA36" s="218"/>
      <c r="AOB36" s="218"/>
      <c r="AOC36" s="218"/>
      <c r="AOD36" s="218"/>
      <c r="AOE36" s="218"/>
      <c r="AOF36" s="218"/>
      <c r="AOG36" s="218"/>
      <c r="AOH36" s="218"/>
      <c r="AOI36" s="218"/>
      <c r="AOJ36" s="218"/>
      <c r="AOK36" s="218"/>
      <c r="AOL36" s="218"/>
      <c r="AOM36" s="218"/>
      <c r="AON36" s="218"/>
      <c r="AOO36" s="218"/>
      <c r="AOP36" s="218"/>
      <c r="AOQ36" s="218"/>
      <c r="AOR36" s="218"/>
      <c r="AOS36" s="218"/>
      <c r="AOT36" s="218"/>
      <c r="AOU36" s="218"/>
      <c r="AOV36" s="218"/>
      <c r="AOW36" s="218"/>
      <c r="AOX36" s="218"/>
      <c r="AOY36" s="218"/>
      <c r="AOZ36" s="218"/>
      <c r="APA36" s="218"/>
      <c r="APB36" s="218"/>
      <c r="APC36" s="218"/>
      <c r="APD36" s="218"/>
      <c r="APE36" s="218"/>
      <c r="APF36" s="218"/>
      <c r="APG36" s="218"/>
      <c r="APH36" s="218"/>
      <c r="API36" s="218"/>
      <c r="APJ36" s="218"/>
      <c r="APK36" s="218"/>
      <c r="APL36" s="218"/>
      <c r="APM36" s="218"/>
      <c r="APN36" s="218"/>
      <c r="APO36" s="218"/>
      <c r="APP36" s="218"/>
      <c r="APQ36" s="218"/>
      <c r="APR36" s="218"/>
      <c r="APS36" s="218"/>
      <c r="APT36" s="218"/>
      <c r="APU36" s="218"/>
      <c r="APV36" s="218"/>
      <c r="APW36" s="218"/>
      <c r="APX36" s="218"/>
      <c r="APY36" s="218"/>
      <c r="APZ36" s="218"/>
      <c r="AQA36" s="218"/>
      <c r="AQB36" s="218"/>
      <c r="AQC36" s="218"/>
      <c r="AQD36" s="218"/>
      <c r="AQE36" s="218"/>
      <c r="AQF36" s="218"/>
      <c r="AQG36" s="218"/>
      <c r="AQH36" s="218"/>
      <c r="AQI36" s="218"/>
      <c r="AQJ36" s="218"/>
      <c r="AQK36" s="218"/>
      <c r="AQL36" s="218"/>
      <c r="AQM36" s="218"/>
      <c r="AQN36" s="218"/>
      <c r="AQO36" s="218"/>
      <c r="AQP36" s="218"/>
      <c r="AQQ36" s="218"/>
      <c r="AQR36" s="218"/>
      <c r="AQS36" s="218"/>
      <c r="AQT36" s="218"/>
      <c r="AQU36" s="218"/>
      <c r="AQV36" s="218"/>
      <c r="AQW36" s="218"/>
      <c r="AQX36" s="218"/>
      <c r="AQY36" s="218"/>
      <c r="AQZ36" s="218"/>
      <c r="ARA36" s="218"/>
      <c r="ARB36" s="218"/>
      <c r="ARC36" s="218"/>
      <c r="ARD36" s="218"/>
      <c r="ARE36" s="218"/>
      <c r="ARF36" s="218"/>
      <c r="ARG36" s="218"/>
      <c r="ARH36" s="218"/>
      <c r="ARI36" s="218"/>
      <c r="ARJ36" s="218"/>
      <c r="ARK36" s="218"/>
      <c r="ARL36" s="218"/>
      <c r="ARM36" s="218"/>
      <c r="ARN36" s="218"/>
      <c r="ARO36" s="218"/>
      <c r="ARP36" s="218"/>
      <c r="ARQ36" s="218"/>
      <c r="ARR36" s="218"/>
      <c r="ARS36" s="218"/>
      <c r="ART36" s="218"/>
      <c r="ARU36" s="218"/>
      <c r="ARV36" s="218"/>
      <c r="ARW36" s="218"/>
      <c r="ARX36" s="218"/>
      <c r="ARY36" s="218"/>
      <c r="ARZ36" s="218"/>
      <c r="ASA36" s="218"/>
      <c r="ASB36" s="218"/>
      <c r="ASC36" s="218"/>
      <c r="ASD36" s="218"/>
      <c r="ASE36" s="218"/>
      <c r="ASF36" s="218"/>
      <c r="ASG36" s="218"/>
      <c r="ASH36" s="218"/>
      <c r="ASI36" s="218"/>
      <c r="ASJ36" s="218"/>
      <c r="ASK36" s="218"/>
      <c r="ASL36" s="218"/>
      <c r="ASM36" s="218"/>
      <c r="ASN36" s="218"/>
      <c r="ASO36" s="218"/>
      <c r="ASP36" s="218"/>
      <c r="ASQ36" s="218"/>
      <c r="ASR36" s="218"/>
      <c r="ASS36" s="218"/>
      <c r="AST36" s="218"/>
      <c r="ASU36" s="218"/>
      <c r="ASV36" s="218"/>
      <c r="ASW36" s="218"/>
      <c r="ASX36" s="218"/>
      <c r="ASY36" s="218"/>
      <c r="ASZ36" s="218"/>
      <c r="ATA36" s="218"/>
      <c r="ATB36" s="218"/>
      <c r="ATC36" s="218"/>
      <c r="ATD36" s="218"/>
      <c r="ATE36" s="218"/>
      <c r="ATF36" s="218"/>
      <c r="ATG36" s="218"/>
      <c r="ATH36" s="218"/>
      <c r="ATI36" s="218"/>
      <c r="ATJ36" s="218"/>
      <c r="ATK36" s="218"/>
      <c r="ATL36" s="218"/>
      <c r="ATM36" s="218"/>
      <c r="ATN36" s="218"/>
      <c r="ATO36" s="218"/>
      <c r="ATP36" s="218"/>
      <c r="ATQ36" s="218"/>
      <c r="ATR36" s="218"/>
      <c r="ATS36" s="218"/>
      <c r="ATT36" s="218"/>
      <c r="ATU36" s="218"/>
      <c r="ATV36" s="218"/>
      <c r="ATW36" s="218"/>
      <c r="ATX36" s="218"/>
      <c r="ATY36" s="218"/>
      <c r="ATZ36" s="218"/>
      <c r="AUA36" s="218"/>
      <c r="AUB36" s="218"/>
      <c r="AUC36" s="218"/>
      <c r="AUD36" s="218"/>
      <c r="AUE36" s="218"/>
      <c r="AUF36" s="218"/>
      <c r="AUG36" s="218"/>
      <c r="AUH36" s="218"/>
      <c r="AUI36" s="218"/>
      <c r="AUJ36" s="218"/>
      <c r="AUK36" s="218"/>
      <c r="AUL36" s="218"/>
      <c r="AUM36" s="218"/>
      <c r="AUN36" s="218"/>
      <c r="AUO36" s="218"/>
      <c r="AUP36" s="218"/>
      <c r="AUQ36" s="218"/>
      <c r="AUR36" s="218"/>
      <c r="AUS36" s="218"/>
      <c r="AUT36" s="218"/>
      <c r="AUU36" s="218"/>
      <c r="AUV36" s="218"/>
      <c r="AUW36" s="218"/>
      <c r="AUX36" s="218"/>
      <c r="AUY36" s="218"/>
      <c r="AUZ36" s="218"/>
      <c r="AVA36" s="218"/>
      <c r="AVB36" s="218"/>
      <c r="AVC36" s="218"/>
      <c r="AVD36" s="218"/>
      <c r="AVE36" s="218"/>
      <c r="AVF36" s="218"/>
      <c r="AVG36" s="218"/>
      <c r="AVH36" s="218"/>
      <c r="AVI36" s="218"/>
      <c r="AVJ36" s="218"/>
      <c r="AVK36" s="218"/>
      <c r="AVL36" s="218"/>
      <c r="AVM36" s="218"/>
      <c r="AVN36" s="218"/>
      <c r="AVO36" s="218"/>
      <c r="AVP36" s="218"/>
      <c r="AVQ36" s="218"/>
      <c r="AVR36" s="218"/>
      <c r="AVS36" s="218"/>
      <c r="AVT36" s="218"/>
      <c r="AVU36" s="218"/>
      <c r="AVV36" s="218"/>
      <c r="AVW36" s="218"/>
      <c r="AVX36" s="218"/>
      <c r="AVY36" s="218"/>
      <c r="AVZ36" s="218"/>
      <c r="AWA36" s="218"/>
      <c r="AWB36" s="218"/>
      <c r="AWC36" s="218"/>
      <c r="AWD36" s="218"/>
      <c r="AWE36" s="218"/>
      <c r="AWF36" s="218"/>
      <c r="AWG36" s="218"/>
      <c r="AWH36" s="218"/>
      <c r="AWI36" s="218"/>
      <c r="AWJ36" s="218"/>
      <c r="AWK36" s="218"/>
      <c r="AWL36" s="218"/>
      <c r="AWM36" s="218"/>
      <c r="AWN36" s="218"/>
      <c r="AWO36" s="218"/>
      <c r="AWP36" s="218"/>
      <c r="AWQ36" s="218"/>
      <c r="AWR36" s="218"/>
      <c r="AWS36" s="218"/>
      <c r="AWT36" s="218"/>
      <c r="AWU36" s="218"/>
      <c r="AWV36" s="218"/>
      <c r="AWW36" s="218"/>
      <c r="AWX36" s="218"/>
      <c r="AWY36" s="218"/>
      <c r="AWZ36" s="218"/>
      <c r="AXA36" s="218"/>
      <c r="AXB36" s="218"/>
      <c r="AXC36" s="218"/>
      <c r="AXD36" s="218"/>
      <c r="AXE36" s="218"/>
      <c r="AXF36" s="218"/>
      <c r="AXG36" s="218"/>
      <c r="AXH36" s="218"/>
      <c r="AXI36" s="218"/>
      <c r="AXJ36" s="218"/>
      <c r="AXK36" s="218"/>
      <c r="AXL36" s="218"/>
      <c r="AXM36" s="218"/>
      <c r="AXN36" s="218"/>
      <c r="AXO36" s="218"/>
      <c r="AXP36" s="218"/>
      <c r="AXQ36" s="218"/>
      <c r="AXR36" s="218"/>
      <c r="AXS36" s="218"/>
      <c r="AXT36" s="218"/>
      <c r="AXU36" s="218"/>
      <c r="AXV36" s="218"/>
      <c r="AXW36" s="218"/>
      <c r="AXX36" s="218"/>
      <c r="AXY36" s="218"/>
      <c r="AXZ36" s="218"/>
      <c r="AYA36" s="218"/>
      <c r="AYB36" s="218"/>
      <c r="AYC36" s="218"/>
      <c r="AYD36" s="218"/>
      <c r="AYE36" s="218"/>
      <c r="AYF36" s="218"/>
      <c r="AYG36" s="218"/>
      <c r="AYH36" s="218"/>
      <c r="AYI36" s="218"/>
      <c r="AYJ36" s="218"/>
      <c r="AYK36" s="218"/>
      <c r="AYL36" s="218"/>
      <c r="AYM36" s="218"/>
      <c r="AYN36" s="218"/>
      <c r="AYO36" s="218"/>
      <c r="AYP36" s="218"/>
      <c r="AYQ36" s="218"/>
      <c r="AYR36" s="218"/>
      <c r="AYS36" s="218"/>
      <c r="AYT36" s="218"/>
      <c r="AYU36" s="218"/>
      <c r="AYV36" s="218"/>
      <c r="AYW36" s="218"/>
      <c r="AYX36" s="218"/>
      <c r="AYY36" s="218"/>
      <c r="AYZ36" s="218"/>
      <c r="AZA36" s="218"/>
      <c r="AZB36" s="218"/>
      <c r="AZC36" s="218"/>
      <c r="AZD36" s="218"/>
      <c r="AZE36" s="218"/>
      <c r="AZF36" s="218"/>
      <c r="AZG36" s="218"/>
      <c r="AZH36" s="218"/>
      <c r="AZI36" s="218"/>
      <c r="AZJ36" s="218"/>
      <c r="AZK36" s="218"/>
      <c r="AZL36" s="218"/>
      <c r="AZM36" s="218"/>
      <c r="AZN36" s="218"/>
      <c r="AZO36" s="218"/>
      <c r="AZP36" s="218"/>
      <c r="AZQ36" s="218"/>
      <c r="AZR36" s="218"/>
      <c r="AZS36" s="218"/>
      <c r="AZT36" s="218"/>
      <c r="AZU36" s="218"/>
      <c r="AZV36" s="218"/>
      <c r="AZW36" s="218"/>
      <c r="AZX36" s="218"/>
      <c r="AZY36" s="218"/>
      <c r="AZZ36" s="218"/>
      <c r="BAA36" s="218"/>
      <c r="BAB36" s="218"/>
      <c r="BAC36" s="218"/>
      <c r="BAD36" s="218"/>
      <c r="BAE36" s="218"/>
      <c r="BAF36" s="218"/>
      <c r="BAG36" s="218"/>
      <c r="BAH36" s="218"/>
      <c r="BAI36" s="218"/>
      <c r="BAJ36" s="218"/>
      <c r="BAK36" s="218"/>
      <c r="BAL36" s="218"/>
      <c r="BAM36" s="218"/>
      <c r="BAN36" s="218"/>
      <c r="BAO36" s="218"/>
      <c r="BAP36" s="218"/>
      <c r="BAQ36" s="218"/>
      <c r="BAR36" s="218"/>
      <c r="BAS36" s="218"/>
      <c r="BAT36" s="218"/>
      <c r="BAU36" s="218"/>
      <c r="BAV36" s="218"/>
      <c r="BAW36" s="218"/>
      <c r="BAX36" s="218"/>
      <c r="BAY36" s="218"/>
      <c r="BAZ36" s="218"/>
      <c r="BBA36" s="218"/>
      <c r="BBB36" s="218"/>
      <c r="BBC36" s="218"/>
      <c r="BBD36" s="218"/>
      <c r="BBE36" s="218"/>
      <c r="BBF36" s="218"/>
      <c r="BBG36" s="218"/>
      <c r="BBH36" s="218"/>
      <c r="BBI36" s="218"/>
      <c r="BBJ36" s="218"/>
      <c r="BBK36" s="218"/>
      <c r="BBL36" s="218"/>
      <c r="BBM36" s="218"/>
      <c r="BBN36" s="218"/>
      <c r="BBO36" s="218"/>
      <c r="BBP36" s="218"/>
      <c r="BBQ36" s="218"/>
      <c r="BBR36" s="218"/>
      <c r="BBS36" s="218"/>
      <c r="BBT36" s="218"/>
      <c r="BBU36" s="218"/>
      <c r="BBV36" s="218"/>
      <c r="BBW36" s="218"/>
      <c r="BBX36" s="218"/>
      <c r="BBY36" s="218"/>
      <c r="BBZ36" s="218"/>
      <c r="BCA36" s="218"/>
      <c r="BCB36" s="218"/>
      <c r="BCC36" s="218"/>
      <c r="BCD36" s="218"/>
      <c r="BCE36" s="218"/>
      <c r="BCF36" s="218"/>
      <c r="BCG36" s="218"/>
      <c r="BCH36" s="218"/>
      <c r="BCI36" s="218"/>
      <c r="BCJ36" s="218"/>
      <c r="BCK36" s="218"/>
      <c r="BCL36" s="218"/>
      <c r="BCM36" s="218"/>
      <c r="BCN36" s="218"/>
      <c r="BCO36" s="218"/>
      <c r="BCP36" s="218"/>
      <c r="BCQ36" s="218"/>
      <c r="BCR36" s="218"/>
      <c r="BCS36" s="218"/>
      <c r="BCT36" s="218"/>
      <c r="BCU36" s="218"/>
      <c r="BCV36" s="218"/>
      <c r="BCW36" s="218"/>
      <c r="BCX36" s="218"/>
      <c r="BCY36" s="218"/>
      <c r="BCZ36" s="218"/>
      <c r="BDA36" s="218"/>
      <c r="BDB36" s="218"/>
      <c r="BDC36" s="218"/>
      <c r="BDD36" s="218"/>
      <c r="BDE36" s="218"/>
      <c r="BDF36" s="218"/>
      <c r="BDG36" s="218"/>
      <c r="BDH36" s="218"/>
      <c r="BDI36" s="218"/>
      <c r="BDJ36" s="218"/>
      <c r="BDK36" s="218"/>
      <c r="BDL36" s="218"/>
      <c r="BDM36" s="218"/>
      <c r="BDN36" s="218"/>
      <c r="BDO36" s="218"/>
      <c r="BDP36" s="218"/>
      <c r="BDQ36" s="218"/>
      <c r="BDR36" s="218"/>
      <c r="BDS36" s="218"/>
      <c r="BDT36" s="218"/>
      <c r="BDU36" s="218"/>
      <c r="BDV36" s="218"/>
      <c r="BDW36" s="218"/>
      <c r="BDX36" s="218"/>
      <c r="BDY36" s="218"/>
      <c r="BDZ36" s="218"/>
      <c r="BEA36" s="218"/>
      <c r="BEB36" s="218"/>
      <c r="BEC36" s="218"/>
      <c r="BED36" s="218"/>
      <c r="BEE36" s="218"/>
      <c r="BEF36" s="218"/>
      <c r="BEG36" s="218"/>
      <c r="BEH36" s="218"/>
      <c r="BEI36" s="218"/>
      <c r="BEJ36" s="218"/>
      <c r="BEK36" s="218"/>
      <c r="BEL36" s="218"/>
      <c r="BEM36" s="218"/>
      <c r="BEN36" s="218"/>
      <c r="BEO36" s="218"/>
      <c r="BEP36" s="218"/>
      <c r="BEQ36" s="218"/>
      <c r="BER36" s="218"/>
      <c r="BES36" s="218"/>
      <c r="BET36" s="218"/>
      <c r="BEU36" s="218"/>
      <c r="BEV36" s="218"/>
      <c r="BEW36" s="218"/>
      <c r="BEX36" s="218"/>
      <c r="BEY36" s="218"/>
      <c r="BEZ36" s="218"/>
      <c r="BFA36" s="218"/>
      <c r="BFB36" s="218"/>
      <c r="BFC36" s="218"/>
      <c r="BFD36" s="218"/>
      <c r="BFE36" s="218"/>
      <c r="BFF36" s="218"/>
      <c r="BFG36" s="218"/>
      <c r="BFH36" s="218"/>
      <c r="BFI36" s="218"/>
      <c r="BFJ36" s="218"/>
      <c r="BFK36" s="218"/>
      <c r="BFL36" s="218"/>
      <c r="BFM36" s="218"/>
      <c r="BFN36" s="218"/>
      <c r="BFO36" s="218"/>
      <c r="BFP36" s="218"/>
      <c r="BFQ36" s="218"/>
      <c r="BFR36" s="218"/>
      <c r="BFS36" s="218"/>
      <c r="BFT36" s="218"/>
      <c r="BFU36" s="218"/>
      <c r="BFV36" s="218"/>
      <c r="BFW36" s="218"/>
      <c r="BFX36" s="218"/>
      <c r="BFY36" s="218"/>
      <c r="BFZ36" s="218"/>
      <c r="BGA36" s="218"/>
      <c r="BGB36" s="218"/>
      <c r="BGC36" s="218"/>
      <c r="BGD36" s="218"/>
      <c r="BGE36" s="218"/>
      <c r="BGF36" s="218"/>
      <c r="BGG36" s="218"/>
      <c r="BGH36" s="218"/>
      <c r="BGI36" s="218"/>
      <c r="BGJ36" s="218"/>
      <c r="BGK36" s="218"/>
      <c r="BGL36" s="218"/>
      <c r="BGM36" s="218"/>
      <c r="BGN36" s="218"/>
      <c r="BGO36" s="218"/>
      <c r="BGP36" s="218"/>
      <c r="BGQ36" s="218"/>
      <c r="BGR36" s="218"/>
      <c r="BGS36" s="218"/>
      <c r="BGT36" s="218"/>
      <c r="BGU36" s="218"/>
      <c r="BGV36" s="218"/>
      <c r="BGW36" s="218"/>
      <c r="BGX36" s="218"/>
      <c r="BGY36" s="218"/>
      <c r="BGZ36" s="218"/>
      <c r="BHA36" s="218"/>
      <c r="BHB36" s="218"/>
      <c r="BHC36" s="218"/>
      <c r="BHD36" s="218"/>
      <c r="BHE36" s="218"/>
      <c r="BHF36" s="218"/>
      <c r="BHG36" s="218"/>
      <c r="BHH36" s="218"/>
      <c r="BHI36" s="218"/>
      <c r="BHJ36" s="218"/>
      <c r="BHK36" s="218"/>
      <c r="BHL36" s="218"/>
      <c r="BHM36" s="218"/>
      <c r="BHN36" s="218"/>
      <c r="BHO36" s="218"/>
      <c r="BHP36" s="218"/>
      <c r="BHQ36" s="218"/>
      <c r="BHR36" s="218"/>
      <c r="BHS36" s="218"/>
      <c r="BHT36" s="218"/>
      <c r="BHU36" s="218"/>
      <c r="BHV36" s="218"/>
      <c r="BHW36" s="218"/>
      <c r="BHX36" s="218"/>
      <c r="BHY36" s="218"/>
      <c r="BHZ36" s="218"/>
      <c r="BIA36" s="218"/>
      <c r="BIB36" s="218"/>
      <c r="BIC36" s="218"/>
      <c r="BID36" s="218"/>
      <c r="BIE36" s="218"/>
      <c r="BIF36" s="218"/>
      <c r="BIG36" s="218"/>
      <c r="BIH36" s="218"/>
      <c r="BII36" s="218"/>
      <c r="BIJ36" s="218"/>
      <c r="BIK36" s="218"/>
      <c r="BIL36" s="218"/>
      <c r="BIM36" s="218"/>
      <c r="BIN36" s="218"/>
      <c r="BIO36" s="218"/>
      <c r="BIP36" s="218"/>
      <c r="BIQ36" s="218"/>
      <c r="BIR36" s="218"/>
      <c r="BIS36" s="218"/>
      <c r="BIT36" s="218"/>
      <c r="BIU36" s="218"/>
      <c r="BIV36" s="218"/>
      <c r="BIW36" s="218"/>
      <c r="BIX36" s="218"/>
      <c r="BIY36" s="218"/>
      <c r="BIZ36" s="218"/>
      <c r="BJA36" s="218"/>
      <c r="BJB36" s="218"/>
      <c r="BJC36" s="218"/>
      <c r="BJD36" s="218"/>
      <c r="BJE36" s="218"/>
      <c r="BJF36" s="218"/>
      <c r="BJG36" s="218"/>
      <c r="BJH36" s="218"/>
      <c r="BJI36" s="218"/>
      <c r="BJJ36" s="218"/>
      <c r="BJK36" s="218"/>
      <c r="BJL36" s="218"/>
      <c r="BJM36" s="218"/>
      <c r="BJN36" s="218"/>
      <c r="BJO36" s="218"/>
      <c r="BJP36" s="218"/>
      <c r="BJQ36" s="218"/>
      <c r="BJR36" s="218"/>
      <c r="BJS36" s="218"/>
      <c r="BJT36" s="218"/>
      <c r="BJU36" s="218"/>
      <c r="BJV36" s="218"/>
      <c r="BJW36" s="218"/>
      <c r="BJX36" s="218"/>
      <c r="BJY36" s="218"/>
      <c r="BJZ36" s="218"/>
      <c r="BKA36" s="218"/>
      <c r="BKB36" s="218"/>
      <c r="BKC36" s="218"/>
      <c r="BKD36" s="218"/>
      <c r="BKE36" s="218"/>
      <c r="BKF36" s="218"/>
      <c r="BKG36" s="218"/>
      <c r="BKH36" s="218"/>
      <c r="BKI36" s="218"/>
      <c r="BKJ36" s="218"/>
      <c r="BKK36" s="218"/>
      <c r="BKL36" s="218"/>
      <c r="BKM36" s="218"/>
      <c r="BKN36" s="218"/>
      <c r="BKO36" s="218"/>
      <c r="BKP36" s="218"/>
      <c r="BKQ36" s="218"/>
      <c r="BKR36" s="218"/>
      <c r="BKS36" s="218"/>
      <c r="BKT36" s="218"/>
      <c r="BKU36" s="218"/>
      <c r="BKV36" s="218"/>
      <c r="BKW36" s="218"/>
      <c r="BKX36" s="218"/>
      <c r="BKY36" s="218"/>
      <c r="BKZ36" s="218"/>
      <c r="BLA36" s="218"/>
      <c r="BLB36" s="218"/>
      <c r="BLC36" s="218"/>
      <c r="BLD36" s="218"/>
      <c r="BLE36" s="218"/>
      <c r="BLF36" s="218"/>
      <c r="BLG36" s="218"/>
      <c r="BLH36" s="218"/>
      <c r="BLI36" s="218"/>
      <c r="BLJ36" s="218"/>
      <c r="BLK36" s="218"/>
      <c r="BLL36" s="218"/>
      <c r="BLM36" s="218"/>
      <c r="BLN36" s="218"/>
      <c r="BLO36" s="218"/>
      <c r="BLP36" s="218"/>
      <c r="BLQ36" s="218"/>
      <c r="BLR36" s="218"/>
      <c r="BLS36" s="218"/>
      <c r="BLT36" s="218"/>
      <c r="BLU36" s="218"/>
      <c r="BLV36" s="218"/>
      <c r="BLW36" s="218"/>
      <c r="BLX36" s="218"/>
      <c r="BLY36" s="218"/>
      <c r="BLZ36" s="218"/>
      <c r="BMA36" s="218"/>
      <c r="BMB36" s="218"/>
      <c r="BMC36" s="218"/>
      <c r="BMD36" s="218"/>
      <c r="BME36" s="218"/>
      <c r="BMF36" s="218"/>
      <c r="BMG36" s="218"/>
      <c r="BMH36" s="218"/>
      <c r="BMI36" s="218"/>
      <c r="BMJ36" s="218"/>
      <c r="BMK36" s="218"/>
      <c r="BML36" s="218"/>
      <c r="BMM36" s="218"/>
      <c r="BMN36" s="218"/>
      <c r="BMO36" s="218"/>
      <c r="BMP36" s="218"/>
      <c r="BMQ36" s="218"/>
      <c r="BMR36" s="218"/>
      <c r="BMS36" s="218"/>
      <c r="BMT36" s="218"/>
      <c r="BMU36" s="218"/>
      <c r="BMV36" s="218"/>
      <c r="BMW36" s="218"/>
      <c r="BMX36" s="218"/>
      <c r="BMY36" s="218"/>
      <c r="BMZ36" s="218"/>
      <c r="BNA36" s="218"/>
      <c r="BNB36" s="218"/>
      <c r="BNC36" s="218"/>
      <c r="BND36" s="218"/>
      <c r="BNE36" s="218"/>
      <c r="BNF36" s="218"/>
      <c r="BNG36" s="218"/>
      <c r="BNH36" s="218"/>
      <c r="BNI36" s="218"/>
      <c r="BNJ36" s="218"/>
      <c r="BNK36" s="218"/>
      <c r="BNL36" s="218"/>
      <c r="BNM36" s="218"/>
      <c r="BNN36" s="218"/>
      <c r="BNO36" s="218"/>
      <c r="BNP36" s="218"/>
      <c r="BNQ36" s="218"/>
      <c r="BNR36" s="218"/>
      <c r="BNS36" s="218"/>
      <c r="BNT36" s="218"/>
      <c r="BNU36" s="218"/>
      <c r="BNV36" s="218"/>
      <c r="BNW36" s="218"/>
      <c r="BNX36" s="218"/>
      <c r="BNY36" s="218"/>
      <c r="BNZ36" s="218"/>
      <c r="BOA36" s="218"/>
      <c r="BOB36" s="218"/>
      <c r="BOC36" s="218"/>
      <c r="BOD36" s="218"/>
      <c r="BOE36" s="218"/>
      <c r="BOF36" s="218"/>
      <c r="BOG36" s="218"/>
      <c r="BOH36" s="218"/>
      <c r="BOI36" s="218"/>
      <c r="BOJ36" s="218"/>
      <c r="BOK36" s="218"/>
      <c r="BOL36" s="218"/>
      <c r="BOM36" s="218"/>
      <c r="BON36" s="218"/>
      <c r="BOO36" s="218"/>
      <c r="BOP36" s="218"/>
      <c r="BOQ36" s="218"/>
      <c r="BOR36" s="218"/>
      <c r="BOS36" s="218"/>
      <c r="BOT36" s="218"/>
      <c r="BOU36" s="218"/>
      <c r="BOV36" s="218"/>
      <c r="BOW36" s="218"/>
      <c r="BOX36" s="218"/>
      <c r="BOY36" s="218"/>
      <c r="BOZ36" s="218"/>
      <c r="BPA36" s="218"/>
      <c r="BPB36" s="218"/>
      <c r="BPC36" s="218"/>
      <c r="BPD36" s="218"/>
      <c r="BPE36" s="218"/>
      <c r="BPF36" s="218"/>
      <c r="BPG36" s="218"/>
      <c r="BPH36" s="218"/>
      <c r="BPI36" s="218"/>
      <c r="BPJ36" s="218"/>
      <c r="BPK36" s="218"/>
      <c r="BPL36" s="218"/>
      <c r="BPM36" s="218"/>
      <c r="BPN36" s="218"/>
      <c r="BPO36" s="218"/>
      <c r="BPP36" s="218"/>
      <c r="BPQ36" s="218"/>
      <c r="BPR36" s="218"/>
      <c r="BPS36" s="218"/>
      <c r="BPT36" s="218"/>
      <c r="BPU36" s="218"/>
      <c r="BPV36" s="218"/>
      <c r="BPW36" s="218"/>
      <c r="BPX36" s="218"/>
      <c r="BPY36" s="218"/>
      <c r="BPZ36" s="218"/>
      <c r="BQA36" s="218"/>
      <c r="BQB36" s="218"/>
      <c r="BQC36" s="218"/>
      <c r="BQD36" s="218"/>
      <c r="BQE36" s="218"/>
      <c r="BQF36" s="218"/>
      <c r="BQG36" s="218"/>
      <c r="BQH36" s="218"/>
      <c r="BQI36" s="218"/>
      <c r="BQJ36" s="218"/>
      <c r="BQK36" s="218"/>
      <c r="BQL36" s="218"/>
      <c r="BQM36" s="218"/>
      <c r="BQN36" s="218"/>
      <c r="BQO36" s="218"/>
      <c r="BQP36" s="218"/>
      <c r="BQQ36" s="218"/>
      <c r="BQR36" s="218"/>
      <c r="BQS36" s="218"/>
      <c r="BQT36" s="218"/>
      <c r="BQU36" s="218"/>
      <c r="BQV36" s="218"/>
      <c r="BQW36" s="218"/>
      <c r="BQX36" s="218"/>
      <c r="BQY36" s="218"/>
      <c r="BQZ36" s="218"/>
      <c r="BRA36" s="218"/>
      <c r="BRB36" s="218"/>
      <c r="BRC36" s="218"/>
      <c r="BRD36" s="218"/>
      <c r="BRE36" s="218"/>
      <c r="BRF36" s="218"/>
      <c r="BRG36" s="218"/>
      <c r="BRH36" s="218"/>
      <c r="BRI36" s="218"/>
      <c r="BRJ36" s="218"/>
      <c r="BRK36" s="218"/>
      <c r="BRL36" s="218"/>
      <c r="BRM36" s="218"/>
      <c r="BRN36" s="218"/>
      <c r="BRO36" s="218"/>
      <c r="BRP36" s="218"/>
      <c r="BRQ36" s="218"/>
      <c r="BRR36" s="218"/>
      <c r="BRS36" s="218"/>
      <c r="BRT36" s="218"/>
      <c r="BRU36" s="218"/>
      <c r="BRV36" s="218"/>
      <c r="BRW36" s="218"/>
      <c r="BRX36" s="218"/>
      <c r="BRY36" s="218"/>
      <c r="BRZ36" s="218"/>
      <c r="BSA36" s="218"/>
      <c r="BSB36" s="218"/>
      <c r="BSC36" s="218"/>
      <c r="BSD36" s="218"/>
      <c r="BSE36" s="218"/>
      <c r="BSF36" s="218"/>
      <c r="BSG36" s="218"/>
      <c r="BSH36" s="218"/>
      <c r="BSI36" s="218"/>
      <c r="BSJ36" s="218"/>
      <c r="BSK36" s="218"/>
      <c r="BSL36" s="218"/>
      <c r="BSM36" s="218"/>
      <c r="BSN36" s="218"/>
      <c r="BSO36" s="218"/>
      <c r="BSP36" s="218"/>
      <c r="BSQ36" s="218"/>
      <c r="BSR36" s="218"/>
      <c r="BSS36" s="218"/>
      <c r="BST36" s="218"/>
      <c r="BSU36" s="218"/>
      <c r="BSV36" s="218"/>
      <c r="BSW36" s="218"/>
      <c r="BSX36" s="218"/>
      <c r="BSY36" s="218"/>
      <c r="BSZ36" s="218"/>
      <c r="BTA36" s="218"/>
      <c r="BTB36" s="218"/>
      <c r="BTC36" s="218"/>
      <c r="BTD36" s="218"/>
      <c r="BTE36" s="218"/>
      <c r="BTF36" s="218"/>
      <c r="BTG36" s="218"/>
      <c r="BTH36" s="218"/>
      <c r="BTI36" s="218"/>
      <c r="BTJ36" s="218"/>
      <c r="BTK36" s="218"/>
      <c r="BTL36" s="218"/>
      <c r="BTM36" s="218"/>
      <c r="BTN36" s="218"/>
      <c r="BTO36" s="218"/>
      <c r="BTP36" s="218"/>
      <c r="BTQ36" s="218"/>
      <c r="BTR36" s="218"/>
      <c r="BTS36" s="218"/>
      <c r="BTT36" s="218"/>
      <c r="BTU36" s="218"/>
      <c r="BTV36" s="218"/>
      <c r="BTW36" s="218"/>
      <c r="BTX36" s="218"/>
      <c r="BTY36" s="218"/>
      <c r="BTZ36" s="218"/>
      <c r="BUA36" s="218"/>
      <c r="BUB36" s="218"/>
      <c r="BUC36" s="218"/>
      <c r="BUD36" s="218"/>
      <c r="BUE36" s="218"/>
      <c r="BUF36" s="218"/>
      <c r="BUG36" s="218"/>
      <c r="BUH36" s="218"/>
      <c r="BUI36" s="218"/>
      <c r="BUJ36" s="218"/>
      <c r="BUK36" s="218"/>
      <c r="BUL36" s="218"/>
      <c r="BUM36" s="218"/>
      <c r="BUN36" s="218"/>
      <c r="BUO36" s="218"/>
      <c r="BUP36" s="218"/>
      <c r="BUQ36" s="218"/>
      <c r="BUR36" s="218"/>
      <c r="BUS36" s="218"/>
      <c r="BUT36" s="218"/>
      <c r="BUU36" s="218"/>
      <c r="BUV36" s="218"/>
      <c r="BUW36" s="218"/>
      <c r="BUX36" s="218"/>
      <c r="BUY36" s="218"/>
      <c r="BUZ36" s="218"/>
      <c r="BVA36" s="218"/>
      <c r="BVB36" s="218"/>
      <c r="BVC36" s="218"/>
      <c r="BVD36" s="218"/>
      <c r="BVE36" s="218"/>
      <c r="BVF36" s="218"/>
      <c r="BVG36" s="218"/>
      <c r="BVH36" s="218"/>
      <c r="BVI36" s="218"/>
      <c r="BVJ36" s="218"/>
      <c r="BVK36" s="218"/>
      <c r="BVL36" s="218"/>
      <c r="BVM36" s="218"/>
      <c r="BVN36" s="218"/>
      <c r="BVO36" s="218"/>
      <c r="BVP36" s="218"/>
      <c r="BVQ36" s="218"/>
      <c r="BVR36" s="218"/>
      <c r="BVS36" s="218"/>
      <c r="BVT36" s="218"/>
      <c r="BVU36" s="218"/>
      <c r="BVV36" s="218"/>
      <c r="BVW36" s="218"/>
      <c r="BVX36" s="218"/>
      <c r="BVY36" s="218"/>
      <c r="BVZ36" s="218"/>
      <c r="BWA36" s="218"/>
      <c r="BWB36" s="218"/>
      <c r="BWC36" s="218"/>
      <c r="BWD36" s="218"/>
      <c r="BWE36" s="218"/>
      <c r="BWF36" s="218"/>
      <c r="BWG36" s="218"/>
      <c r="BWH36" s="218"/>
      <c r="BWI36" s="218"/>
      <c r="BWJ36" s="218"/>
      <c r="BWK36" s="218"/>
      <c r="BWL36" s="218"/>
      <c r="BWM36" s="218"/>
      <c r="BWN36" s="218"/>
      <c r="BWO36" s="218"/>
      <c r="BWP36" s="218"/>
      <c r="BWQ36" s="218"/>
      <c r="BWR36" s="218"/>
      <c r="BWS36" s="218"/>
      <c r="BWT36" s="218"/>
      <c r="BWU36" s="218"/>
      <c r="BWV36" s="218"/>
      <c r="BWW36" s="218"/>
      <c r="BWX36" s="218"/>
      <c r="BWY36" s="218"/>
      <c r="BWZ36" s="218"/>
      <c r="BXA36" s="218"/>
      <c r="BXB36" s="218"/>
      <c r="BXC36" s="218"/>
      <c r="BXD36" s="218"/>
      <c r="BXE36" s="218"/>
      <c r="BXF36" s="218"/>
      <c r="BXG36" s="218"/>
      <c r="BXH36" s="218"/>
      <c r="BXI36" s="218"/>
      <c r="BXJ36" s="218"/>
      <c r="BXK36" s="218"/>
      <c r="BXL36" s="218"/>
      <c r="BXM36" s="218"/>
      <c r="BXN36" s="218"/>
      <c r="BXO36" s="218"/>
      <c r="BXP36" s="218"/>
      <c r="BXQ36" s="218"/>
      <c r="BXR36" s="218"/>
      <c r="BXS36" s="218"/>
      <c r="BXT36" s="218"/>
      <c r="BXU36" s="218"/>
      <c r="BXV36" s="218"/>
      <c r="BXW36" s="218"/>
      <c r="BXX36" s="218"/>
      <c r="BXY36" s="218"/>
      <c r="BXZ36" s="218"/>
      <c r="BYA36" s="218"/>
      <c r="BYB36" s="218"/>
      <c r="BYC36" s="218"/>
      <c r="BYD36" s="218"/>
      <c r="BYE36" s="218"/>
      <c r="BYF36" s="218"/>
      <c r="BYG36" s="218"/>
    </row>
    <row r="37" spans="1:2009" s="101" customFormat="1" ht="13.5" hidden="1" customHeight="1" thickBot="1" x14ac:dyDescent="0.3">
      <c r="A37" s="98"/>
      <c r="B37" s="98"/>
      <c r="C37" s="170"/>
      <c r="D37" s="170"/>
      <c r="E37" s="170"/>
      <c r="F37" s="170"/>
      <c r="G37" s="642"/>
      <c r="H37" s="99"/>
      <c r="I37" s="775"/>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48</v>
      </c>
      <c r="B38" s="145"/>
      <c r="C38" s="187"/>
      <c r="D38" s="187"/>
      <c r="E38" s="188"/>
      <c r="F38" s="188"/>
      <c r="G38" s="654"/>
      <c r="H38" s="99"/>
      <c r="I38" s="775"/>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141</v>
      </c>
      <c r="C39" s="189">
        <v>3750</v>
      </c>
      <c r="D39" s="189">
        <v>3750</v>
      </c>
      <c r="E39" s="190"/>
      <c r="F39" s="190"/>
      <c r="G39" s="655">
        <f>ROUND(SUM(C39:F39),5)</f>
        <v>7500</v>
      </c>
      <c r="H39" s="99"/>
      <c r="I39" s="775"/>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338</v>
      </c>
      <c r="C40" s="189">
        <f>18000/12</f>
        <v>1500</v>
      </c>
      <c r="D40" s="189">
        <f>18000/4</f>
        <v>4500</v>
      </c>
      <c r="E40" s="190"/>
      <c r="F40" s="190"/>
      <c r="G40" s="655">
        <f>ROUND(SUM(C40:F40),5)</f>
        <v>6000</v>
      </c>
      <c r="H40" s="99"/>
      <c r="I40" s="775"/>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353</v>
      </c>
      <c r="C41" s="189"/>
      <c r="D41" s="189">
        <v>15</v>
      </c>
      <c r="E41" s="190">
        <v>76.17</v>
      </c>
      <c r="F41" s="190">
        <f>297.55+30</f>
        <v>327.55</v>
      </c>
      <c r="G41" s="655">
        <f>ROUND(SUM(C41:F41),5)</f>
        <v>418.72</v>
      </c>
      <c r="H41" s="99"/>
      <c r="I41" s="775"/>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customHeight="1" x14ac:dyDescent="0.25">
      <c r="A42" s="146"/>
      <c r="B42" s="117" t="s">
        <v>350</v>
      </c>
      <c r="C42" s="189"/>
      <c r="D42" s="189"/>
      <c r="E42" s="190"/>
      <c r="F42" s="190"/>
      <c r="G42" s="655">
        <f>ROUND(SUM(C42:F42),5)</f>
        <v>0</v>
      </c>
      <c r="H42" s="99"/>
      <c r="I42" s="775"/>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49</v>
      </c>
      <c r="C43" s="189">
        <v>1974.47</v>
      </c>
      <c r="D43" s="189">
        <f>8287.42-600</f>
        <v>7687.42</v>
      </c>
      <c r="E43" s="190">
        <v>15968.03</v>
      </c>
      <c r="F43" s="190">
        <f>9076.47-6700.03</f>
        <v>2376.4399999999996</v>
      </c>
      <c r="G43" s="655">
        <f>ROUND(SUM(C43:F43),5)</f>
        <v>28006.36</v>
      </c>
      <c r="H43" s="99"/>
      <c r="I43" s="775"/>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4" customFormat="1" ht="24.95" customHeight="1" thickBot="1" x14ac:dyDescent="0.3">
      <c r="A44" s="221"/>
      <c r="B44" s="222" t="s">
        <v>50</v>
      </c>
      <c r="C44" s="223">
        <f>SUM(C39:C43)</f>
        <v>7224.47</v>
      </c>
      <c r="D44" s="223">
        <f>SUM(D39:D43)</f>
        <v>15952.42</v>
      </c>
      <c r="E44" s="223">
        <f>SUM(E39:E43)</f>
        <v>16044.2</v>
      </c>
      <c r="F44" s="223">
        <f>SUM(F39:F43)</f>
        <v>2703.99</v>
      </c>
      <c r="G44" s="656">
        <f>SUM(G39:G43)</f>
        <v>41925.08</v>
      </c>
      <c r="H44" s="207"/>
      <c r="I44" s="775"/>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657"/>
      <c r="H45" s="99"/>
      <c r="I45" s="775"/>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267</v>
      </c>
      <c r="B46" s="432"/>
      <c r="C46" s="433"/>
      <c r="D46" s="433"/>
      <c r="E46" s="433"/>
      <c r="F46" s="434"/>
      <c r="G46" s="658"/>
      <c r="H46" s="99"/>
      <c r="I46" s="775"/>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78"/>
      <c r="B47" s="438" t="s">
        <v>437</v>
      </c>
      <c r="C47" s="464">
        <v>620.39</v>
      </c>
      <c r="D47" s="464"/>
      <c r="E47" s="440"/>
      <c r="F47" s="441"/>
      <c r="G47" s="659">
        <f>ROUND(SUM(C47:F47),5)</f>
        <v>620.39</v>
      </c>
      <c r="H47" s="99"/>
      <c r="I47" s="775"/>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customHeight="1" x14ac:dyDescent="0.25">
      <c r="A48" s="378"/>
      <c r="B48" s="438" t="s">
        <v>352</v>
      </c>
      <c r="C48" s="464"/>
      <c r="D48" s="464">
        <v>21276.44</v>
      </c>
      <c r="E48" s="464"/>
      <c r="F48" s="527"/>
      <c r="G48" s="659">
        <f>ROUND(SUM(C48:F48),5)</f>
        <v>21276.44</v>
      </c>
      <c r="H48" s="99"/>
      <c r="I48" s="775"/>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79"/>
      <c r="B49" s="613" t="s">
        <v>436</v>
      </c>
      <c r="C49" s="465">
        <v>10772.59</v>
      </c>
      <c r="D49" s="465"/>
      <c r="E49" s="465"/>
      <c r="F49" s="614"/>
      <c r="G49" s="660">
        <f>ROUND(SUM(C49:F49),5)</f>
        <v>10772.59</v>
      </c>
      <c r="H49" s="99"/>
      <c r="I49" s="775"/>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79"/>
      <c r="B50" s="438" t="s">
        <v>281</v>
      </c>
      <c r="C50" s="465"/>
      <c r="D50" s="465"/>
      <c r="E50" s="465"/>
      <c r="F50" s="442"/>
      <c r="G50" s="660">
        <f>ROUND(SUM(C50:F50),5)</f>
        <v>0</v>
      </c>
      <c r="H50" s="99"/>
      <c r="I50" s="775"/>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6" customFormat="1" ht="24.95" customHeight="1" thickBot="1" x14ac:dyDescent="0.3">
      <c r="A51" s="225"/>
      <c r="B51" s="439" t="s">
        <v>201</v>
      </c>
      <c r="C51" s="435">
        <f>SUM(C46:C50)</f>
        <v>11392.98</v>
      </c>
      <c r="D51" s="435">
        <f t="shared" ref="D51" si="1">SUM(D46:D50)</f>
        <v>21276.44</v>
      </c>
      <c r="E51" s="435"/>
      <c r="F51" s="435"/>
      <c r="G51" s="661">
        <f>ROUND(SUM(C51:F51),5)</f>
        <v>32669.42</v>
      </c>
      <c r="H51" s="197"/>
      <c r="I51" s="559"/>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657"/>
      <c r="H52" s="94"/>
      <c r="I52" s="559"/>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51" t="s">
        <v>183</v>
      </c>
      <c r="B53" s="352"/>
      <c r="C53" s="353"/>
      <c r="D53" s="363"/>
      <c r="E53" s="363"/>
      <c r="F53" s="363"/>
      <c r="G53" s="662"/>
      <c r="H53" s="94"/>
      <c r="I53" s="559"/>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54"/>
      <c r="B54" s="357" t="s">
        <v>220</v>
      </c>
      <c r="C54" s="466"/>
      <c r="D54" s="466"/>
      <c r="E54" s="466"/>
      <c r="F54" s="466"/>
      <c r="G54" s="663">
        <f>SUM(C54:F54)</f>
        <v>0</v>
      </c>
      <c r="H54" s="94"/>
      <c r="I54" s="559"/>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55"/>
      <c r="B55" s="358" t="s">
        <v>221</v>
      </c>
      <c r="C55" s="467"/>
      <c r="D55" s="467"/>
      <c r="E55" s="467"/>
      <c r="F55" s="467"/>
      <c r="G55" s="664">
        <f>SUM(C55:F55)</f>
        <v>0</v>
      </c>
      <c r="H55" s="94"/>
      <c r="I55" s="559"/>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23" t="s">
        <v>184</v>
      </c>
      <c r="B56" s="824"/>
      <c r="C56" s="356">
        <f t="shared" ref="C56" si="2">SUM(C53:C55)</f>
        <v>0</v>
      </c>
      <c r="D56" s="356"/>
      <c r="E56" s="356"/>
      <c r="F56" s="356"/>
      <c r="G56" s="665">
        <f t="shared" ref="G56" si="3">SUM(G53:G55)</f>
        <v>0</v>
      </c>
      <c r="H56" s="94"/>
      <c r="I56" s="559"/>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46"/>
      <c r="H57" s="94"/>
      <c r="I57" s="559"/>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74" t="s">
        <v>319</v>
      </c>
      <c r="B58" s="471"/>
      <c r="C58" s="472"/>
      <c r="D58" s="473"/>
      <c r="E58" s="473"/>
      <c r="F58" s="473"/>
      <c r="G58" s="666">
        <f>SUM(C58:F58)</f>
        <v>0</v>
      </c>
      <c r="H58" s="94"/>
      <c r="I58" s="559"/>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46"/>
      <c r="H59" s="94"/>
      <c r="I59" s="559"/>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11" t="s">
        <v>307</v>
      </c>
      <c r="B60" s="380"/>
      <c r="C60" s="381"/>
      <c r="D60" s="382"/>
      <c r="E60" s="381"/>
      <c r="F60" s="382"/>
      <c r="G60" s="667">
        <f>SUM(C60:F60)</f>
        <v>0</v>
      </c>
      <c r="H60" s="94"/>
      <c r="I60" s="559"/>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43"/>
      <c r="D61" s="176"/>
      <c r="E61" s="176"/>
      <c r="F61" s="176"/>
      <c r="G61" s="646"/>
      <c r="H61" s="94"/>
      <c r="I61" s="559"/>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70" t="s">
        <v>399</v>
      </c>
      <c r="B62" s="469"/>
      <c r="C62" s="444">
        <f>2021.25-6.23</f>
        <v>2015.02</v>
      </c>
      <c r="D62" s="445">
        <f>1978.66+6.23</f>
        <v>1984.89</v>
      </c>
      <c r="E62" s="445"/>
      <c r="F62" s="445"/>
      <c r="G62" s="668">
        <f>SUM(C62:F62)</f>
        <v>3999.91</v>
      </c>
      <c r="H62" s="94"/>
      <c r="I62" s="559"/>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672"/>
      <c r="B63" s="672"/>
      <c r="C63" s="443"/>
      <c r="D63" s="176"/>
      <c r="E63" s="176"/>
      <c r="F63" s="176"/>
      <c r="G63" s="646"/>
      <c r="H63" s="94"/>
      <c r="I63" s="559"/>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673" t="s">
        <v>351</v>
      </c>
      <c r="B64" s="674"/>
      <c r="C64" s="675"/>
      <c r="D64" s="676">
        <v>5000</v>
      </c>
      <c r="E64" s="676"/>
      <c r="F64" s="676"/>
      <c r="G64" s="677">
        <f>SUM(C64:F64)</f>
        <v>5000</v>
      </c>
      <c r="H64" s="94"/>
      <c r="I64" s="559"/>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121" customFormat="1" ht="12" customHeight="1" thickBot="1" x14ac:dyDescent="0.3">
      <c r="A65" s="672"/>
      <c r="B65" s="672"/>
      <c r="C65" s="443"/>
      <c r="D65" s="176"/>
      <c r="E65" s="176"/>
      <c r="F65" s="176"/>
      <c r="G65" s="646"/>
      <c r="H65" s="94"/>
      <c r="I65" s="559"/>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121" customFormat="1" ht="24.95" customHeight="1" thickBot="1" x14ac:dyDescent="0.3">
      <c r="A66" s="727" t="s">
        <v>464</v>
      </c>
      <c r="B66" s="728"/>
      <c r="C66" s="729">
        <f>26000-(52000*0.2)</f>
        <v>15600</v>
      </c>
      <c r="D66" s="730"/>
      <c r="E66" s="730"/>
      <c r="F66" s="730"/>
      <c r="G66" s="731">
        <f>SUM(C66:F66)</f>
        <v>15600</v>
      </c>
      <c r="H66" s="94"/>
      <c r="I66" s="559"/>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5" customFormat="1" ht="9" customHeight="1" thickBot="1" x14ac:dyDescent="0.3">
      <c r="A67" s="672"/>
      <c r="B67" s="672"/>
      <c r="C67" s="443"/>
      <c r="D67" s="176"/>
      <c r="E67" s="176"/>
      <c r="F67" s="176"/>
      <c r="G67" s="646"/>
      <c r="H67" s="94"/>
      <c r="I67" s="559"/>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2009" s="95" customFormat="1" ht="24.95" customHeight="1" thickBot="1" x14ac:dyDescent="0.3">
      <c r="A68" s="755" t="s">
        <v>438</v>
      </c>
      <c r="B68" s="756"/>
      <c r="C68" s="757">
        <v>11076.31</v>
      </c>
      <c r="D68" s="757">
        <f>31516.09-11073.34</f>
        <v>20442.75</v>
      </c>
      <c r="E68" s="757"/>
      <c r="F68" s="757"/>
      <c r="G68" s="758">
        <f>SUM(C68:F68)</f>
        <v>31519.059999999998</v>
      </c>
      <c r="H68" s="94"/>
      <c r="I68" s="559"/>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2009" s="96" customFormat="1" ht="12.75" customHeight="1" thickBot="1" x14ac:dyDescent="0.3">
      <c r="A69" s="120"/>
      <c r="B69" s="120"/>
      <c r="C69" s="171"/>
      <c r="D69" s="171"/>
      <c r="E69" s="171"/>
      <c r="F69" s="171"/>
      <c r="G69" s="657"/>
      <c r="H69" s="94"/>
      <c r="I69" s="559"/>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s="228" customFormat="1" ht="24.95" customHeight="1" thickBot="1" x14ac:dyDescent="0.3">
      <c r="A70" s="227"/>
      <c r="B70" s="468" t="s">
        <v>440</v>
      </c>
      <c r="C70" s="282">
        <f>SUM(C8+C14+C23+C27+C32+C44+C56)+C36+C51+C60+C62+C58+C66+C64+C68</f>
        <v>108482.39</v>
      </c>
      <c r="D70" s="282">
        <f>SUM(D8+D14+D23+D27+D32+D44+D56)+D36+D51+D60+D58+D62+D64+D68</f>
        <v>161184.15</v>
      </c>
      <c r="E70" s="282">
        <f>SUM(E8+E14+E23+E27+E32+E44+E56)+E36+E51+E60+E62+E64</f>
        <v>50367.17</v>
      </c>
      <c r="F70" s="282">
        <f>SUM(F8+F14+F23+F27+F32+F44+F56)+F36+F51+F60</f>
        <v>2703.99</v>
      </c>
      <c r="G70" s="671">
        <f>SUM(G8+G14+G23+G27+G32+G44+G56)+G36+G51+G60+G62+G58+G66+G64+G68</f>
        <v>322737.69999999995</v>
      </c>
      <c r="H70" s="197"/>
      <c r="I70" s="559"/>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8"/>
      <c r="IZ70" s="198"/>
      <c r="JA70" s="198"/>
      <c r="JB70" s="198"/>
      <c r="JC70" s="198"/>
      <c r="JD70" s="198"/>
      <c r="JE70" s="198"/>
      <c r="JF70" s="198"/>
      <c r="JG70" s="198"/>
      <c r="JH70" s="198"/>
      <c r="JI70" s="198"/>
      <c r="JJ70" s="198"/>
      <c r="JK70" s="198"/>
      <c r="JL70" s="198"/>
      <c r="JM70" s="198"/>
      <c r="JN70" s="198"/>
      <c r="JO70" s="198"/>
      <c r="JP70" s="198"/>
      <c r="JQ70" s="198"/>
      <c r="JR70" s="198"/>
      <c r="JS70" s="198"/>
      <c r="JT70" s="198"/>
      <c r="JU70" s="198"/>
      <c r="JV70" s="198"/>
      <c r="JW70" s="198"/>
      <c r="JX70" s="198"/>
      <c r="JY70" s="198"/>
      <c r="JZ70" s="198"/>
      <c r="KA70" s="198"/>
      <c r="KB70" s="198"/>
      <c r="KC70" s="198"/>
      <c r="KD70" s="198"/>
      <c r="KE70" s="198"/>
      <c r="KF70" s="198"/>
      <c r="KG70" s="198"/>
      <c r="KH70" s="198"/>
      <c r="KI70" s="198"/>
      <c r="KJ70" s="198"/>
      <c r="KK70" s="198"/>
      <c r="KL70" s="198"/>
      <c r="KM70" s="198"/>
      <c r="KN70" s="198"/>
      <c r="KO70" s="198"/>
      <c r="KP70" s="198"/>
      <c r="KQ70" s="198"/>
      <c r="KR70" s="198"/>
      <c r="KS70" s="198"/>
      <c r="KT70" s="198"/>
      <c r="KU70" s="198"/>
      <c r="KV70" s="198"/>
      <c r="KW70" s="198"/>
      <c r="KX70" s="198"/>
      <c r="KY70" s="198"/>
      <c r="KZ70" s="198"/>
      <c r="LA70" s="198"/>
      <c r="LB70" s="198"/>
      <c r="LC70" s="198"/>
      <c r="LD70" s="198"/>
      <c r="LE70" s="198"/>
      <c r="LF70" s="198"/>
      <c r="LG70" s="198"/>
      <c r="LH70" s="198"/>
      <c r="LI70" s="198"/>
      <c r="LJ70" s="198"/>
      <c r="LK70" s="198"/>
      <c r="LL70" s="198"/>
      <c r="LM70" s="198"/>
      <c r="LN70" s="198"/>
      <c r="LO70" s="198"/>
      <c r="LP70" s="198"/>
      <c r="LQ70" s="198"/>
      <c r="LR70" s="198"/>
      <c r="LS70" s="198"/>
      <c r="LT70" s="198"/>
      <c r="LU70" s="198"/>
      <c r="LV70" s="198"/>
      <c r="LW70" s="198"/>
      <c r="LX70" s="198"/>
      <c r="LY70" s="198"/>
      <c r="LZ70" s="198"/>
      <c r="MA70" s="198"/>
      <c r="MB70" s="198"/>
      <c r="MC70" s="198"/>
      <c r="MD70" s="198"/>
      <c r="ME70" s="198"/>
      <c r="MF70" s="198"/>
      <c r="MG70" s="198"/>
      <c r="MH70" s="198"/>
      <c r="MI70" s="198"/>
      <c r="MJ70" s="198"/>
      <c r="MK70" s="198"/>
      <c r="ML70" s="198"/>
      <c r="MM70" s="198"/>
      <c r="MN70" s="198"/>
      <c r="MO70" s="198"/>
      <c r="MP70" s="198"/>
      <c r="MQ70" s="198"/>
      <c r="MR70" s="198"/>
      <c r="MS70" s="198"/>
      <c r="MT70" s="198"/>
      <c r="MU70" s="198"/>
      <c r="MV70" s="198"/>
      <c r="MW70" s="198"/>
      <c r="MX70" s="198"/>
      <c r="MY70" s="198"/>
      <c r="MZ70" s="198"/>
      <c r="NA70" s="198"/>
      <c r="NB70" s="198"/>
      <c r="NC70" s="198"/>
      <c r="ND70" s="198"/>
      <c r="NE70" s="198"/>
      <c r="NF70" s="198"/>
      <c r="NG70" s="198"/>
      <c r="NH70" s="198"/>
      <c r="NI70" s="198"/>
      <c r="NJ70" s="198"/>
      <c r="NK70" s="198"/>
      <c r="NL70" s="198"/>
      <c r="NM70" s="198"/>
      <c r="NN70" s="198"/>
      <c r="NO70" s="198"/>
      <c r="NP70" s="198"/>
      <c r="NQ70" s="198"/>
      <c r="NR70" s="198"/>
      <c r="NS70" s="198"/>
      <c r="NT70" s="198"/>
      <c r="NU70" s="198"/>
      <c r="NV70" s="198"/>
      <c r="NW70" s="198"/>
      <c r="NX70" s="198"/>
      <c r="NY70" s="198"/>
      <c r="NZ70" s="198"/>
      <c r="OA70" s="198"/>
      <c r="OB70" s="198"/>
      <c r="OC70" s="198"/>
      <c r="OD70" s="198"/>
      <c r="OE70" s="198"/>
      <c r="OF70" s="198"/>
      <c r="OG70" s="198"/>
      <c r="OH70" s="198"/>
      <c r="OI70" s="198"/>
      <c r="OJ70" s="198"/>
      <c r="OK70" s="198"/>
      <c r="OL70" s="198"/>
      <c r="OM70" s="198"/>
      <c r="ON70" s="198"/>
      <c r="OO70" s="198"/>
      <c r="OP70" s="198"/>
      <c r="OQ70" s="198"/>
      <c r="OR70" s="198"/>
      <c r="OS70" s="198"/>
      <c r="OT70" s="198"/>
      <c r="OU70" s="198"/>
      <c r="OV70" s="198"/>
      <c r="OW70" s="198"/>
      <c r="OX70" s="198"/>
      <c r="OY70" s="198"/>
      <c r="OZ70" s="198"/>
      <c r="PA70" s="198"/>
      <c r="PB70" s="198"/>
      <c r="PC70" s="198"/>
      <c r="PD70" s="198"/>
      <c r="PE70" s="198"/>
      <c r="PF70" s="198"/>
      <c r="PG70" s="198"/>
      <c r="PH70" s="198"/>
      <c r="PI70" s="198"/>
      <c r="PJ70" s="198"/>
      <c r="PK70" s="198"/>
      <c r="PL70" s="198"/>
      <c r="PM70" s="198"/>
      <c r="PN70" s="198"/>
      <c r="PO70" s="198"/>
      <c r="PP70" s="198"/>
      <c r="PQ70" s="198"/>
      <c r="PR70" s="198"/>
      <c r="PS70" s="198"/>
      <c r="PT70" s="198"/>
      <c r="PU70" s="198"/>
      <c r="PV70" s="198"/>
      <c r="PW70" s="198"/>
      <c r="PX70" s="198"/>
      <c r="PY70" s="198"/>
      <c r="PZ70" s="198"/>
      <c r="QA70" s="198"/>
      <c r="QB70" s="198"/>
      <c r="QC70" s="198"/>
      <c r="QD70" s="198"/>
      <c r="QE70" s="198"/>
      <c r="QF70" s="198"/>
      <c r="QG70" s="198"/>
      <c r="QH70" s="198"/>
      <c r="QI70" s="198"/>
      <c r="QJ70" s="198"/>
      <c r="QK70" s="198"/>
      <c r="QL70" s="198"/>
      <c r="QM70" s="198"/>
      <c r="QN70" s="198"/>
      <c r="QO70" s="198"/>
      <c r="QP70" s="198"/>
      <c r="QQ70" s="198"/>
      <c r="QR70" s="198"/>
      <c r="QS70" s="198"/>
      <c r="QT70" s="198"/>
      <c r="QU70" s="198"/>
      <c r="QV70" s="198"/>
      <c r="QW70" s="198"/>
      <c r="QX70" s="198"/>
      <c r="QY70" s="198"/>
      <c r="QZ70" s="198"/>
      <c r="RA70" s="198"/>
      <c r="RB70" s="198"/>
      <c r="RC70" s="198"/>
      <c r="RD70" s="198"/>
      <c r="RE70" s="198"/>
      <c r="RF70" s="198"/>
      <c r="RG70" s="198"/>
      <c r="RH70" s="198"/>
      <c r="RI70" s="198"/>
      <c r="RJ70" s="198"/>
      <c r="RK70" s="198"/>
      <c r="RL70" s="198"/>
      <c r="RM70" s="198"/>
      <c r="RN70" s="198"/>
      <c r="RO70" s="198"/>
      <c r="RP70" s="198"/>
      <c r="RQ70" s="198"/>
      <c r="RR70" s="198"/>
      <c r="RS70" s="198"/>
      <c r="RT70" s="198"/>
      <c r="RU70" s="198"/>
      <c r="RV70" s="198"/>
      <c r="RW70" s="198"/>
      <c r="RX70" s="198"/>
      <c r="RY70" s="198"/>
      <c r="RZ70" s="198"/>
      <c r="SA70" s="198"/>
      <c r="SB70" s="198"/>
      <c r="SC70" s="198"/>
      <c r="SD70" s="198"/>
      <c r="SE70" s="198"/>
      <c r="SF70" s="198"/>
      <c r="SG70" s="198"/>
      <c r="SH70" s="198"/>
      <c r="SI70" s="198"/>
      <c r="SJ70" s="198"/>
      <c r="SK70" s="198"/>
      <c r="SL70" s="198"/>
      <c r="SM70" s="198"/>
      <c r="SN70" s="198"/>
      <c r="SO70" s="198"/>
      <c r="SP70" s="198"/>
      <c r="SQ70" s="198"/>
      <c r="SR70" s="198"/>
      <c r="SS70" s="198"/>
      <c r="ST70" s="198"/>
      <c r="SU70" s="198"/>
      <c r="SV70" s="198"/>
      <c r="SW70" s="198"/>
      <c r="SX70" s="198"/>
      <c r="SY70" s="198"/>
      <c r="SZ70" s="198"/>
      <c r="TA70" s="198"/>
      <c r="TB70" s="198"/>
      <c r="TC70" s="198"/>
      <c r="TD70" s="198"/>
      <c r="TE70" s="198"/>
      <c r="TF70" s="198"/>
      <c r="TG70" s="198"/>
      <c r="TH70" s="198"/>
      <c r="TI70" s="198"/>
      <c r="TJ70" s="198"/>
      <c r="TK70" s="198"/>
      <c r="TL70" s="198"/>
      <c r="TM70" s="198"/>
      <c r="TN70" s="198"/>
      <c r="TO70" s="198"/>
      <c r="TP70" s="198"/>
      <c r="TQ70" s="198"/>
      <c r="TR70" s="198"/>
      <c r="TS70" s="198"/>
      <c r="TT70" s="198"/>
      <c r="TU70" s="198"/>
      <c r="TV70" s="198"/>
      <c r="TW70" s="198"/>
      <c r="TX70" s="198"/>
      <c r="TY70" s="198"/>
      <c r="TZ70" s="198"/>
      <c r="UA70" s="198"/>
      <c r="UB70" s="198"/>
      <c r="UC70" s="198"/>
      <c r="UD70" s="198"/>
      <c r="UE70" s="198"/>
      <c r="UF70" s="198"/>
      <c r="UG70" s="198"/>
      <c r="UH70" s="198"/>
      <c r="UI70" s="198"/>
      <c r="UJ70" s="198"/>
      <c r="UK70" s="198"/>
      <c r="UL70" s="198"/>
      <c r="UM70" s="198"/>
      <c r="UN70" s="198"/>
      <c r="UO70" s="198"/>
      <c r="UP70" s="198"/>
      <c r="UQ70" s="198"/>
      <c r="UR70" s="198"/>
      <c r="US70" s="198"/>
      <c r="UT70" s="198"/>
      <c r="UU70" s="198"/>
      <c r="UV70" s="198"/>
      <c r="UW70" s="198"/>
      <c r="UX70" s="198"/>
      <c r="UY70" s="198"/>
      <c r="UZ70" s="198"/>
      <c r="VA70" s="198"/>
      <c r="VB70" s="198"/>
      <c r="VC70" s="198"/>
      <c r="VD70" s="198"/>
      <c r="VE70" s="198"/>
      <c r="VF70" s="198"/>
      <c r="VG70" s="198"/>
      <c r="VH70" s="198"/>
      <c r="VI70" s="198"/>
      <c r="VJ70" s="198"/>
      <c r="VK70" s="198"/>
      <c r="VL70" s="198"/>
      <c r="VM70" s="198"/>
      <c r="VN70" s="198"/>
      <c r="VO70" s="198"/>
      <c r="VP70" s="198"/>
      <c r="VQ70" s="198"/>
      <c r="VR70" s="198"/>
      <c r="VS70" s="198"/>
      <c r="VT70" s="198"/>
      <c r="VU70" s="198"/>
      <c r="VV70" s="198"/>
      <c r="VW70" s="198"/>
      <c r="VX70" s="198"/>
      <c r="VY70" s="198"/>
      <c r="VZ70" s="198"/>
      <c r="WA70" s="198"/>
      <c r="WB70" s="198"/>
      <c r="WC70" s="198"/>
      <c r="WD70" s="198"/>
      <c r="WE70" s="198"/>
      <c r="WF70" s="198"/>
      <c r="WG70" s="198"/>
      <c r="WH70" s="198"/>
      <c r="WI70" s="198"/>
      <c r="WJ70" s="198"/>
      <c r="WK70" s="198"/>
      <c r="WL70" s="198"/>
      <c r="WM70" s="198"/>
      <c r="WN70" s="198"/>
      <c r="WO70" s="198"/>
      <c r="WP70" s="198"/>
      <c r="WQ70" s="198"/>
      <c r="WR70" s="198"/>
      <c r="WS70" s="198"/>
      <c r="WT70" s="198"/>
      <c r="WU70" s="198"/>
      <c r="WV70" s="198"/>
      <c r="WW70" s="198"/>
      <c r="WX70" s="198"/>
      <c r="WY70" s="198"/>
      <c r="WZ70" s="198"/>
      <c r="XA70" s="198"/>
      <c r="XB70" s="198"/>
      <c r="XC70" s="198"/>
      <c r="XD70" s="198"/>
      <c r="XE70" s="198"/>
      <c r="XF70" s="198"/>
      <c r="XG70" s="198"/>
      <c r="XH70" s="198"/>
      <c r="XI70" s="198"/>
      <c r="XJ70" s="198"/>
      <c r="XK70" s="198"/>
      <c r="XL70" s="198"/>
      <c r="XM70" s="198"/>
      <c r="XN70" s="198"/>
      <c r="XO70" s="198"/>
      <c r="XP70" s="198"/>
      <c r="XQ70" s="198"/>
      <c r="XR70" s="198"/>
      <c r="XS70" s="198"/>
      <c r="XT70" s="198"/>
      <c r="XU70" s="198"/>
      <c r="XV70" s="198"/>
      <c r="XW70" s="198"/>
      <c r="XX70" s="198"/>
      <c r="XY70" s="198"/>
      <c r="XZ70" s="198"/>
      <c r="YA70" s="198"/>
      <c r="YB70" s="198"/>
      <c r="YC70" s="198"/>
      <c r="YD70" s="198"/>
      <c r="YE70" s="198"/>
      <c r="YF70" s="198"/>
      <c r="YG70" s="198"/>
      <c r="YH70" s="198"/>
      <c r="YI70" s="198"/>
      <c r="YJ70" s="198"/>
      <c r="YK70" s="198"/>
      <c r="YL70" s="198"/>
      <c r="YM70" s="198"/>
      <c r="YN70" s="198"/>
      <c r="YO70" s="198"/>
      <c r="YP70" s="198"/>
      <c r="YQ70" s="198"/>
      <c r="YR70" s="198"/>
      <c r="YS70" s="198"/>
      <c r="YT70" s="198"/>
      <c r="YU70" s="198"/>
      <c r="YV70" s="198"/>
      <c r="YW70" s="198"/>
      <c r="YX70" s="198"/>
      <c r="YY70" s="198"/>
      <c r="YZ70" s="198"/>
      <c r="ZA70" s="198"/>
      <c r="ZB70" s="198"/>
      <c r="ZC70" s="198"/>
      <c r="ZD70" s="198"/>
      <c r="ZE70" s="198"/>
      <c r="ZF70" s="198"/>
      <c r="ZG70" s="198"/>
      <c r="ZH70" s="198"/>
      <c r="ZI70" s="198"/>
      <c r="ZJ70" s="198"/>
      <c r="ZK70" s="198"/>
      <c r="ZL70" s="198"/>
      <c r="ZM70" s="198"/>
      <c r="ZN70" s="198"/>
      <c r="ZO70" s="198"/>
      <c r="ZP70" s="198"/>
      <c r="ZQ70" s="198"/>
      <c r="ZR70" s="198"/>
      <c r="ZS70" s="198"/>
      <c r="ZT70" s="198"/>
      <c r="ZU70" s="198"/>
      <c r="ZV70" s="198"/>
      <c r="ZW70" s="198"/>
      <c r="ZX70" s="198"/>
      <c r="ZY70" s="198"/>
      <c r="ZZ70" s="198"/>
      <c r="AAA70" s="198"/>
      <c r="AAB70" s="198"/>
      <c r="AAC70" s="198"/>
      <c r="AAD70" s="198"/>
      <c r="AAE70" s="198"/>
      <c r="AAF70" s="198"/>
      <c r="AAG70" s="198"/>
      <c r="AAH70" s="198"/>
      <c r="AAI70" s="198"/>
      <c r="AAJ70" s="198"/>
      <c r="AAK70" s="198"/>
      <c r="AAL70" s="198"/>
      <c r="AAM70" s="198"/>
      <c r="AAN70" s="198"/>
      <c r="AAO70" s="198"/>
      <c r="AAP70" s="198"/>
      <c r="AAQ70" s="198"/>
      <c r="AAR70" s="198"/>
      <c r="AAS70" s="198"/>
      <c r="AAT70" s="198"/>
      <c r="AAU70" s="198"/>
      <c r="AAV70" s="198"/>
      <c r="AAW70" s="198"/>
      <c r="AAX70" s="198"/>
      <c r="AAY70" s="198"/>
      <c r="AAZ70" s="198"/>
      <c r="ABA70" s="198"/>
      <c r="ABB70" s="198"/>
      <c r="ABC70" s="198"/>
      <c r="ABD70" s="198"/>
      <c r="ABE70" s="198"/>
      <c r="ABF70" s="198"/>
      <c r="ABG70" s="198"/>
      <c r="ABH70" s="198"/>
      <c r="ABI70" s="198"/>
      <c r="ABJ70" s="198"/>
      <c r="ABK70" s="198"/>
      <c r="ABL70" s="198"/>
      <c r="ABM70" s="198"/>
      <c r="ABN70" s="198"/>
      <c r="ABO70" s="198"/>
      <c r="ABP70" s="198"/>
      <c r="ABQ70" s="198"/>
      <c r="ABR70" s="198"/>
      <c r="ABS70" s="198"/>
      <c r="ABT70" s="198"/>
      <c r="ABU70" s="198"/>
      <c r="ABV70" s="198"/>
      <c r="ABW70" s="198"/>
      <c r="ABX70" s="198"/>
      <c r="ABY70" s="198"/>
      <c r="ABZ70" s="198"/>
      <c r="ACA70" s="198"/>
      <c r="ACB70" s="198"/>
      <c r="ACC70" s="198"/>
      <c r="ACD70" s="198"/>
      <c r="ACE70" s="198"/>
      <c r="ACF70" s="198"/>
      <c r="ACG70" s="198"/>
      <c r="ACH70" s="198"/>
      <c r="ACI70" s="198"/>
      <c r="ACJ70" s="198"/>
      <c r="ACK70" s="198"/>
      <c r="ACL70" s="198"/>
      <c r="ACM70" s="198"/>
      <c r="ACN70" s="198"/>
      <c r="ACO70" s="198"/>
      <c r="ACP70" s="198"/>
      <c r="ACQ70" s="198"/>
      <c r="ACR70" s="198"/>
      <c r="ACS70" s="198"/>
      <c r="ACT70" s="198"/>
      <c r="ACU70" s="198"/>
      <c r="ACV70" s="198"/>
      <c r="ACW70" s="198"/>
      <c r="ACX70" s="198"/>
      <c r="ACY70" s="198"/>
      <c r="ACZ70" s="198"/>
      <c r="ADA70" s="198"/>
      <c r="ADB70" s="198"/>
      <c r="ADC70" s="198"/>
      <c r="ADD70" s="198"/>
      <c r="ADE70" s="198"/>
      <c r="ADF70" s="198"/>
      <c r="ADG70" s="198"/>
      <c r="ADH70" s="198"/>
      <c r="ADI70" s="198"/>
      <c r="ADJ70" s="198"/>
      <c r="ADK70" s="198"/>
      <c r="ADL70" s="198"/>
      <c r="ADM70" s="198"/>
      <c r="ADN70" s="198"/>
      <c r="ADO70" s="198"/>
      <c r="ADP70" s="198"/>
      <c r="ADQ70" s="198"/>
      <c r="ADR70" s="198"/>
      <c r="ADS70" s="198"/>
      <c r="ADT70" s="198"/>
      <c r="ADU70" s="198"/>
      <c r="ADV70" s="198"/>
      <c r="ADW70" s="198"/>
      <c r="ADX70" s="198"/>
      <c r="ADY70" s="198"/>
      <c r="ADZ70" s="198"/>
      <c r="AEA70" s="198"/>
      <c r="AEB70" s="198"/>
      <c r="AEC70" s="198"/>
      <c r="AED70" s="198"/>
      <c r="AEE70" s="198"/>
      <c r="AEF70" s="198"/>
      <c r="AEG70" s="198"/>
      <c r="AEH70" s="198"/>
      <c r="AEI70" s="198"/>
      <c r="AEJ70" s="198"/>
      <c r="AEK70" s="198"/>
      <c r="AEL70" s="198"/>
      <c r="AEM70" s="198"/>
      <c r="AEN70" s="198"/>
      <c r="AEO70" s="198"/>
      <c r="AEP70" s="198"/>
      <c r="AEQ70" s="198"/>
      <c r="AER70" s="198"/>
      <c r="AES70" s="198"/>
      <c r="AET70" s="198"/>
      <c r="AEU70" s="198"/>
      <c r="AEV70" s="198"/>
      <c r="AEW70" s="198"/>
      <c r="AEX70" s="198"/>
      <c r="AEY70" s="198"/>
      <c r="AEZ70" s="198"/>
      <c r="AFA70" s="198"/>
      <c r="AFB70" s="198"/>
      <c r="AFC70" s="198"/>
      <c r="AFD70" s="198"/>
      <c r="AFE70" s="198"/>
      <c r="AFF70" s="198"/>
      <c r="AFG70" s="198"/>
      <c r="AFH70" s="198"/>
      <c r="AFI70" s="198"/>
      <c r="AFJ70" s="198"/>
      <c r="AFK70" s="198"/>
      <c r="AFL70" s="198"/>
      <c r="AFM70" s="198"/>
      <c r="AFN70" s="198"/>
      <c r="AFO70" s="198"/>
      <c r="AFP70" s="198"/>
      <c r="AFQ70" s="198"/>
      <c r="AFR70" s="198"/>
      <c r="AFS70" s="198"/>
      <c r="AFT70" s="198"/>
      <c r="AFU70" s="198"/>
      <c r="AFV70" s="198"/>
      <c r="AFW70" s="198"/>
      <c r="AFX70" s="198"/>
      <c r="AFY70" s="198"/>
      <c r="AFZ70" s="198"/>
      <c r="AGA70" s="198"/>
      <c r="AGB70" s="198"/>
      <c r="AGC70" s="198"/>
      <c r="AGD70" s="198"/>
      <c r="AGE70" s="198"/>
      <c r="AGF70" s="198"/>
      <c r="AGG70" s="198"/>
      <c r="AGH70" s="198"/>
      <c r="AGI70" s="198"/>
      <c r="AGJ70" s="198"/>
      <c r="AGK70" s="198"/>
      <c r="AGL70" s="198"/>
      <c r="AGM70" s="198"/>
      <c r="AGN70" s="198"/>
      <c r="AGO70" s="198"/>
      <c r="AGP70" s="198"/>
      <c r="AGQ70" s="198"/>
      <c r="AGR70" s="198"/>
      <c r="AGS70" s="198"/>
      <c r="AGT70" s="198"/>
      <c r="AGU70" s="198"/>
      <c r="AGV70" s="198"/>
      <c r="AGW70" s="198"/>
      <c r="AGX70" s="198"/>
      <c r="AGY70" s="198"/>
      <c r="AGZ70" s="198"/>
      <c r="AHA70" s="198"/>
      <c r="AHB70" s="198"/>
      <c r="AHC70" s="198"/>
      <c r="AHD70" s="198"/>
      <c r="AHE70" s="198"/>
      <c r="AHF70" s="198"/>
      <c r="AHG70" s="198"/>
      <c r="AHH70" s="198"/>
      <c r="AHI70" s="198"/>
      <c r="AHJ70" s="198"/>
      <c r="AHK70" s="198"/>
      <c r="AHL70" s="198"/>
      <c r="AHM70" s="198"/>
      <c r="AHN70" s="198"/>
      <c r="AHO70" s="198"/>
      <c r="AHP70" s="198"/>
      <c r="AHQ70" s="198"/>
      <c r="AHR70" s="198"/>
      <c r="AHS70" s="198"/>
      <c r="AHT70" s="198"/>
      <c r="AHU70" s="198"/>
      <c r="AHV70" s="198"/>
      <c r="AHW70" s="198"/>
      <c r="AHX70" s="198"/>
      <c r="AHY70" s="198"/>
      <c r="AHZ70" s="198"/>
      <c r="AIA70" s="198"/>
      <c r="AIB70" s="198"/>
      <c r="AIC70" s="198"/>
      <c r="AID70" s="198"/>
      <c r="AIE70" s="198"/>
      <c r="AIF70" s="198"/>
      <c r="AIG70" s="198"/>
      <c r="AIH70" s="198"/>
      <c r="AII70" s="198"/>
      <c r="AIJ70" s="198"/>
      <c r="AIK70" s="198"/>
      <c r="AIL70" s="198"/>
      <c r="AIM70" s="198"/>
      <c r="AIN70" s="198"/>
      <c r="AIO70" s="198"/>
      <c r="AIP70" s="198"/>
      <c r="AIQ70" s="198"/>
      <c r="AIR70" s="198"/>
      <c r="AIS70" s="198"/>
      <c r="AIT70" s="198"/>
      <c r="AIU70" s="198"/>
      <c r="AIV70" s="198"/>
      <c r="AIW70" s="198"/>
      <c r="AIX70" s="198"/>
      <c r="AIY70" s="198"/>
      <c r="AIZ70" s="198"/>
      <c r="AJA70" s="198"/>
      <c r="AJB70" s="198"/>
      <c r="AJC70" s="198"/>
      <c r="AJD70" s="198"/>
      <c r="AJE70" s="198"/>
      <c r="AJF70" s="198"/>
      <c r="AJG70" s="198"/>
      <c r="AJH70" s="198"/>
      <c r="AJI70" s="198"/>
      <c r="AJJ70" s="198"/>
      <c r="AJK70" s="198"/>
      <c r="AJL70" s="198"/>
      <c r="AJM70" s="198"/>
      <c r="AJN70" s="198"/>
      <c r="AJO70" s="198"/>
      <c r="AJP70" s="198"/>
      <c r="AJQ70" s="198"/>
      <c r="AJR70" s="198"/>
      <c r="AJS70" s="198"/>
      <c r="AJT70" s="198"/>
      <c r="AJU70" s="198"/>
      <c r="AJV70" s="198"/>
      <c r="AJW70" s="198"/>
      <c r="AJX70" s="198"/>
      <c r="AJY70" s="198"/>
      <c r="AJZ70" s="198"/>
      <c r="AKA70" s="198"/>
      <c r="AKB70" s="198"/>
      <c r="AKC70" s="198"/>
      <c r="AKD70" s="198"/>
      <c r="AKE70" s="198"/>
      <c r="AKF70" s="198"/>
      <c r="AKG70" s="198"/>
      <c r="AKH70" s="198"/>
      <c r="AKI70" s="198"/>
      <c r="AKJ70" s="198"/>
      <c r="AKK70" s="198"/>
      <c r="AKL70" s="198"/>
      <c r="AKM70" s="198"/>
      <c r="AKN70" s="198"/>
      <c r="AKO70" s="198"/>
      <c r="AKP70" s="198"/>
      <c r="AKQ70" s="198"/>
      <c r="AKR70" s="198"/>
      <c r="AKS70" s="198"/>
      <c r="AKT70" s="198"/>
      <c r="AKU70" s="198"/>
      <c r="AKV70" s="198"/>
      <c r="AKW70" s="198"/>
      <c r="AKX70" s="198"/>
      <c r="AKY70" s="198"/>
      <c r="AKZ70" s="198"/>
      <c r="ALA70" s="198"/>
      <c r="ALB70" s="198"/>
      <c r="ALC70" s="198"/>
      <c r="ALD70" s="198"/>
      <c r="ALE70" s="198"/>
      <c r="ALF70" s="198"/>
      <c r="ALG70" s="198"/>
      <c r="ALH70" s="198"/>
      <c r="ALI70" s="198"/>
      <c r="ALJ70" s="198"/>
      <c r="ALK70" s="198"/>
      <c r="ALL70" s="198"/>
      <c r="ALM70" s="198"/>
      <c r="ALN70" s="198"/>
      <c r="ALO70" s="198"/>
      <c r="ALP70" s="198"/>
      <c r="ALQ70" s="198"/>
      <c r="ALR70" s="198"/>
      <c r="ALS70" s="198"/>
      <c r="ALT70" s="198"/>
      <c r="ALU70" s="198"/>
      <c r="ALV70" s="198"/>
      <c r="ALW70" s="198"/>
      <c r="ALX70" s="198"/>
      <c r="ALY70" s="198"/>
      <c r="ALZ70" s="198"/>
      <c r="AMA70" s="198"/>
      <c r="AMB70" s="198"/>
      <c r="AMC70" s="198"/>
      <c r="AMD70" s="198"/>
      <c r="AME70" s="198"/>
      <c r="AMF70" s="198"/>
      <c r="AMG70" s="198"/>
      <c r="AMH70" s="198"/>
      <c r="AMI70" s="198"/>
      <c r="AMJ70" s="198"/>
      <c r="AMK70" s="198"/>
      <c r="AML70" s="198"/>
      <c r="AMM70" s="198"/>
      <c r="AMN70" s="198"/>
      <c r="AMO70" s="198"/>
      <c r="AMP70" s="198"/>
      <c r="AMQ70" s="198"/>
      <c r="AMR70" s="198"/>
      <c r="AMS70" s="198"/>
      <c r="AMT70" s="198"/>
      <c r="AMU70" s="198"/>
      <c r="AMV70" s="198"/>
      <c r="AMW70" s="198"/>
      <c r="AMX70" s="198"/>
      <c r="AMY70" s="198"/>
      <c r="AMZ70" s="198"/>
      <c r="ANA70" s="198"/>
      <c r="ANB70" s="198"/>
      <c r="ANC70" s="198"/>
      <c r="AND70" s="198"/>
      <c r="ANE70" s="198"/>
      <c r="ANF70" s="198"/>
      <c r="ANG70" s="198"/>
      <c r="ANH70" s="198"/>
      <c r="ANI70" s="198"/>
      <c r="ANJ70" s="198"/>
      <c r="ANK70" s="198"/>
      <c r="ANL70" s="198"/>
      <c r="ANM70" s="198"/>
      <c r="ANN70" s="198"/>
      <c r="ANO70" s="198"/>
      <c r="ANP70" s="198"/>
      <c r="ANQ70" s="198"/>
      <c r="ANR70" s="198"/>
      <c r="ANS70" s="198"/>
      <c r="ANT70" s="198"/>
      <c r="ANU70" s="198"/>
      <c r="ANV70" s="198"/>
      <c r="ANW70" s="198"/>
      <c r="ANX70" s="198"/>
      <c r="ANY70" s="198"/>
      <c r="ANZ70" s="198"/>
      <c r="AOA70" s="198"/>
      <c r="AOB70" s="198"/>
      <c r="AOC70" s="198"/>
      <c r="AOD70" s="198"/>
      <c r="AOE70" s="198"/>
      <c r="AOF70" s="198"/>
      <c r="AOG70" s="198"/>
      <c r="AOH70" s="198"/>
      <c r="AOI70" s="198"/>
      <c r="AOJ70" s="198"/>
      <c r="AOK70" s="198"/>
      <c r="AOL70" s="198"/>
      <c r="AOM70" s="198"/>
      <c r="AON70" s="198"/>
      <c r="AOO70" s="198"/>
      <c r="AOP70" s="198"/>
      <c r="AOQ70" s="198"/>
      <c r="AOR70" s="198"/>
      <c r="AOS70" s="198"/>
      <c r="AOT70" s="198"/>
      <c r="AOU70" s="198"/>
      <c r="AOV70" s="198"/>
      <c r="AOW70" s="198"/>
      <c r="AOX70" s="198"/>
      <c r="AOY70" s="198"/>
      <c r="AOZ70" s="198"/>
      <c r="APA70" s="198"/>
      <c r="APB70" s="198"/>
      <c r="APC70" s="198"/>
      <c r="APD70" s="198"/>
      <c r="APE70" s="198"/>
      <c r="APF70" s="198"/>
      <c r="APG70" s="198"/>
      <c r="APH70" s="198"/>
      <c r="API70" s="198"/>
      <c r="APJ70" s="198"/>
      <c r="APK70" s="198"/>
      <c r="APL70" s="198"/>
      <c r="APM70" s="198"/>
      <c r="APN70" s="198"/>
      <c r="APO70" s="198"/>
      <c r="APP70" s="198"/>
      <c r="APQ70" s="198"/>
      <c r="APR70" s="198"/>
      <c r="APS70" s="198"/>
      <c r="APT70" s="198"/>
      <c r="APU70" s="198"/>
      <c r="APV70" s="198"/>
      <c r="APW70" s="198"/>
      <c r="APX70" s="198"/>
      <c r="APY70" s="198"/>
      <c r="APZ70" s="198"/>
      <c r="AQA70" s="198"/>
      <c r="AQB70" s="198"/>
      <c r="AQC70" s="198"/>
      <c r="AQD70" s="198"/>
      <c r="AQE70" s="198"/>
      <c r="AQF70" s="198"/>
      <c r="AQG70" s="198"/>
      <c r="AQH70" s="198"/>
      <c r="AQI70" s="198"/>
      <c r="AQJ70" s="198"/>
      <c r="AQK70" s="198"/>
      <c r="AQL70" s="198"/>
      <c r="AQM70" s="198"/>
      <c r="AQN70" s="198"/>
      <c r="AQO70" s="198"/>
      <c r="AQP70" s="198"/>
      <c r="AQQ70" s="198"/>
      <c r="AQR70" s="198"/>
      <c r="AQS70" s="198"/>
      <c r="AQT70" s="198"/>
      <c r="AQU70" s="198"/>
      <c r="AQV70" s="198"/>
      <c r="AQW70" s="198"/>
      <c r="AQX70" s="198"/>
      <c r="AQY70" s="198"/>
      <c r="AQZ70" s="198"/>
      <c r="ARA70" s="198"/>
      <c r="ARB70" s="198"/>
      <c r="ARC70" s="198"/>
      <c r="ARD70" s="198"/>
      <c r="ARE70" s="198"/>
      <c r="ARF70" s="198"/>
      <c r="ARG70" s="198"/>
      <c r="ARH70" s="198"/>
      <c r="ARI70" s="198"/>
      <c r="ARJ70" s="198"/>
      <c r="ARK70" s="198"/>
      <c r="ARL70" s="198"/>
      <c r="ARM70" s="198"/>
      <c r="ARN70" s="198"/>
      <c r="ARO70" s="198"/>
      <c r="ARP70" s="198"/>
      <c r="ARQ70" s="198"/>
      <c r="ARR70" s="198"/>
      <c r="ARS70" s="198"/>
      <c r="ART70" s="198"/>
      <c r="ARU70" s="198"/>
      <c r="ARV70" s="198"/>
      <c r="ARW70" s="198"/>
      <c r="ARX70" s="198"/>
      <c r="ARY70" s="198"/>
      <c r="ARZ70" s="198"/>
      <c r="ASA70" s="198"/>
      <c r="ASB70" s="198"/>
      <c r="ASC70" s="198"/>
      <c r="ASD70" s="198"/>
      <c r="ASE70" s="198"/>
      <c r="ASF70" s="198"/>
      <c r="ASG70" s="198"/>
      <c r="ASH70" s="198"/>
      <c r="ASI70" s="198"/>
      <c r="ASJ70" s="198"/>
      <c r="ASK70" s="198"/>
      <c r="ASL70" s="198"/>
      <c r="ASM70" s="198"/>
      <c r="ASN70" s="198"/>
      <c r="ASO70" s="198"/>
      <c r="ASP70" s="198"/>
      <c r="ASQ70" s="198"/>
      <c r="ASR70" s="198"/>
      <c r="ASS70" s="198"/>
      <c r="AST70" s="198"/>
      <c r="ASU70" s="198"/>
      <c r="ASV70" s="198"/>
      <c r="ASW70" s="198"/>
      <c r="ASX70" s="198"/>
      <c r="ASY70" s="198"/>
      <c r="ASZ70" s="198"/>
      <c r="ATA70" s="198"/>
      <c r="ATB70" s="198"/>
      <c r="ATC70" s="198"/>
      <c r="ATD70" s="198"/>
      <c r="ATE70" s="198"/>
      <c r="ATF70" s="198"/>
      <c r="ATG70" s="198"/>
      <c r="ATH70" s="198"/>
      <c r="ATI70" s="198"/>
      <c r="ATJ70" s="198"/>
      <c r="ATK70" s="198"/>
      <c r="ATL70" s="198"/>
      <c r="ATM70" s="198"/>
      <c r="ATN70" s="198"/>
      <c r="ATO70" s="198"/>
      <c r="ATP70" s="198"/>
      <c r="ATQ70" s="198"/>
      <c r="ATR70" s="198"/>
      <c r="ATS70" s="198"/>
      <c r="ATT70" s="198"/>
      <c r="ATU70" s="198"/>
      <c r="ATV70" s="198"/>
      <c r="ATW70" s="198"/>
      <c r="ATX70" s="198"/>
      <c r="ATY70" s="198"/>
      <c r="ATZ70" s="198"/>
      <c r="AUA70" s="198"/>
      <c r="AUB70" s="198"/>
      <c r="AUC70" s="198"/>
      <c r="AUD70" s="198"/>
      <c r="AUE70" s="198"/>
      <c r="AUF70" s="198"/>
      <c r="AUG70" s="198"/>
      <c r="AUH70" s="198"/>
      <c r="AUI70" s="198"/>
      <c r="AUJ70" s="198"/>
      <c r="AUK70" s="198"/>
      <c r="AUL70" s="198"/>
      <c r="AUM70" s="198"/>
      <c r="AUN70" s="198"/>
      <c r="AUO70" s="198"/>
      <c r="AUP70" s="198"/>
      <c r="AUQ70" s="198"/>
      <c r="AUR70" s="198"/>
      <c r="AUS70" s="198"/>
      <c r="AUT70" s="198"/>
      <c r="AUU70" s="198"/>
      <c r="AUV70" s="198"/>
      <c r="AUW70" s="198"/>
      <c r="AUX70" s="198"/>
      <c r="AUY70" s="198"/>
      <c r="AUZ70" s="198"/>
      <c r="AVA70" s="198"/>
      <c r="AVB70" s="198"/>
      <c r="AVC70" s="198"/>
      <c r="AVD70" s="198"/>
      <c r="AVE70" s="198"/>
      <c r="AVF70" s="198"/>
      <c r="AVG70" s="198"/>
      <c r="AVH70" s="198"/>
      <c r="AVI70" s="198"/>
      <c r="AVJ70" s="198"/>
      <c r="AVK70" s="198"/>
      <c r="AVL70" s="198"/>
      <c r="AVM70" s="198"/>
      <c r="AVN70" s="198"/>
      <c r="AVO70" s="198"/>
      <c r="AVP70" s="198"/>
      <c r="AVQ70" s="198"/>
      <c r="AVR70" s="198"/>
      <c r="AVS70" s="198"/>
      <c r="AVT70" s="198"/>
      <c r="AVU70" s="198"/>
      <c r="AVV70" s="198"/>
      <c r="AVW70" s="198"/>
      <c r="AVX70" s="198"/>
      <c r="AVY70" s="198"/>
      <c r="AVZ70" s="198"/>
      <c r="AWA70" s="198"/>
      <c r="AWB70" s="198"/>
      <c r="AWC70" s="198"/>
      <c r="AWD70" s="198"/>
      <c r="AWE70" s="198"/>
      <c r="AWF70" s="198"/>
      <c r="AWG70" s="198"/>
      <c r="AWH70" s="198"/>
      <c r="AWI70" s="198"/>
      <c r="AWJ70" s="198"/>
      <c r="AWK70" s="198"/>
      <c r="AWL70" s="198"/>
      <c r="AWM70" s="198"/>
      <c r="AWN70" s="198"/>
      <c r="AWO70" s="198"/>
      <c r="AWP70" s="198"/>
      <c r="AWQ70" s="198"/>
      <c r="AWR70" s="198"/>
      <c r="AWS70" s="198"/>
      <c r="AWT70" s="198"/>
      <c r="AWU70" s="198"/>
      <c r="AWV70" s="198"/>
      <c r="AWW70" s="198"/>
      <c r="AWX70" s="198"/>
      <c r="AWY70" s="198"/>
      <c r="AWZ70" s="198"/>
      <c r="AXA70" s="198"/>
      <c r="AXB70" s="198"/>
      <c r="AXC70" s="198"/>
      <c r="AXD70" s="198"/>
      <c r="AXE70" s="198"/>
      <c r="AXF70" s="198"/>
      <c r="AXG70" s="198"/>
      <c r="AXH70" s="198"/>
      <c r="AXI70" s="198"/>
      <c r="AXJ70" s="198"/>
      <c r="AXK70" s="198"/>
      <c r="AXL70" s="198"/>
      <c r="AXM70" s="198"/>
      <c r="AXN70" s="198"/>
      <c r="AXO70" s="198"/>
      <c r="AXP70" s="198"/>
      <c r="AXQ70" s="198"/>
      <c r="AXR70" s="198"/>
      <c r="AXS70" s="198"/>
      <c r="AXT70" s="198"/>
      <c r="AXU70" s="198"/>
      <c r="AXV70" s="198"/>
      <c r="AXW70" s="198"/>
      <c r="AXX70" s="198"/>
      <c r="AXY70" s="198"/>
      <c r="AXZ70" s="198"/>
      <c r="AYA70" s="198"/>
      <c r="AYB70" s="198"/>
      <c r="AYC70" s="198"/>
      <c r="AYD70" s="198"/>
      <c r="AYE70" s="198"/>
      <c r="AYF70" s="198"/>
      <c r="AYG70" s="198"/>
      <c r="AYH70" s="198"/>
      <c r="AYI70" s="198"/>
      <c r="AYJ70" s="198"/>
      <c r="AYK70" s="198"/>
      <c r="AYL70" s="198"/>
      <c r="AYM70" s="198"/>
      <c r="AYN70" s="198"/>
      <c r="AYO70" s="198"/>
      <c r="AYP70" s="198"/>
      <c r="AYQ70" s="198"/>
      <c r="AYR70" s="198"/>
      <c r="AYS70" s="198"/>
      <c r="AYT70" s="198"/>
      <c r="AYU70" s="198"/>
      <c r="AYV70" s="198"/>
      <c r="AYW70" s="198"/>
      <c r="AYX70" s="198"/>
      <c r="AYY70" s="198"/>
      <c r="AYZ70" s="198"/>
      <c r="AZA70" s="198"/>
      <c r="AZB70" s="198"/>
      <c r="AZC70" s="198"/>
      <c r="AZD70" s="198"/>
      <c r="AZE70" s="198"/>
      <c r="AZF70" s="198"/>
      <c r="AZG70" s="198"/>
      <c r="AZH70" s="198"/>
      <c r="AZI70" s="198"/>
      <c r="AZJ70" s="198"/>
      <c r="AZK70" s="198"/>
      <c r="AZL70" s="198"/>
      <c r="AZM70" s="198"/>
      <c r="AZN70" s="198"/>
      <c r="AZO70" s="198"/>
      <c r="AZP70" s="198"/>
      <c r="AZQ70" s="198"/>
      <c r="AZR70" s="198"/>
      <c r="AZS70" s="198"/>
      <c r="AZT70" s="198"/>
      <c r="AZU70" s="198"/>
      <c r="AZV70" s="198"/>
      <c r="AZW70" s="198"/>
      <c r="AZX70" s="198"/>
      <c r="AZY70" s="198"/>
      <c r="AZZ70" s="198"/>
      <c r="BAA70" s="198"/>
      <c r="BAB70" s="198"/>
      <c r="BAC70" s="198"/>
      <c r="BAD70" s="198"/>
      <c r="BAE70" s="198"/>
      <c r="BAF70" s="198"/>
      <c r="BAG70" s="198"/>
      <c r="BAH70" s="198"/>
      <c r="BAI70" s="198"/>
      <c r="BAJ70" s="198"/>
      <c r="BAK70" s="198"/>
      <c r="BAL70" s="198"/>
      <c r="BAM70" s="198"/>
      <c r="BAN70" s="198"/>
      <c r="BAO70" s="198"/>
      <c r="BAP70" s="198"/>
      <c r="BAQ70" s="198"/>
      <c r="BAR70" s="198"/>
      <c r="BAS70" s="198"/>
      <c r="BAT70" s="198"/>
      <c r="BAU70" s="198"/>
      <c r="BAV70" s="198"/>
      <c r="BAW70" s="198"/>
      <c r="BAX70" s="198"/>
      <c r="BAY70" s="198"/>
      <c r="BAZ70" s="198"/>
      <c r="BBA70" s="198"/>
      <c r="BBB70" s="198"/>
      <c r="BBC70" s="198"/>
      <c r="BBD70" s="198"/>
      <c r="BBE70" s="198"/>
      <c r="BBF70" s="198"/>
      <c r="BBG70" s="198"/>
      <c r="BBH70" s="198"/>
      <c r="BBI70" s="198"/>
      <c r="BBJ70" s="198"/>
      <c r="BBK70" s="198"/>
      <c r="BBL70" s="198"/>
      <c r="BBM70" s="198"/>
      <c r="BBN70" s="198"/>
      <c r="BBO70" s="198"/>
      <c r="BBP70" s="198"/>
      <c r="BBQ70" s="198"/>
      <c r="BBR70" s="198"/>
      <c r="BBS70" s="198"/>
      <c r="BBT70" s="198"/>
      <c r="BBU70" s="198"/>
      <c r="BBV70" s="198"/>
      <c r="BBW70" s="198"/>
      <c r="BBX70" s="198"/>
      <c r="BBY70" s="198"/>
      <c r="BBZ70" s="198"/>
      <c r="BCA70" s="198"/>
      <c r="BCB70" s="198"/>
      <c r="BCC70" s="198"/>
      <c r="BCD70" s="198"/>
      <c r="BCE70" s="198"/>
      <c r="BCF70" s="198"/>
      <c r="BCG70" s="198"/>
      <c r="BCH70" s="198"/>
      <c r="BCI70" s="198"/>
      <c r="BCJ70" s="198"/>
      <c r="BCK70" s="198"/>
      <c r="BCL70" s="198"/>
      <c r="BCM70" s="198"/>
      <c r="BCN70" s="198"/>
      <c r="BCO70" s="198"/>
      <c r="BCP70" s="198"/>
      <c r="BCQ70" s="198"/>
      <c r="BCR70" s="198"/>
      <c r="BCS70" s="198"/>
      <c r="BCT70" s="198"/>
      <c r="BCU70" s="198"/>
      <c r="BCV70" s="198"/>
      <c r="BCW70" s="198"/>
      <c r="BCX70" s="198"/>
      <c r="BCY70" s="198"/>
      <c r="BCZ70" s="198"/>
      <c r="BDA70" s="198"/>
      <c r="BDB70" s="198"/>
      <c r="BDC70" s="198"/>
      <c r="BDD70" s="198"/>
      <c r="BDE70" s="198"/>
      <c r="BDF70" s="198"/>
      <c r="BDG70" s="198"/>
      <c r="BDH70" s="198"/>
      <c r="BDI70" s="198"/>
      <c r="BDJ70" s="198"/>
      <c r="BDK70" s="198"/>
      <c r="BDL70" s="198"/>
      <c r="BDM70" s="198"/>
      <c r="BDN70" s="198"/>
      <c r="BDO70" s="198"/>
      <c r="BDP70" s="198"/>
      <c r="BDQ70" s="198"/>
      <c r="BDR70" s="198"/>
      <c r="BDS70" s="198"/>
      <c r="BDT70" s="198"/>
      <c r="BDU70" s="198"/>
      <c r="BDV70" s="198"/>
      <c r="BDW70" s="198"/>
      <c r="BDX70" s="198"/>
      <c r="BDY70" s="198"/>
      <c r="BDZ70" s="198"/>
      <c r="BEA70" s="198"/>
      <c r="BEB70" s="198"/>
      <c r="BEC70" s="198"/>
      <c r="BED70" s="198"/>
      <c r="BEE70" s="198"/>
      <c r="BEF70" s="198"/>
      <c r="BEG70" s="198"/>
      <c r="BEH70" s="198"/>
      <c r="BEI70" s="198"/>
      <c r="BEJ70" s="198"/>
      <c r="BEK70" s="198"/>
      <c r="BEL70" s="198"/>
      <c r="BEM70" s="198"/>
      <c r="BEN70" s="198"/>
      <c r="BEO70" s="198"/>
      <c r="BEP70" s="198"/>
      <c r="BEQ70" s="198"/>
      <c r="BER70" s="198"/>
      <c r="BES70" s="198"/>
      <c r="BET70" s="198"/>
      <c r="BEU70" s="198"/>
      <c r="BEV70" s="198"/>
      <c r="BEW70" s="198"/>
      <c r="BEX70" s="198"/>
      <c r="BEY70" s="198"/>
      <c r="BEZ70" s="198"/>
      <c r="BFA70" s="198"/>
      <c r="BFB70" s="198"/>
      <c r="BFC70" s="198"/>
      <c r="BFD70" s="198"/>
      <c r="BFE70" s="198"/>
      <c r="BFF70" s="198"/>
      <c r="BFG70" s="198"/>
      <c r="BFH70" s="198"/>
      <c r="BFI70" s="198"/>
      <c r="BFJ70" s="198"/>
      <c r="BFK70" s="198"/>
      <c r="BFL70" s="198"/>
      <c r="BFM70" s="198"/>
      <c r="BFN70" s="198"/>
      <c r="BFO70" s="198"/>
      <c r="BFP70" s="198"/>
      <c r="BFQ70" s="198"/>
      <c r="BFR70" s="198"/>
      <c r="BFS70" s="198"/>
      <c r="BFT70" s="198"/>
      <c r="BFU70" s="198"/>
      <c r="BFV70" s="198"/>
      <c r="BFW70" s="198"/>
      <c r="BFX70" s="198"/>
      <c r="BFY70" s="198"/>
      <c r="BFZ70" s="198"/>
      <c r="BGA70" s="198"/>
      <c r="BGB70" s="198"/>
      <c r="BGC70" s="198"/>
      <c r="BGD70" s="198"/>
      <c r="BGE70" s="198"/>
      <c r="BGF70" s="198"/>
      <c r="BGG70" s="198"/>
      <c r="BGH70" s="198"/>
      <c r="BGI70" s="198"/>
      <c r="BGJ70" s="198"/>
      <c r="BGK70" s="198"/>
      <c r="BGL70" s="198"/>
      <c r="BGM70" s="198"/>
      <c r="BGN70" s="198"/>
      <c r="BGO70" s="198"/>
      <c r="BGP70" s="198"/>
      <c r="BGQ70" s="198"/>
      <c r="BGR70" s="198"/>
      <c r="BGS70" s="198"/>
      <c r="BGT70" s="198"/>
      <c r="BGU70" s="198"/>
      <c r="BGV70" s="198"/>
      <c r="BGW70" s="198"/>
      <c r="BGX70" s="198"/>
      <c r="BGY70" s="198"/>
      <c r="BGZ70" s="198"/>
      <c r="BHA70" s="198"/>
      <c r="BHB70" s="198"/>
      <c r="BHC70" s="198"/>
      <c r="BHD70" s="198"/>
      <c r="BHE70" s="198"/>
      <c r="BHF70" s="198"/>
      <c r="BHG70" s="198"/>
      <c r="BHH70" s="198"/>
      <c r="BHI70" s="198"/>
      <c r="BHJ70" s="198"/>
      <c r="BHK70" s="198"/>
      <c r="BHL70" s="198"/>
      <c r="BHM70" s="198"/>
      <c r="BHN70" s="198"/>
      <c r="BHO70" s="198"/>
      <c r="BHP70" s="198"/>
      <c r="BHQ70" s="198"/>
      <c r="BHR70" s="198"/>
      <c r="BHS70" s="198"/>
      <c r="BHT70" s="198"/>
      <c r="BHU70" s="198"/>
      <c r="BHV70" s="198"/>
      <c r="BHW70" s="198"/>
      <c r="BHX70" s="198"/>
      <c r="BHY70" s="198"/>
      <c r="BHZ70" s="198"/>
      <c r="BIA70" s="198"/>
      <c r="BIB70" s="198"/>
      <c r="BIC70" s="198"/>
      <c r="BID70" s="198"/>
      <c r="BIE70" s="198"/>
      <c r="BIF70" s="198"/>
      <c r="BIG70" s="198"/>
      <c r="BIH70" s="198"/>
      <c r="BII70" s="198"/>
      <c r="BIJ70" s="198"/>
      <c r="BIK70" s="198"/>
      <c r="BIL70" s="198"/>
      <c r="BIM70" s="198"/>
      <c r="BIN70" s="198"/>
      <c r="BIO70" s="198"/>
      <c r="BIP70" s="198"/>
      <c r="BIQ70" s="198"/>
      <c r="BIR70" s="198"/>
      <c r="BIS70" s="198"/>
      <c r="BIT70" s="198"/>
      <c r="BIU70" s="198"/>
      <c r="BIV70" s="198"/>
      <c r="BIW70" s="198"/>
      <c r="BIX70" s="198"/>
      <c r="BIY70" s="198"/>
      <c r="BIZ70" s="198"/>
      <c r="BJA70" s="198"/>
      <c r="BJB70" s="198"/>
      <c r="BJC70" s="198"/>
      <c r="BJD70" s="198"/>
      <c r="BJE70" s="198"/>
      <c r="BJF70" s="198"/>
      <c r="BJG70" s="198"/>
      <c r="BJH70" s="198"/>
      <c r="BJI70" s="198"/>
      <c r="BJJ70" s="198"/>
      <c r="BJK70" s="198"/>
      <c r="BJL70" s="198"/>
      <c r="BJM70" s="198"/>
      <c r="BJN70" s="198"/>
      <c r="BJO70" s="198"/>
      <c r="BJP70" s="198"/>
      <c r="BJQ70" s="198"/>
      <c r="BJR70" s="198"/>
      <c r="BJS70" s="198"/>
      <c r="BJT70" s="198"/>
      <c r="BJU70" s="198"/>
      <c r="BJV70" s="198"/>
      <c r="BJW70" s="198"/>
      <c r="BJX70" s="198"/>
      <c r="BJY70" s="198"/>
      <c r="BJZ70" s="198"/>
      <c r="BKA70" s="198"/>
      <c r="BKB70" s="198"/>
      <c r="BKC70" s="198"/>
      <c r="BKD70" s="198"/>
      <c r="BKE70" s="198"/>
      <c r="BKF70" s="198"/>
      <c r="BKG70" s="198"/>
      <c r="BKH70" s="198"/>
      <c r="BKI70" s="198"/>
      <c r="BKJ70" s="198"/>
      <c r="BKK70" s="198"/>
      <c r="BKL70" s="198"/>
      <c r="BKM70" s="198"/>
      <c r="BKN70" s="198"/>
      <c r="BKO70" s="198"/>
      <c r="BKP70" s="198"/>
      <c r="BKQ70" s="198"/>
      <c r="BKR70" s="198"/>
      <c r="BKS70" s="198"/>
      <c r="BKT70" s="198"/>
      <c r="BKU70" s="198"/>
      <c r="BKV70" s="198"/>
      <c r="BKW70" s="198"/>
      <c r="BKX70" s="198"/>
      <c r="BKY70" s="198"/>
      <c r="BKZ70" s="198"/>
      <c r="BLA70" s="198"/>
      <c r="BLB70" s="198"/>
      <c r="BLC70" s="198"/>
      <c r="BLD70" s="198"/>
      <c r="BLE70" s="198"/>
      <c r="BLF70" s="198"/>
      <c r="BLG70" s="198"/>
      <c r="BLH70" s="198"/>
      <c r="BLI70" s="198"/>
      <c r="BLJ70" s="198"/>
      <c r="BLK70" s="198"/>
      <c r="BLL70" s="198"/>
      <c r="BLM70" s="198"/>
      <c r="BLN70" s="198"/>
      <c r="BLO70" s="198"/>
      <c r="BLP70" s="198"/>
      <c r="BLQ70" s="198"/>
      <c r="BLR70" s="198"/>
      <c r="BLS70" s="198"/>
      <c r="BLT70" s="198"/>
      <c r="BLU70" s="198"/>
      <c r="BLV70" s="198"/>
      <c r="BLW70" s="198"/>
      <c r="BLX70" s="198"/>
      <c r="BLY70" s="198"/>
      <c r="BLZ70" s="198"/>
      <c r="BMA70" s="198"/>
      <c r="BMB70" s="198"/>
      <c r="BMC70" s="198"/>
      <c r="BMD70" s="198"/>
      <c r="BME70" s="198"/>
      <c r="BMF70" s="198"/>
      <c r="BMG70" s="198"/>
      <c r="BMH70" s="198"/>
      <c r="BMI70" s="198"/>
      <c r="BMJ70" s="198"/>
      <c r="BMK70" s="198"/>
      <c r="BML70" s="198"/>
      <c r="BMM70" s="198"/>
      <c r="BMN70" s="198"/>
      <c r="BMO70" s="198"/>
      <c r="BMP70" s="198"/>
      <c r="BMQ70" s="198"/>
      <c r="BMR70" s="198"/>
      <c r="BMS70" s="198"/>
      <c r="BMT70" s="198"/>
      <c r="BMU70" s="198"/>
      <c r="BMV70" s="198"/>
      <c r="BMW70" s="198"/>
      <c r="BMX70" s="198"/>
      <c r="BMY70" s="198"/>
      <c r="BMZ70" s="198"/>
      <c r="BNA70" s="198"/>
      <c r="BNB70" s="198"/>
      <c r="BNC70" s="198"/>
      <c r="BND70" s="198"/>
      <c r="BNE70" s="198"/>
      <c r="BNF70" s="198"/>
      <c r="BNG70" s="198"/>
      <c r="BNH70" s="198"/>
      <c r="BNI70" s="198"/>
      <c r="BNJ70" s="198"/>
      <c r="BNK70" s="198"/>
      <c r="BNL70" s="198"/>
      <c r="BNM70" s="198"/>
      <c r="BNN70" s="198"/>
      <c r="BNO70" s="198"/>
      <c r="BNP70" s="198"/>
      <c r="BNQ70" s="198"/>
      <c r="BNR70" s="198"/>
      <c r="BNS70" s="198"/>
      <c r="BNT70" s="198"/>
      <c r="BNU70" s="198"/>
      <c r="BNV70" s="198"/>
      <c r="BNW70" s="198"/>
      <c r="BNX70" s="198"/>
      <c r="BNY70" s="198"/>
      <c r="BNZ70" s="198"/>
      <c r="BOA70" s="198"/>
      <c r="BOB70" s="198"/>
      <c r="BOC70" s="198"/>
      <c r="BOD70" s="198"/>
      <c r="BOE70" s="198"/>
      <c r="BOF70" s="198"/>
      <c r="BOG70" s="198"/>
      <c r="BOH70" s="198"/>
      <c r="BOI70" s="198"/>
      <c r="BOJ70" s="198"/>
      <c r="BOK70" s="198"/>
      <c r="BOL70" s="198"/>
      <c r="BOM70" s="198"/>
      <c r="BON70" s="198"/>
      <c r="BOO70" s="198"/>
      <c r="BOP70" s="198"/>
      <c r="BOQ70" s="198"/>
      <c r="BOR70" s="198"/>
      <c r="BOS70" s="198"/>
      <c r="BOT70" s="198"/>
      <c r="BOU70" s="198"/>
      <c r="BOV70" s="198"/>
      <c r="BOW70" s="198"/>
      <c r="BOX70" s="198"/>
      <c r="BOY70" s="198"/>
      <c r="BOZ70" s="198"/>
      <c r="BPA70" s="198"/>
      <c r="BPB70" s="198"/>
      <c r="BPC70" s="198"/>
      <c r="BPD70" s="198"/>
      <c r="BPE70" s="198"/>
      <c r="BPF70" s="198"/>
      <c r="BPG70" s="198"/>
      <c r="BPH70" s="198"/>
      <c r="BPI70" s="198"/>
      <c r="BPJ70" s="198"/>
      <c r="BPK70" s="198"/>
      <c r="BPL70" s="198"/>
      <c r="BPM70" s="198"/>
      <c r="BPN70" s="198"/>
      <c r="BPO70" s="198"/>
      <c r="BPP70" s="198"/>
      <c r="BPQ70" s="198"/>
      <c r="BPR70" s="198"/>
      <c r="BPS70" s="198"/>
      <c r="BPT70" s="198"/>
      <c r="BPU70" s="198"/>
      <c r="BPV70" s="198"/>
      <c r="BPW70" s="198"/>
      <c r="BPX70" s="198"/>
      <c r="BPY70" s="198"/>
      <c r="BPZ70" s="198"/>
      <c r="BQA70" s="198"/>
      <c r="BQB70" s="198"/>
      <c r="BQC70" s="198"/>
      <c r="BQD70" s="198"/>
      <c r="BQE70" s="198"/>
      <c r="BQF70" s="198"/>
      <c r="BQG70" s="198"/>
      <c r="BQH70" s="198"/>
      <c r="BQI70" s="198"/>
      <c r="BQJ70" s="198"/>
      <c r="BQK70" s="198"/>
      <c r="BQL70" s="198"/>
      <c r="BQM70" s="198"/>
      <c r="BQN70" s="198"/>
      <c r="BQO70" s="198"/>
      <c r="BQP70" s="198"/>
      <c r="BQQ70" s="198"/>
      <c r="BQR70" s="198"/>
      <c r="BQS70" s="198"/>
      <c r="BQT70" s="198"/>
      <c r="BQU70" s="198"/>
      <c r="BQV70" s="198"/>
      <c r="BQW70" s="198"/>
      <c r="BQX70" s="198"/>
      <c r="BQY70" s="198"/>
      <c r="BQZ70" s="198"/>
      <c r="BRA70" s="198"/>
      <c r="BRB70" s="198"/>
      <c r="BRC70" s="198"/>
      <c r="BRD70" s="198"/>
      <c r="BRE70" s="198"/>
      <c r="BRF70" s="198"/>
      <c r="BRG70" s="198"/>
      <c r="BRH70" s="198"/>
      <c r="BRI70" s="198"/>
      <c r="BRJ70" s="198"/>
      <c r="BRK70" s="198"/>
      <c r="BRL70" s="198"/>
      <c r="BRM70" s="198"/>
      <c r="BRN70" s="198"/>
      <c r="BRO70" s="198"/>
      <c r="BRP70" s="198"/>
      <c r="BRQ70" s="198"/>
      <c r="BRR70" s="198"/>
      <c r="BRS70" s="198"/>
      <c r="BRT70" s="198"/>
      <c r="BRU70" s="198"/>
      <c r="BRV70" s="198"/>
      <c r="BRW70" s="198"/>
      <c r="BRX70" s="198"/>
      <c r="BRY70" s="198"/>
      <c r="BRZ70" s="198"/>
      <c r="BSA70" s="198"/>
      <c r="BSB70" s="198"/>
      <c r="BSC70" s="198"/>
      <c r="BSD70" s="198"/>
      <c r="BSE70" s="198"/>
      <c r="BSF70" s="198"/>
      <c r="BSG70" s="198"/>
      <c r="BSH70" s="198"/>
      <c r="BSI70" s="198"/>
      <c r="BSJ70" s="198"/>
      <c r="BSK70" s="198"/>
      <c r="BSL70" s="198"/>
      <c r="BSM70" s="198"/>
      <c r="BSN70" s="198"/>
      <c r="BSO70" s="198"/>
      <c r="BSP70" s="198"/>
      <c r="BSQ70" s="198"/>
      <c r="BSR70" s="198"/>
      <c r="BSS70" s="198"/>
      <c r="BST70" s="198"/>
      <c r="BSU70" s="198"/>
      <c r="BSV70" s="198"/>
      <c r="BSW70" s="198"/>
      <c r="BSX70" s="198"/>
      <c r="BSY70" s="198"/>
      <c r="BSZ70" s="198"/>
      <c r="BTA70" s="198"/>
      <c r="BTB70" s="198"/>
      <c r="BTC70" s="198"/>
      <c r="BTD70" s="198"/>
      <c r="BTE70" s="198"/>
      <c r="BTF70" s="198"/>
      <c r="BTG70" s="198"/>
      <c r="BTH70" s="198"/>
      <c r="BTI70" s="198"/>
      <c r="BTJ70" s="198"/>
      <c r="BTK70" s="198"/>
      <c r="BTL70" s="198"/>
      <c r="BTM70" s="198"/>
      <c r="BTN70" s="198"/>
      <c r="BTO70" s="198"/>
      <c r="BTP70" s="198"/>
      <c r="BTQ70" s="198"/>
      <c r="BTR70" s="198"/>
      <c r="BTS70" s="198"/>
      <c r="BTT70" s="198"/>
      <c r="BTU70" s="198"/>
      <c r="BTV70" s="198"/>
      <c r="BTW70" s="198"/>
      <c r="BTX70" s="198"/>
      <c r="BTY70" s="198"/>
      <c r="BTZ70" s="198"/>
      <c r="BUA70" s="198"/>
      <c r="BUB70" s="198"/>
      <c r="BUC70" s="198"/>
      <c r="BUD70" s="198"/>
      <c r="BUE70" s="198"/>
      <c r="BUF70" s="198"/>
      <c r="BUG70" s="198"/>
      <c r="BUH70" s="198"/>
      <c r="BUI70" s="198"/>
      <c r="BUJ70" s="198"/>
      <c r="BUK70" s="198"/>
      <c r="BUL70" s="198"/>
      <c r="BUM70" s="198"/>
      <c r="BUN70" s="198"/>
      <c r="BUO70" s="198"/>
      <c r="BUP70" s="198"/>
      <c r="BUQ70" s="198"/>
      <c r="BUR70" s="198"/>
      <c r="BUS70" s="198"/>
      <c r="BUT70" s="198"/>
      <c r="BUU70" s="198"/>
      <c r="BUV70" s="198"/>
      <c r="BUW70" s="198"/>
      <c r="BUX70" s="198"/>
      <c r="BUY70" s="198"/>
      <c r="BUZ70" s="198"/>
      <c r="BVA70" s="198"/>
      <c r="BVB70" s="198"/>
      <c r="BVC70" s="198"/>
      <c r="BVD70" s="198"/>
      <c r="BVE70" s="198"/>
      <c r="BVF70" s="198"/>
      <c r="BVG70" s="198"/>
      <c r="BVH70" s="198"/>
      <c r="BVI70" s="198"/>
      <c r="BVJ70" s="198"/>
      <c r="BVK70" s="198"/>
      <c r="BVL70" s="198"/>
      <c r="BVM70" s="198"/>
      <c r="BVN70" s="198"/>
      <c r="BVO70" s="198"/>
      <c r="BVP70" s="198"/>
      <c r="BVQ70" s="198"/>
      <c r="BVR70" s="198"/>
      <c r="BVS70" s="198"/>
      <c r="BVT70" s="198"/>
      <c r="BVU70" s="198"/>
      <c r="BVV70" s="198"/>
      <c r="BVW70" s="198"/>
      <c r="BVX70" s="198"/>
      <c r="BVY70" s="198"/>
      <c r="BVZ70" s="198"/>
      <c r="BWA70" s="198"/>
      <c r="BWB70" s="198"/>
      <c r="BWC70" s="198"/>
      <c r="BWD70" s="198"/>
      <c r="BWE70" s="198"/>
      <c r="BWF70" s="198"/>
      <c r="BWG70" s="198"/>
      <c r="BWH70" s="198"/>
      <c r="BWI70" s="198"/>
      <c r="BWJ70" s="198"/>
      <c r="BWK70" s="198"/>
      <c r="BWL70" s="198"/>
      <c r="BWM70" s="198"/>
      <c r="BWN70" s="198"/>
      <c r="BWO70" s="198"/>
      <c r="BWP70" s="198"/>
      <c r="BWQ70" s="198"/>
      <c r="BWR70" s="198"/>
      <c r="BWS70" s="198"/>
      <c r="BWT70" s="198"/>
      <c r="BWU70" s="198"/>
      <c r="BWV70" s="198"/>
      <c r="BWW70" s="198"/>
      <c r="BWX70" s="198"/>
      <c r="BWY70" s="198"/>
      <c r="BWZ70" s="198"/>
      <c r="BXA70" s="198"/>
      <c r="BXB70" s="198"/>
      <c r="BXC70" s="198"/>
      <c r="BXD70" s="198"/>
      <c r="BXE70" s="198"/>
      <c r="BXF70" s="198"/>
      <c r="BXG70" s="198"/>
      <c r="BXH70" s="198"/>
      <c r="BXI70" s="198"/>
      <c r="BXJ70" s="198"/>
      <c r="BXK70" s="198"/>
      <c r="BXL70" s="198"/>
      <c r="BXM70" s="198"/>
      <c r="BXN70" s="198"/>
      <c r="BXO70" s="198"/>
      <c r="BXP70" s="198"/>
      <c r="BXQ70" s="198"/>
      <c r="BXR70" s="198"/>
      <c r="BXS70" s="198"/>
      <c r="BXT70" s="198"/>
      <c r="BXU70" s="198"/>
      <c r="BXV70" s="198"/>
      <c r="BXW70" s="198"/>
      <c r="BXX70" s="198"/>
      <c r="BXY70" s="198"/>
      <c r="BXZ70" s="198"/>
      <c r="BYA70" s="198"/>
      <c r="BYB70" s="198"/>
      <c r="BYC70" s="198"/>
      <c r="BYD70" s="198"/>
      <c r="BYE70" s="198"/>
      <c r="BYF70" s="198"/>
      <c r="BYG70" s="198"/>
    </row>
    <row r="71" spans="1:2009" s="198" customFormat="1" ht="9" customHeight="1" x14ac:dyDescent="0.25">
      <c r="A71" s="701"/>
      <c r="B71" s="702"/>
      <c r="C71" s="703"/>
      <c r="D71" s="703"/>
      <c r="E71" s="703"/>
      <c r="F71" s="703"/>
      <c r="G71" s="704"/>
      <c r="H71" s="197"/>
      <c r="I71" s="559"/>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row>
    <row r="72" spans="1:2009" s="96" customFormat="1" ht="22.5" customHeight="1" x14ac:dyDescent="0.25">
      <c r="A72" s="122"/>
      <c r="B72" s="699" t="s">
        <v>375</v>
      </c>
      <c r="C72" s="700">
        <f>C70/G$70</f>
        <v>0.33613175653169747</v>
      </c>
      <c r="D72" s="700">
        <f>D70/$G70</f>
        <v>0.49942770863149866</v>
      </c>
      <c r="E72" s="700">
        <f t="shared" ref="E72:G72" si="4">E70/$G70</f>
        <v>0.15606224497478915</v>
      </c>
      <c r="F72" s="700">
        <f t="shared" si="4"/>
        <v>8.3782898620148819E-3</v>
      </c>
      <c r="G72" s="700">
        <f t="shared" si="4"/>
        <v>1</v>
      </c>
      <c r="H72" s="94"/>
      <c r="I72" s="559"/>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c r="AMH72" s="95"/>
      <c r="AMI72" s="95"/>
      <c r="AMJ72" s="95"/>
      <c r="AMK72" s="95"/>
      <c r="AML72" s="95"/>
      <c r="AMM72" s="95"/>
      <c r="AMN72" s="95"/>
      <c r="AMO72" s="95"/>
      <c r="AMP72" s="95"/>
      <c r="AMQ72" s="95"/>
      <c r="AMR72" s="95"/>
      <c r="AMS72" s="95"/>
      <c r="AMT72" s="95"/>
      <c r="AMU72" s="95"/>
      <c r="AMV72" s="95"/>
      <c r="AMW72" s="95"/>
      <c r="AMX72" s="95"/>
      <c r="AMY72" s="95"/>
      <c r="AMZ72" s="95"/>
      <c r="ANA72" s="95"/>
      <c r="ANB72" s="95"/>
      <c r="ANC72" s="95"/>
      <c r="AND72" s="95"/>
      <c r="ANE72" s="95"/>
      <c r="ANF72" s="95"/>
      <c r="ANG72" s="95"/>
      <c r="ANH72" s="95"/>
      <c r="ANI72" s="95"/>
      <c r="ANJ72" s="95"/>
      <c r="ANK72" s="95"/>
      <c r="ANL72" s="95"/>
      <c r="ANM72" s="95"/>
      <c r="ANN72" s="95"/>
      <c r="ANO72" s="95"/>
      <c r="ANP72" s="95"/>
      <c r="ANQ72" s="95"/>
      <c r="ANR72" s="95"/>
      <c r="ANS72" s="95"/>
      <c r="ANT72" s="95"/>
      <c r="ANU72" s="95"/>
      <c r="ANV72" s="95"/>
      <c r="ANW72" s="95"/>
      <c r="ANX72" s="95"/>
      <c r="ANY72" s="95"/>
      <c r="ANZ72" s="95"/>
      <c r="AOA72" s="95"/>
      <c r="AOB72" s="95"/>
      <c r="AOC72" s="95"/>
      <c r="AOD72" s="95"/>
      <c r="AOE72" s="95"/>
      <c r="AOF72" s="95"/>
      <c r="AOG72" s="95"/>
      <c r="AOH72" s="95"/>
      <c r="AOI72" s="95"/>
      <c r="AOJ72" s="95"/>
      <c r="AOK72" s="95"/>
      <c r="AOL72" s="95"/>
      <c r="AOM72" s="95"/>
      <c r="AON72" s="95"/>
      <c r="AOO72" s="95"/>
      <c r="AOP72" s="95"/>
      <c r="AOQ72" s="95"/>
      <c r="AOR72" s="95"/>
      <c r="AOS72" s="95"/>
      <c r="AOT72" s="95"/>
      <c r="AOU72" s="95"/>
      <c r="AOV72" s="95"/>
      <c r="AOW72" s="95"/>
      <c r="AOX72" s="95"/>
      <c r="AOY72" s="95"/>
      <c r="AOZ72" s="95"/>
      <c r="APA72" s="95"/>
      <c r="APB72" s="95"/>
      <c r="APC72" s="95"/>
      <c r="APD72" s="95"/>
      <c r="APE72" s="95"/>
      <c r="APF72" s="95"/>
      <c r="APG72" s="95"/>
      <c r="APH72" s="95"/>
      <c r="API72" s="95"/>
      <c r="APJ72" s="95"/>
      <c r="APK72" s="95"/>
      <c r="APL72" s="95"/>
      <c r="APM72" s="95"/>
      <c r="APN72" s="95"/>
      <c r="APO72" s="95"/>
      <c r="APP72" s="95"/>
      <c r="APQ72" s="95"/>
      <c r="APR72" s="95"/>
      <c r="APS72" s="95"/>
      <c r="APT72" s="95"/>
      <c r="APU72" s="95"/>
      <c r="APV72" s="95"/>
      <c r="APW72" s="95"/>
      <c r="APX72" s="95"/>
      <c r="APY72" s="95"/>
      <c r="APZ72" s="95"/>
      <c r="AQA72" s="95"/>
      <c r="AQB72" s="95"/>
      <c r="AQC72" s="95"/>
      <c r="AQD72" s="95"/>
      <c r="AQE72" s="95"/>
      <c r="AQF72" s="95"/>
      <c r="AQG72" s="95"/>
      <c r="AQH72" s="95"/>
      <c r="AQI72" s="95"/>
      <c r="AQJ72" s="95"/>
      <c r="AQK72" s="95"/>
      <c r="AQL72" s="95"/>
      <c r="AQM72" s="95"/>
      <c r="AQN72" s="95"/>
      <c r="AQO72" s="95"/>
      <c r="AQP72" s="95"/>
      <c r="AQQ72" s="95"/>
      <c r="AQR72" s="95"/>
      <c r="AQS72" s="95"/>
      <c r="AQT72" s="95"/>
      <c r="AQU72" s="95"/>
      <c r="AQV72" s="95"/>
      <c r="AQW72" s="95"/>
      <c r="AQX72" s="95"/>
      <c r="AQY72" s="95"/>
      <c r="AQZ72" s="95"/>
      <c r="ARA72" s="95"/>
      <c r="ARB72" s="95"/>
      <c r="ARC72" s="95"/>
      <c r="ARD72" s="95"/>
      <c r="ARE72" s="95"/>
      <c r="ARF72" s="95"/>
      <c r="ARG72" s="95"/>
      <c r="ARH72" s="95"/>
      <c r="ARI72" s="95"/>
      <c r="ARJ72" s="95"/>
      <c r="ARK72" s="95"/>
      <c r="ARL72" s="95"/>
      <c r="ARM72" s="95"/>
      <c r="ARN72" s="95"/>
      <c r="ARO72" s="95"/>
      <c r="ARP72" s="95"/>
      <c r="ARQ72" s="95"/>
      <c r="ARR72" s="95"/>
      <c r="ARS72" s="95"/>
      <c r="ART72" s="95"/>
      <c r="ARU72" s="95"/>
      <c r="ARV72" s="95"/>
      <c r="ARW72" s="95"/>
      <c r="ARX72" s="95"/>
      <c r="ARY72" s="95"/>
      <c r="ARZ72" s="95"/>
      <c r="ASA72" s="95"/>
      <c r="ASB72" s="95"/>
      <c r="ASC72" s="95"/>
      <c r="ASD72" s="95"/>
      <c r="ASE72" s="95"/>
      <c r="ASF72" s="95"/>
      <c r="ASG72" s="95"/>
      <c r="ASH72" s="95"/>
      <c r="ASI72" s="95"/>
      <c r="ASJ72" s="95"/>
      <c r="ASK72" s="95"/>
      <c r="ASL72" s="95"/>
      <c r="ASM72" s="95"/>
      <c r="ASN72" s="95"/>
      <c r="ASO72" s="95"/>
      <c r="ASP72" s="95"/>
      <c r="ASQ72" s="95"/>
      <c r="ASR72" s="95"/>
      <c r="ASS72" s="95"/>
      <c r="AST72" s="95"/>
      <c r="ASU72" s="95"/>
      <c r="ASV72" s="95"/>
      <c r="ASW72" s="95"/>
      <c r="ASX72" s="95"/>
      <c r="ASY72" s="95"/>
      <c r="ASZ72" s="95"/>
      <c r="ATA72" s="95"/>
      <c r="ATB72" s="95"/>
      <c r="ATC72" s="95"/>
      <c r="ATD72" s="95"/>
      <c r="ATE72" s="95"/>
      <c r="ATF72" s="95"/>
      <c r="ATG72" s="95"/>
      <c r="ATH72" s="95"/>
      <c r="ATI72" s="95"/>
      <c r="ATJ72" s="95"/>
      <c r="ATK72" s="95"/>
      <c r="ATL72" s="95"/>
      <c r="ATM72" s="95"/>
      <c r="ATN72" s="95"/>
      <c r="ATO72" s="95"/>
      <c r="ATP72" s="95"/>
      <c r="ATQ72" s="95"/>
      <c r="ATR72" s="95"/>
      <c r="ATS72" s="95"/>
      <c r="ATT72" s="95"/>
      <c r="ATU72" s="95"/>
      <c r="ATV72" s="95"/>
      <c r="ATW72" s="95"/>
      <c r="ATX72" s="95"/>
      <c r="ATY72" s="95"/>
      <c r="ATZ72" s="95"/>
      <c r="AUA72" s="95"/>
      <c r="AUB72" s="95"/>
      <c r="AUC72" s="95"/>
      <c r="AUD72" s="95"/>
      <c r="AUE72" s="95"/>
      <c r="AUF72" s="95"/>
      <c r="AUG72" s="95"/>
      <c r="AUH72" s="95"/>
      <c r="AUI72" s="95"/>
      <c r="AUJ72" s="95"/>
      <c r="AUK72" s="95"/>
      <c r="AUL72" s="95"/>
      <c r="AUM72" s="95"/>
      <c r="AUN72" s="95"/>
      <c r="AUO72" s="95"/>
      <c r="AUP72" s="95"/>
      <c r="AUQ72" s="95"/>
      <c r="AUR72" s="95"/>
      <c r="AUS72" s="95"/>
      <c r="AUT72" s="95"/>
      <c r="AUU72" s="95"/>
      <c r="AUV72" s="95"/>
      <c r="AUW72" s="95"/>
      <c r="AUX72" s="95"/>
      <c r="AUY72" s="95"/>
      <c r="AUZ72" s="95"/>
      <c r="AVA72" s="95"/>
      <c r="AVB72" s="95"/>
      <c r="AVC72" s="95"/>
      <c r="AVD72" s="95"/>
      <c r="AVE72" s="95"/>
      <c r="AVF72" s="95"/>
      <c r="AVG72" s="95"/>
      <c r="AVH72" s="95"/>
      <c r="AVI72" s="95"/>
      <c r="AVJ72" s="95"/>
      <c r="AVK72" s="95"/>
      <c r="AVL72" s="95"/>
      <c r="AVM72" s="95"/>
      <c r="AVN72" s="95"/>
      <c r="AVO72" s="95"/>
      <c r="AVP72" s="95"/>
      <c r="AVQ72" s="95"/>
      <c r="AVR72" s="95"/>
      <c r="AVS72" s="95"/>
      <c r="AVT72" s="95"/>
      <c r="AVU72" s="95"/>
      <c r="AVV72" s="95"/>
      <c r="AVW72" s="95"/>
      <c r="AVX72" s="95"/>
      <c r="AVY72" s="95"/>
      <c r="AVZ72" s="95"/>
      <c r="AWA72" s="95"/>
      <c r="AWB72" s="95"/>
      <c r="AWC72" s="95"/>
      <c r="AWD72" s="95"/>
      <c r="AWE72" s="95"/>
      <c r="AWF72" s="95"/>
      <c r="AWG72" s="95"/>
      <c r="AWH72" s="95"/>
      <c r="AWI72" s="95"/>
      <c r="AWJ72" s="95"/>
      <c r="AWK72" s="95"/>
      <c r="AWL72" s="95"/>
      <c r="AWM72" s="95"/>
      <c r="AWN72" s="95"/>
      <c r="AWO72" s="95"/>
      <c r="AWP72" s="95"/>
      <c r="AWQ72" s="95"/>
      <c r="AWR72" s="95"/>
      <c r="AWS72" s="95"/>
      <c r="AWT72" s="95"/>
      <c r="AWU72" s="95"/>
      <c r="AWV72" s="95"/>
      <c r="AWW72" s="95"/>
      <c r="AWX72" s="95"/>
      <c r="AWY72" s="95"/>
      <c r="AWZ72" s="95"/>
      <c r="AXA72" s="95"/>
      <c r="AXB72" s="95"/>
      <c r="AXC72" s="95"/>
      <c r="AXD72" s="95"/>
      <c r="AXE72" s="95"/>
      <c r="AXF72" s="95"/>
      <c r="AXG72" s="95"/>
      <c r="AXH72" s="95"/>
      <c r="AXI72" s="95"/>
      <c r="AXJ72" s="95"/>
      <c r="AXK72" s="95"/>
      <c r="AXL72" s="95"/>
      <c r="AXM72" s="95"/>
      <c r="AXN72" s="95"/>
      <c r="AXO72" s="95"/>
      <c r="AXP72" s="95"/>
      <c r="AXQ72" s="95"/>
      <c r="AXR72" s="95"/>
      <c r="AXS72" s="95"/>
      <c r="AXT72" s="95"/>
      <c r="AXU72" s="95"/>
      <c r="AXV72" s="95"/>
      <c r="AXW72" s="95"/>
      <c r="AXX72" s="95"/>
      <c r="AXY72" s="95"/>
      <c r="AXZ72" s="95"/>
      <c r="AYA72" s="95"/>
      <c r="AYB72" s="95"/>
      <c r="AYC72" s="95"/>
      <c r="AYD72" s="95"/>
      <c r="AYE72" s="95"/>
      <c r="AYF72" s="95"/>
      <c r="AYG72" s="95"/>
      <c r="AYH72" s="95"/>
      <c r="AYI72" s="95"/>
      <c r="AYJ72" s="95"/>
      <c r="AYK72" s="95"/>
      <c r="AYL72" s="95"/>
      <c r="AYM72" s="95"/>
      <c r="AYN72" s="95"/>
      <c r="AYO72" s="95"/>
      <c r="AYP72" s="95"/>
      <c r="AYQ72" s="95"/>
      <c r="AYR72" s="95"/>
      <c r="AYS72" s="95"/>
      <c r="AYT72" s="95"/>
      <c r="AYU72" s="95"/>
      <c r="AYV72" s="95"/>
      <c r="AYW72" s="95"/>
      <c r="AYX72" s="95"/>
      <c r="AYY72" s="95"/>
      <c r="AYZ72" s="95"/>
      <c r="AZA72" s="95"/>
      <c r="AZB72" s="95"/>
      <c r="AZC72" s="95"/>
      <c r="AZD72" s="95"/>
      <c r="AZE72" s="95"/>
      <c r="AZF72" s="95"/>
      <c r="AZG72" s="95"/>
      <c r="AZH72" s="95"/>
      <c r="AZI72" s="95"/>
      <c r="AZJ72" s="95"/>
      <c r="AZK72" s="95"/>
      <c r="AZL72" s="95"/>
      <c r="AZM72" s="95"/>
      <c r="AZN72" s="95"/>
      <c r="AZO72" s="95"/>
      <c r="AZP72" s="95"/>
      <c r="AZQ72" s="95"/>
      <c r="AZR72" s="95"/>
      <c r="AZS72" s="95"/>
      <c r="AZT72" s="95"/>
      <c r="AZU72" s="95"/>
      <c r="AZV72" s="95"/>
      <c r="AZW72" s="95"/>
      <c r="AZX72" s="95"/>
      <c r="AZY72" s="95"/>
      <c r="AZZ72" s="95"/>
      <c r="BAA72" s="95"/>
      <c r="BAB72" s="95"/>
      <c r="BAC72" s="95"/>
      <c r="BAD72" s="95"/>
      <c r="BAE72" s="95"/>
      <c r="BAF72" s="95"/>
      <c r="BAG72" s="95"/>
      <c r="BAH72" s="95"/>
      <c r="BAI72" s="95"/>
      <c r="BAJ72" s="95"/>
      <c r="BAK72" s="95"/>
      <c r="BAL72" s="95"/>
      <c r="BAM72" s="95"/>
      <c r="BAN72" s="95"/>
      <c r="BAO72" s="95"/>
      <c r="BAP72" s="95"/>
      <c r="BAQ72" s="95"/>
      <c r="BAR72" s="95"/>
      <c r="BAS72" s="95"/>
      <c r="BAT72" s="95"/>
      <c r="BAU72" s="95"/>
      <c r="BAV72" s="95"/>
      <c r="BAW72" s="95"/>
      <c r="BAX72" s="95"/>
      <c r="BAY72" s="95"/>
      <c r="BAZ72" s="95"/>
      <c r="BBA72" s="95"/>
      <c r="BBB72" s="95"/>
      <c r="BBC72" s="95"/>
      <c r="BBD72" s="95"/>
      <c r="BBE72" s="95"/>
      <c r="BBF72" s="95"/>
      <c r="BBG72" s="95"/>
      <c r="BBH72" s="95"/>
      <c r="BBI72" s="95"/>
      <c r="BBJ72" s="95"/>
      <c r="BBK72" s="95"/>
      <c r="BBL72" s="95"/>
      <c r="BBM72" s="95"/>
      <c r="BBN72" s="95"/>
      <c r="BBO72" s="95"/>
      <c r="BBP72" s="95"/>
      <c r="BBQ72" s="95"/>
      <c r="BBR72" s="95"/>
      <c r="BBS72" s="95"/>
      <c r="BBT72" s="95"/>
      <c r="BBU72" s="95"/>
      <c r="BBV72" s="95"/>
      <c r="BBW72" s="95"/>
      <c r="BBX72" s="95"/>
      <c r="BBY72" s="95"/>
      <c r="BBZ72" s="95"/>
      <c r="BCA72" s="95"/>
      <c r="BCB72" s="95"/>
      <c r="BCC72" s="95"/>
      <c r="BCD72" s="95"/>
      <c r="BCE72" s="95"/>
      <c r="BCF72" s="95"/>
      <c r="BCG72" s="95"/>
      <c r="BCH72" s="95"/>
      <c r="BCI72" s="95"/>
      <c r="BCJ72" s="95"/>
      <c r="BCK72" s="95"/>
      <c r="BCL72" s="95"/>
      <c r="BCM72" s="95"/>
      <c r="BCN72" s="95"/>
      <c r="BCO72" s="95"/>
      <c r="BCP72" s="95"/>
      <c r="BCQ72" s="95"/>
      <c r="BCR72" s="95"/>
      <c r="BCS72" s="95"/>
      <c r="BCT72" s="95"/>
      <c r="BCU72" s="95"/>
      <c r="BCV72" s="95"/>
      <c r="BCW72" s="95"/>
      <c r="BCX72" s="95"/>
      <c r="BCY72" s="95"/>
      <c r="BCZ72" s="95"/>
      <c r="BDA72" s="95"/>
      <c r="BDB72" s="95"/>
      <c r="BDC72" s="95"/>
      <c r="BDD72" s="95"/>
      <c r="BDE72" s="95"/>
      <c r="BDF72" s="95"/>
      <c r="BDG72" s="95"/>
      <c r="BDH72" s="95"/>
      <c r="BDI72" s="95"/>
      <c r="BDJ72" s="95"/>
      <c r="BDK72" s="95"/>
      <c r="BDL72" s="95"/>
      <c r="BDM72" s="95"/>
      <c r="BDN72" s="95"/>
      <c r="BDO72" s="95"/>
      <c r="BDP72" s="95"/>
      <c r="BDQ72" s="95"/>
      <c r="BDR72" s="95"/>
      <c r="BDS72" s="95"/>
      <c r="BDT72" s="95"/>
      <c r="BDU72" s="95"/>
      <c r="BDV72" s="95"/>
      <c r="BDW72" s="95"/>
      <c r="BDX72" s="95"/>
      <c r="BDY72" s="95"/>
      <c r="BDZ72" s="95"/>
      <c r="BEA72" s="95"/>
      <c r="BEB72" s="95"/>
      <c r="BEC72" s="95"/>
      <c r="BED72" s="95"/>
      <c r="BEE72" s="95"/>
      <c r="BEF72" s="95"/>
      <c r="BEG72" s="95"/>
      <c r="BEH72" s="95"/>
      <c r="BEI72" s="95"/>
      <c r="BEJ72" s="95"/>
      <c r="BEK72" s="95"/>
      <c r="BEL72" s="95"/>
      <c r="BEM72" s="95"/>
      <c r="BEN72" s="95"/>
      <c r="BEO72" s="95"/>
      <c r="BEP72" s="95"/>
      <c r="BEQ72" s="95"/>
      <c r="BER72" s="95"/>
      <c r="BES72" s="95"/>
      <c r="BET72" s="95"/>
      <c r="BEU72" s="95"/>
      <c r="BEV72" s="95"/>
      <c r="BEW72" s="95"/>
      <c r="BEX72" s="95"/>
      <c r="BEY72" s="95"/>
      <c r="BEZ72" s="95"/>
      <c r="BFA72" s="95"/>
      <c r="BFB72" s="95"/>
      <c r="BFC72" s="95"/>
      <c r="BFD72" s="95"/>
      <c r="BFE72" s="95"/>
      <c r="BFF72" s="95"/>
      <c r="BFG72" s="95"/>
      <c r="BFH72" s="95"/>
      <c r="BFI72" s="95"/>
      <c r="BFJ72" s="95"/>
      <c r="BFK72" s="95"/>
      <c r="BFL72" s="95"/>
      <c r="BFM72" s="95"/>
      <c r="BFN72" s="95"/>
      <c r="BFO72" s="95"/>
      <c r="BFP72" s="95"/>
      <c r="BFQ72" s="95"/>
      <c r="BFR72" s="95"/>
      <c r="BFS72" s="95"/>
      <c r="BFT72" s="95"/>
      <c r="BFU72" s="95"/>
      <c r="BFV72" s="95"/>
      <c r="BFW72" s="95"/>
      <c r="BFX72" s="95"/>
      <c r="BFY72" s="95"/>
      <c r="BFZ72" s="95"/>
      <c r="BGA72" s="95"/>
      <c r="BGB72" s="95"/>
      <c r="BGC72" s="95"/>
      <c r="BGD72" s="95"/>
      <c r="BGE72" s="95"/>
      <c r="BGF72" s="95"/>
      <c r="BGG72" s="95"/>
      <c r="BGH72" s="95"/>
      <c r="BGI72" s="95"/>
      <c r="BGJ72" s="95"/>
      <c r="BGK72" s="95"/>
      <c r="BGL72" s="95"/>
      <c r="BGM72" s="95"/>
      <c r="BGN72" s="95"/>
      <c r="BGO72" s="95"/>
      <c r="BGP72" s="95"/>
      <c r="BGQ72" s="95"/>
      <c r="BGR72" s="95"/>
      <c r="BGS72" s="95"/>
      <c r="BGT72" s="95"/>
      <c r="BGU72" s="95"/>
      <c r="BGV72" s="95"/>
      <c r="BGW72" s="95"/>
      <c r="BGX72" s="95"/>
      <c r="BGY72" s="95"/>
      <c r="BGZ72" s="95"/>
      <c r="BHA72" s="95"/>
      <c r="BHB72" s="95"/>
      <c r="BHC72" s="95"/>
      <c r="BHD72" s="95"/>
      <c r="BHE72" s="95"/>
      <c r="BHF72" s="95"/>
      <c r="BHG72" s="95"/>
      <c r="BHH72" s="95"/>
      <c r="BHI72" s="95"/>
      <c r="BHJ72" s="95"/>
      <c r="BHK72" s="95"/>
      <c r="BHL72" s="95"/>
      <c r="BHM72" s="95"/>
      <c r="BHN72" s="95"/>
      <c r="BHO72" s="95"/>
      <c r="BHP72" s="95"/>
      <c r="BHQ72" s="95"/>
      <c r="BHR72" s="95"/>
      <c r="BHS72" s="95"/>
      <c r="BHT72" s="95"/>
      <c r="BHU72" s="95"/>
      <c r="BHV72" s="95"/>
      <c r="BHW72" s="95"/>
      <c r="BHX72" s="95"/>
      <c r="BHY72" s="95"/>
      <c r="BHZ72" s="95"/>
      <c r="BIA72" s="95"/>
      <c r="BIB72" s="95"/>
      <c r="BIC72" s="95"/>
      <c r="BID72" s="95"/>
      <c r="BIE72" s="95"/>
      <c r="BIF72" s="95"/>
      <c r="BIG72" s="95"/>
      <c r="BIH72" s="95"/>
      <c r="BII72" s="95"/>
      <c r="BIJ72" s="95"/>
      <c r="BIK72" s="95"/>
      <c r="BIL72" s="95"/>
      <c r="BIM72" s="95"/>
      <c r="BIN72" s="95"/>
      <c r="BIO72" s="95"/>
      <c r="BIP72" s="95"/>
      <c r="BIQ72" s="95"/>
      <c r="BIR72" s="95"/>
      <c r="BIS72" s="95"/>
      <c r="BIT72" s="95"/>
      <c r="BIU72" s="95"/>
      <c r="BIV72" s="95"/>
      <c r="BIW72" s="95"/>
      <c r="BIX72" s="95"/>
      <c r="BIY72" s="95"/>
      <c r="BIZ72" s="95"/>
      <c r="BJA72" s="95"/>
      <c r="BJB72" s="95"/>
      <c r="BJC72" s="95"/>
      <c r="BJD72" s="95"/>
      <c r="BJE72" s="95"/>
      <c r="BJF72" s="95"/>
      <c r="BJG72" s="95"/>
      <c r="BJH72" s="95"/>
      <c r="BJI72" s="95"/>
      <c r="BJJ72" s="95"/>
      <c r="BJK72" s="95"/>
      <c r="BJL72" s="95"/>
      <c r="BJM72" s="95"/>
      <c r="BJN72" s="95"/>
      <c r="BJO72" s="95"/>
      <c r="BJP72" s="95"/>
      <c r="BJQ72" s="95"/>
      <c r="BJR72" s="95"/>
      <c r="BJS72" s="95"/>
      <c r="BJT72" s="95"/>
      <c r="BJU72" s="95"/>
      <c r="BJV72" s="95"/>
      <c r="BJW72" s="95"/>
      <c r="BJX72" s="95"/>
      <c r="BJY72" s="95"/>
      <c r="BJZ72" s="95"/>
      <c r="BKA72" s="95"/>
      <c r="BKB72" s="95"/>
      <c r="BKC72" s="95"/>
      <c r="BKD72" s="95"/>
      <c r="BKE72" s="95"/>
      <c r="BKF72" s="95"/>
      <c r="BKG72" s="95"/>
      <c r="BKH72" s="95"/>
      <c r="BKI72" s="95"/>
      <c r="BKJ72" s="95"/>
      <c r="BKK72" s="95"/>
      <c r="BKL72" s="95"/>
      <c r="BKM72" s="95"/>
      <c r="BKN72" s="95"/>
      <c r="BKO72" s="95"/>
      <c r="BKP72" s="95"/>
      <c r="BKQ72" s="95"/>
      <c r="BKR72" s="95"/>
      <c r="BKS72" s="95"/>
      <c r="BKT72" s="95"/>
      <c r="BKU72" s="95"/>
      <c r="BKV72" s="95"/>
      <c r="BKW72" s="95"/>
      <c r="BKX72" s="95"/>
      <c r="BKY72" s="95"/>
      <c r="BKZ72" s="95"/>
      <c r="BLA72" s="95"/>
      <c r="BLB72" s="95"/>
      <c r="BLC72" s="95"/>
      <c r="BLD72" s="95"/>
      <c r="BLE72" s="95"/>
      <c r="BLF72" s="95"/>
      <c r="BLG72" s="95"/>
      <c r="BLH72" s="95"/>
      <c r="BLI72" s="95"/>
      <c r="BLJ72" s="95"/>
      <c r="BLK72" s="95"/>
      <c r="BLL72" s="95"/>
      <c r="BLM72" s="95"/>
      <c r="BLN72" s="95"/>
      <c r="BLO72" s="95"/>
      <c r="BLP72" s="95"/>
      <c r="BLQ72" s="95"/>
      <c r="BLR72" s="95"/>
      <c r="BLS72" s="95"/>
      <c r="BLT72" s="95"/>
      <c r="BLU72" s="95"/>
      <c r="BLV72" s="95"/>
      <c r="BLW72" s="95"/>
      <c r="BLX72" s="95"/>
      <c r="BLY72" s="95"/>
      <c r="BLZ72" s="95"/>
      <c r="BMA72" s="95"/>
      <c r="BMB72" s="95"/>
      <c r="BMC72" s="95"/>
      <c r="BMD72" s="95"/>
      <c r="BME72" s="95"/>
      <c r="BMF72" s="95"/>
      <c r="BMG72" s="95"/>
      <c r="BMH72" s="95"/>
      <c r="BMI72" s="95"/>
      <c r="BMJ72" s="95"/>
      <c r="BMK72" s="95"/>
      <c r="BML72" s="95"/>
      <c r="BMM72" s="95"/>
      <c r="BMN72" s="95"/>
      <c r="BMO72" s="95"/>
      <c r="BMP72" s="95"/>
      <c r="BMQ72" s="95"/>
      <c r="BMR72" s="95"/>
      <c r="BMS72" s="95"/>
      <c r="BMT72" s="95"/>
      <c r="BMU72" s="95"/>
      <c r="BMV72" s="95"/>
      <c r="BMW72" s="95"/>
      <c r="BMX72" s="95"/>
      <c r="BMY72" s="95"/>
      <c r="BMZ72" s="95"/>
      <c r="BNA72" s="95"/>
      <c r="BNB72" s="95"/>
      <c r="BNC72" s="95"/>
      <c r="BND72" s="95"/>
      <c r="BNE72" s="95"/>
      <c r="BNF72" s="95"/>
      <c r="BNG72" s="95"/>
      <c r="BNH72" s="95"/>
      <c r="BNI72" s="95"/>
      <c r="BNJ72" s="95"/>
      <c r="BNK72" s="95"/>
      <c r="BNL72" s="95"/>
      <c r="BNM72" s="95"/>
      <c r="BNN72" s="95"/>
      <c r="BNO72" s="95"/>
      <c r="BNP72" s="95"/>
      <c r="BNQ72" s="95"/>
      <c r="BNR72" s="95"/>
      <c r="BNS72" s="95"/>
      <c r="BNT72" s="95"/>
      <c r="BNU72" s="95"/>
      <c r="BNV72" s="95"/>
      <c r="BNW72" s="95"/>
      <c r="BNX72" s="95"/>
      <c r="BNY72" s="95"/>
      <c r="BNZ72" s="95"/>
      <c r="BOA72" s="95"/>
      <c r="BOB72" s="95"/>
      <c r="BOC72" s="95"/>
      <c r="BOD72" s="95"/>
      <c r="BOE72" s="95"/>
      <c r="BOF72" s="95"/>
      <c r="BOG72" s="95"/>
      <c r="BOH72" s="95"/>
      <c r="BOI72" s="95"/>
      <c r="BOJ72" s="95"/>
      <c r="BOK72" s="95"/>
      <c r="BOL72" s="95"/>
      <c r="BOM72" s="95"/>
      <c r="BON72" s="95"/>
      <c r="BOO72" s="95"/>
      <c r="BOP72" s="95"/>
      <c r="BOQ72" s="95"/>
      <c r="BOR72" s="95"/>
      <c r="BOS72" s="95"/>
      <c r="BOT72" s="95"/>
      <c r="BOU72" s="95"/>
      <c r="BOV72" s="95"/>
      <c r="BOW72" s="95"/>
      <c r="BOX72" s="95"/>
      <c r="BOY72" s="95"/>
      <c r="BOZ72" s="95"/>
      <c r="BPA72" s="95"/>
      <c r="BPB72" s="95"/>
      <c r="BPC72" s="95"/>
      <c r="BPD72" s="95"/>
      <c r="BPE72" s="95"/>
      <c r="BPF72" s="95"/>
      <c r="BPG72" s="95"/>
      <c r="BPH72" s="95"/>
      <c r="BPI72" s="95"/>
      <c r="BPJ72" s="95"/>
      <c r="BPK72" s="95"/>
      <c r="BPL72" s="95"/>
      <c r="BPM72" s="95"/>
      <c r="BPN72" s="95"/>
      <c r="BPO72" s="95"/>
      <c r="BPP72" s="95"/>
      <c r="BPQ72" s="95"/>
      <c r="BPR72" s="95"/>
      <c r="BPS72" s="95"/>
      <c r="BPT72" s="95"/>
      <c r="BPU72" s="95"/>
      <c r="BPV72" s="95"/>
      <c r="BPW72" s="95"/>
      <c r="BPX72" s="95"/>
      <c r="BPY72" s="95"/>
      <c r="BPZ72" s="95"/>
      <c r="BQA72" s="95"/>
      <c r="BQB72" s="95"/>
      <c r="BQC72" s="95"/>
      <c r="BQD72" s="95"/>
      <c r="BQE72" s="95"/>
      <c r="BQF72" s="95"/>
      <c r="BQG72" s="95"/>
      <c r="BQH72" s="95"/>
      <c r="BQI72" s="95"/>
      <c r="BQJ72" s="95"/>
      <c r="BQK72" s="95"/>
      <c r="BQL72" s="95"/>
      <c r="BQM72" s="95"/>
      <c r="BQN72" s="95"/>
      <c r="BQO72" s="95"/>
      <c r="BQP72" s="95"/>
      <c r="BQQ72" s="95"/>
      <c r="BQR72" s="95"/>
      <c r="BQS72" s="95"/>
      <c r="BQT72" s="95"/>
      <c r="BQU72" s="95"/>
      <c r="BQV72" s="95"/>
      <c r="BQW72" s="95"/>
      <c r="BQX72" s="95"/>
      <c r="BQY72" s="95"/>
      <c r="BQZ72" s="95"/>
      <c r="BRA72" s="95"/>
      <c r="BRB72" s="95"/>
      <c r="BRC72" s="95"/>
      <c r="BRD72" s="95"/>
      <c r="BRE72" s="95"/>
      <c r="BRF72" s="95"/>
      <c r="BRG72" s="95"/>
      <c r="BRH72" s="95"/>
      <c r="BRI72" s="95"/>
      <c r="BRJ72" s="95"/>
      <c r="BRK72" s="95"/>
      <c r="BRL72" s="95"/>
      <c r="BRM72" s="95"/>
      <c r="BRN72" s="95"/>
      <c r="BRO72" s="95"/>
      <c r="BRP72" s="95"/>
      <c r="BRQ72" s="95"/>
      <c r="BRR72" s="95"/>
      <c r="BRS72" s="95"/>
      <c r="BRT72" s="95"/>
      <c r="BRU72" s="95"/>
      <c r="BRV72" s="95"/>
      <c r="BRW72" s="95"/>
      <c r="BRX72" s="95"/>
      <c r="BRY72" s="95"/>
      <c r="BRZ72" s="95"/>
      <c r="BSA72" s="95"/>
      <c r="BSB72" s="95"/>
      <c r="BSC72" s="95"/>
      <c r="BSD72" s="95"/>
      <c r="BSE72" s="95"/>
      <c r="BSF72" s="95"/>
      <c r="BSG72" s="95"/>
      <c r="BSH72" s="95"/>
      <c r="BSI72" s="95"/>
      <c r="BSJ72" s="95"/>
      <c r="BSK72" s="95"/>
      <c r="BSL72" s="95"/>
      <c r="BSM72" s="95"/>
      <c r="BSN72" s="95"/>
      <c r="BSO72" s="95"/>
      <c r="BSP72" s="95"/>
      <c r="BSQ72" s="95"/>
      <c r="BSR72" s="95"/>
      <c r="BSS72" s="95"/>
      <c r="BST72" s="95"/>
      <c r="BSU72" s="95"/>
      <c r="BSV72" s="95"/>
      <c r="BSW72" s="95"/>
      <c r="BSX72" s="95"/>
      <c r="BSY72" s="95"/>
      <c r="BSZ72" s="95"/>
      <c r="BTA72" s="95"/>
      <c r="BTB72" s="95"/>
      <c r="BTC72" s="95"/>
      <c r="BTD72" s="95"/>
      <c r="BTE72" s="95"/>
      <c r="BTF72" s="95"/>
      <c r="BTG72" s="95"/>
      <c r="BTH72" s="95"/>
      <c r="BTI72" s="95"/>
      <c r="BTJ72" s="95"/>
      <c r="BTK72" s="95"/>
      <c r="BTL72" s="95"/>
      <c r="BTM72" s="95"/>
      <c r="BTN72" s="95"/>
      <c r="BTO72" s="95"/>
      <c r="BTP72" s="95"/>
      <c r="BTQ72" s="95"/>
      <c r="BTR72" s="95"/>
      <c r="BTS72" s="95"/>
      <c r="BTT72" s="95"/>
      <c r="BTU72" s="95"/>
      <c r="BTV72" s="95"/>
      <c r="BTW72" s="95"/>
      <c r="BTX72" s="95"/>
      <c r="BTY72" s="95"/>
      <c r="BTZ72" s="95"/>
      <c r="BUA72" s="95"/>
      <c r="BUB72" s="95"/>
      <c r="BUC72" s="95"/>
      <c r="BUD72" s="95"/>
      <c r="BUE72" s="95"/>
      <c r="BUF72" s="95"/>
      <c r="BUG72" s="95"/>
      <c r="BUH72" s="95"/>
      <c r="BUI72" s="95"/>
      <c r="BUJ72" s="95"/>
      <c r="BUK72" s="95"/>
      <c r="BUL72" s="95"/>
      <c r="BUM72" s="95"/>
      <c r="BUN72" s="95"/>
      <c r="BUO72" s="95"/>
      <c r="BUP72" s="95"/>
      <c r="BUQ72" s="95"/>
      <c r="BUR72" s="95"/>
      <c r="BUS72" s="95"/>
      <c r="BUT72" s="95"/>
      <c r="BUU72" s="95"/>
      <c r="BUV72" s="95"/>
      <c r="BUW72" s="95"/>
      <c r="BUX72" s="95"/>
      <c r="BUY72" s="95"/>
      <c r="BUZ72" s="95"/>
      <c r="BVA72" s="95"/>
      <c r="BVB72" s="95"/>
      <c r="BVC72" s="95"/>
      <c r="BVD72" s="95"/>
      <c r="BVE72" s="95"/>
      <c r="BVF72" s="95"/>
      <c r="BVG72" s="95"/>
      <c r="BVH72" s="95"/>
      <c r="BVI72" s="95"/>
      <c r="BVJ72" s="95"/>
      <c r="BVK72" s="95"/>
      <c r="BVL72" s="95"/>
      <c r="BVM72" s="95"/>
      <c r="BVN72" s="95"/>
      <c r="BVO72" s="95"/>
      <c r="BVP72" s="95"/>
      <c r="BVQ72" s="95"/>
      <c r="BVR72" s="95"/>
      <c r="BVS72" s="95"/>
      <c r="BVT72" s="95"/>
      <c r="BVU72" s="95"/>
      <c r="BVV72" s="95"/>
      <c r="BVW72" s="95"/>
      <c r="BVX72" s="95"/>
      <c r="BVY72" s="95"/>
      <c r="BVZ72" s="95"/>
      <c r="BWA72" s="95"/>
      <c r="BWB72" s="95"/>
      <c r="BWC72" s="95"/>
      <c r="BWD72" s="95"/>
      <c r="BWE72" s="95"/>
      <c r="BWF72" s="95"/>
      <c r="BWG72" s="95"/>
      <c r="BWH72" s="95"/>
      <c r="BWI72" s="95"/>
      <c r="BWJ72" s="95"/>
      <c r="BWK72" s="95"/>
      <c r="BWL72" s="95"/>
      <c r="BWM72" s="95"/>
      <c r="BWN72" s="95"/>
      <c r="BWO72" s="95"/>
      <c r="BWP72" s="95"/>
      <c r="BWQ72" s="95"/>
      <c r="BWR72" s="95"/>
      <c r="BWS72" s="95"/>
      <c r="BWT72" s="95"/>
      <c r="BWU72" s="95"/>
      <c r="BWV72" s="95"/>
      <c r="BWW72" s="95"/>
      <c r="BWX72" s="95"/>
      <c r="BWY72" s="95"/>
      <c r="BWZ72" s="95"/>
      <c r="BXA72" s="95"/>
      <c r="BXB72" s="95"/>
      <c r="BXC72" s="95"/>
      <c r="BXD72" s="95"/>
      <c r="BXE72" s="95"/>
      <c r="BXF72" s="95"/>
      <c r="BXG72" s="95"/>
      <c r="BXH72" s="95"/>
      <c r="BXI72" s="95"/>
      <c r="BXJ72" s="95"/>
      <c r="BXK72" s="95"/>
      <c r="BXL72" s="95"/>
      <c r="BXM72" s="95"/>
      <c r="BXN72" s="95"/>
      <c r="BXO72" s="95"/>
      <c r="BXP72" s="95"/>
      <c r="BXQ72" s="95"/>
      <c r="BXR72" s="95"/>
      <c r="BXS72" s="95"/>
      <c r="BXT72" s="95"/>
      <c r="BXU72" s="95"/>
      <c r="BXV72" s="95"/>
      <c r="BXW72" s="95"/>
      <c r="BXX72" s="95"/>
      <c r="BXY72" s="95"/>
      <c r="BXZ72" s="95"/>
      <c r="BYA72" s="95"/>
      <c r="BYB72" s="95"/>
      <c r="BYC72" s="95"/>
      <c r="BYD72" s="95"/>
      <c r="BYE72" s="95"/>
      <c r="BYF72" s="95"/>
      <c r="BYG72" s="95"/>
    </row>
    <row r="73" spans="1:2009" s="96" customFormat="1" ht="10.5" customHeight="1" x14ac:dyDescent="0.25">
      <c r="A73" s="122"/>
      <c r="B73" s="122"/>
      <c r="C73" s="191"/>
      <c r="D73" s="191"/>
      <c r="E73" s="191"/>
      <c r="F73" s="191"/>
      <c r="G73" s="669"/>
      <c r="H73" s="94"/>
      <c r="I73" s="559"/>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5"/>
      <c r="LR73" s="95"/>
      <c r="LS73" s="95"/>
      <c r="LT73" s="95"/>
      <c r="LU73" s="95"/>
      <c r="LV73" s="95"/>
      <c r="LW73" s="95"/>
      <c r="LX73" s="95"/>
      <c r="LY73" s="95"/>
      <c r="LZ73" s="95"/>
      <c r="MA73" s="95"/>
      <c r="MB73" s="95"/>
      <c r="MC73" s="95"/>
      <c r="MD73" s="95"/>
      <c r="ME73" s="95"/>
      <c r="MF73" s="95"/>
      <c r="MG73" s="95"/>
      <c r="MH73" s="95"/>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5"/>
      <c r="SD73" s="95"/>
      <c r="SE73" s="95"/>
      <c r="SF73" s="95"/>
      <c r="SG73" s="95"/>
      <c r="SH73" s="95"/>
      <c r="SI73" s="95"/>
      <c r="SJ73" s="95"/>
      <c r="SK73" s="95"/>
      <c r="SL73" s="95"/>
      <c r="SM73" s="95"/>
      <c r="SN73" s="95"/>
      <c r="SO73" s="95"/>
      <c r="SP73" s="95"/>
      <c r="SQ73" s="95"/>
      <c r="SR73" s="95"/>
      <c r="SS73" s="95"/>
      <c r="ST73" s="95"/>
      <c r="SU73" s="95"/>
      <c r="SV73" s="95"/>
      <c r="SW73" s="95"/>
      <c r="SX73" s="95"/>
      <c r="SY73" s="95"/>
      <c r="SZ73" s="95"/>
      <c r="TA73" s="95"/>
      <c r="TB73" s="95"/>
      <c r="TC73" s="95"/>
      <c r="TD73" s="95"/>
      <c r="TE73" s="95"/>
      <c r="TF73" s="95"/>
      <c r="TG73" s="95"/>
      <c r="TH73" s="95"/>
      <c r="TI73" s="95"/>
      <c r="TJ73" s="95"/>
      <c r="TK73" s="95"/>
      <c r="TL73" s="95"/>
      <c r="TM73" s="95"/>
      <c r="TN73" s="95"/>
      <c r="TO73" s="95"/>
      <c r="TP73" s="95"/>
      <c r="TQ73" s="95"/>
      <c r="TR73" s="95"/>
      <c r="TS73" s="95"/>
      <c r="TT73" s="95"/>
      <c r="TU73" s="95"/>
      <c r="TV73" s="95"/>
      <c r="TW73" s="95"/>
      <c r="TX73" s="95"/>
      <c r="TY73" s="95"/>
      <c r="TZ73" s="95"/>
      <c r="UA73" s="95"/>
      <c r="UB73" s="95"/>
      <c r="UC73" s="95"/>
      <c r="UD73" s="95"/>
      <c r="UE73" s="95"/>
      <c r="UF73" s="95"/>
      <c r="UG73" s="95"/>
      <c r="UH73" s="95"/>
      <c r="UI73" s="95"/>
      <c r="UJ73" s="95"/>
      <c r="UK73" s="95"/>
      <c r="UL73" s="95"/>
      <c r="UM73" s="95"/>
      <c r="UN73" s="95"/>
      <c r="UO73" s="95"/>
      <c r="UP73" s="95"/>
      <c r="UQ73" s="95"/>
      <c r="UR73" s="95"/>
      <c r="US73" s="95"/>
      <c r="UT73" s="95"/>
      <c r="UU73" s="95"/>
      <c r="UV73" s="95"/>
      <c r="UW73" s="95"/>
      <c r="UX73" s="95"/>
      <c r="UY73" s="95"/>
      <c r="UZ73" s="95"/>
      <c r="VA73" s="95"/>
      <c r="VB73" s="95"/>
      <c r="VC73" s="95"/>
      <c r="VD73" s="95"/>
      <c r="VE73" s="95"/>
      <c r="VF73" s="95"/>
      <c r="VG73" s="95"/>
      <c r="VH73" s="95"/>
      <c r="VI73" s="95"/>
      <c r="VJ73" s="95"/>
      <c r="VK73" s="95"/>
      <c r="VL73" s="95"/>
      <c r="VM73" s="95"/>
      <c r="VN73" s="95"/>
      <c r="VO73" s="95"/>
      <c r="VP73" s="95"/>
      <c r="VQ73" s="95"/>
      <c r="VR73" s="95"/>
      <c r="VS73" s="95"/>
      <c r="VT73" s="95"/>
      <c r="VU73" s="95"/>
      <c r="VV73" s="95"/>
      <c r="VW73" s="95"/>
      <c r="VX73" s="95"/>
      <c r="VY73" s="95"/>
      <c r="VZ73" s="95"/>
      <c r="WA73" s="95"/>
      <c r="WB73" s="95"/>
      <c r="WC73" s="95"/>
      <c r="WD73" s="95"/>
      <c r="WE73" s="95"/>
      <c r="WF73" s="95"/>
      <c r="WG73" s="95"/>
      <c r="WH73" s="95"/>
      <c r="WI73" s="95"/>
      <c r="WJ73" s="95"/>
      <c r="WK73" s="95"/>
      <c r="WL73" s="95"/>
      <c r="WM73" s="95"/>
      <c r="WN73" s="95"/>
      <c r="WO73" s="95"/>
      <c r="WP73" s="95"/>
      <c r="WQ73" s="95"/>
      <c r="WR73" s="95"/>
      <c r="WS73" s="95"/>
      <c r="WT73" s="95"/>
      <c r="WU73" s="95"/>
      <c r="WV73" s="95"/>
      <c r="WW73" s="95"/>
      <c r="WX73" s="95"/>
      <c r="WY73" s="95"/>
      <c r="WZ73" s="95"/>
      <c r="XA73" s="95"/>
      <c r="XB73" s="95"/>
      <c r="XC73" s="95"/>
      <c r="XD73" s="95"/>
      <c r="XE73" s="95"/>
      <c r="XF73" s="95"/>
      <c r="XG73" s="95"/>
      <c r="XH73" s="95"/>
      <c r="XI73" s="95"/>
      <c r="XJ73" s="95"/>
      <c r="XK73" s="95"/>
      <c r="XL73" s="95"/>
      <c r="XM73" s="95"/>
      <c r="XN73" s="95"/>
      <c r="XO73" s="95"/>
      <c r="XP73" s="95"/>
      <c r="XQ73" s="95"/>
      <c r="XR73" s="95"/>
      <c r="XS73" s="95"/>
      <c r="XT73" s="95"/>
      <c r="XU73" s="95"/>
      <c r="XV73" s="95"/>
      <c r="XW73" s="95"/>
      <c r="XX73" s="95"/>
      <c r="XY73" s="95"/>
      <c r="XZ73" s="95"/>
      <c r="YA73" s="95"/>
      <c r="YB73" s="95"/>
      <c r="YC73" s="95"/>
      <c r="YD73" s="95"/>
      <c r="YE73" s="95"/>
      <c r="YF73" s="95"/>
      <c r="YG73" s="95"/>
      <c r="YH73" s="95"/>
      <c r="YI73" s="95"/>
      <c r="YJ73" s="95"/>
      <c r="YK73" s="95"/>
      <c r="YL73" s="95"/>
      <c r="YM73" s="95"/>
      <c r="YN73" s="95"/>
      <c r="YO73" s="95"/>
      <c r="YP73" s="95"/>
      <c r="YQ73" s="95"/>
      <c r="YR73" s="95"/>
      <c r="YS73" s="95"/>
      <c r="YT73" s="95"/>
      <c r="YU73" s="95"/>
      <c r="YV73" s="95"/>
      <c r="YW73" s="95"/>
      <c r="YX73" s="95"/>
      <c r="YY73" s="95"/>
      <c r="YZ73" s="95"/>
      <c r="ZA73" s="95"/>
      <c r="ZB73" s="95"/>
      <c r="ZC73" s="95"/>
      <c r="ZD73" s="95"/>
      <c r="ZE73" s="95"/>
      <c r="ZF73" s="95"/>
      <c r="ZG73" s="95"/>
      <c r="ZH73" s="95"/>
      <c r="ZI73" s="95"/>
      <c r="ZJ73" s="95"/>
      <c r="ZK73" s="95"/>
      <c r="ZL73" s="95"/>
      <c r="ZM73" s="95"/>
      <c r="ZN73" s="95"/>
      <c r="ZO73" s="95"/>
      <c r="ZP73" s="95"/>
      <c r="ZQ73" s="95"/>
      <c r="ZR73" s="95"/>
      <c r="ZS73" s="95"/>
      <c r="ZT73" s="95"/>
      <c r="ZU73" s="95"/>
      <c r="ZV73" s="95"/>
      <c r="ZW73" s="95"/>
      <c r="ZX73" s="95"/>
      <c r="ZY73" s="95"/>
      <c r="ZZ73" s="95"/>
      <c r="AAA73" s="95"/>
      <c r="AAB73" s="95"/>
      <c r="AAC73" s="95"/>
      <c r="AAD73" s="95"/>
      <c r="AAE73" s="95"/>
      <c r="AAF73" s="95"/>
      <c r="AAG73" s="95"/>
      <c r="AAH73" s="95"/>
      <c r="AAI73" s="95"/>
      <c r="AAJ73" s="95"/>
      <c r="AAK73" s="95"/>
      <c r="AAL73" s="95"/>
      <c r="AAM73" s="95"/>
      <c r="AAN73" s="95"/>
      <c r="AAO73" s="95"/>
      <c r="AAP73" s="95"/>
      <c r="AAQ73" s="95"/>
      <c r="AAR73" s="95"/>
      <c r="AAS73" s="95"/>
      <c r="AAT73" s="95"/>
      <c r="AAU73" s="95"/>
      <c r="AAV73" s="95"/>
      <c r="AAW73" s="95"/>
      <c r="AAX73" s="95"/>
      <c r="AAY73" s="95"/>
      <c r="AAZ73" s="95"/>
      <c r="ABA73" s="95"/>
      <c r="ABB73" s="95"/>
      <c r="ABC73" s="95"/>
      <c r="ABD73" s="95"/>
      <c r="ABE73" s="95"/>
      <c r="ABF73" s="95"/>
      <c r="ABG73" s="95"/>
      <c r="ABH73" s="95"/>
      <c r="ABI73" s="95"/>
      <c r="ABJ73" s="95"/>
      <c r="ABK73" s="95"/>
      <c r="ABL73" s="95"/>
      <c r="ABM73" s="95"/>
      <c r="ABN73" s="95"/>
      <c r="ABO73" s="95"/>
      <c r="ABP73" s="95"/>
      <c r="ABQ73" s="95"/>
      <c r="ABR73" s="95"/>
      <c r="ABS73" s="95"/>
      <c r="ABT73" s="95"/>
      <c r="ABU73" s="95"/>
      <c r="ABV73" s="95"/>
      <c r="ABW73" s="95"/>
      <c r="ABX73" s="95"/>
      <c r="ABY73" s="95"/>
      <c r="ABZ73" s="95"/>
      <c r="ACA73" s="95"/>
      <c r="ACB73" s="95"/>
      <c r="ACC73" s="95"/>
      <c r="ACD73" s="95"/>
      <c r="ACE73" s="95"/>
      <c r="ACF73" s="95"/>
      <c r="ACG73" s="95"/>
      <c r="ACH73" s="95"/>
      <c r="ACI73" s="95"/>
      <c r="ACJ73" s="95"/>
      <c r="ACK73" s="95"/>
      <c r="ACL73" s="95"/>
      <c r="ACM73" s="95"/>
      <c r="ACN73" s="95"/>
      <c r="ACO73" s="95"/>
      <c r="ACP73" s="95"/>
      <c r="ACQ73" s="95"/>
      <c r="ACR73" s="95"/>
      <c r="ACS73" s="95"/>
      <c r="ACT73" s="95"/>
      <c r="ACU73" s="95"/>
      <c r="ACV73" s="95"/>
      <c r="ACW73" s="95"/>
      <c r="ACX73" s="95"/>
      <c r="ACY73" s="95"/>
      <c r="ACZ73" s="95"/>
      <c r="ADA73" s="95"/>
      <c r="ADB73" s="95"/>
      <c r="ADC73" s="95"/>
      <c r="ADD73" s="95"/>
      <c r="ADE73" s="95"/>
      <c r="ADF73" s="95"/>
      <c r="ADG73" s="95"/>
      <c r="ADH73" s="95"/>
      <c r="ADI73" s="95"/>
      <c r="ADJ73" s="95"/>
      <c r="ADK73" s="95"/>
      <c r="ADL73" s="95"/>
      <c r="ADM73" s="95"/>
      <c r="ADN73" s="95"/>
      <c r="ADO73" s="95"/>
      <c r="ADP73" s="95"/>
      <c r="ADQ73" s="95"/>
      <c r="ADR73" s="95"/>
      <c r="ADS73" s="95"/>
      <c r="ADT73" s="95"/>
      <c r="ADU73" s="95"/>
      <c r="ADV73" s="95"/>
      <c r="ADW73" s="95"/>
      <c r="ADX73" s="95"/>
      <c r="ADY73" s="95"/>
      <c r="ADZ73" s="95"/>
      <c r="AEA73" s="95"/>
      <c r="AEB73" s="95"/>
      <c r="AEC73" s="95"/>
      <c r="AED73" s="95"/>
      <c r="AEE73" s="95"/>
      <c r="AEF73" s="95"/>
      <c r="AEG73" s="95"/>
      <c r="AEH73" s="95"/>
      <c r="AEI73" s="95"/>
      <c r="AEJ73" s="95"/>
      <c r="AEK73" s="95"/>
      <c r="AEL73" s="95"/>
      <c r="AEM73" s="95"/>
      <c r="AEN73" s="95"/>
      <c r="AEO73" s="95"/>
      <c r="AEP73" s="95"/>
      <c r="AEQ73" s="95"/>
      <c r="AER73" s="95"/>
      <c r="AES73" s="95"/>
      <c r="AET73" s="95"/>
      <c r="AEU73" s="95"/>
      <c r="AEV73" s="95"/>
      <c r="AEW73" s="95"/>
      <c r="AEX73" s="95"/>
      <c r="AEY73" s="95"/>
      <c r="AEZ73" s="95"/>
      <c r="AFA73" s="95"/>
      <c r="AFB73" s="95"/>
      <c r="AFC73" s="95"/>
      <c r="AFD73" s="95"/>
      <c r="AFE73" s="95"/>
      <c r="AFF73" s="95"/>
      <c r="AFG73" s="95"/>
      <c r="AFH73" s="95"/>
      <c r="AFI73" s="95"/>
      <c r="AFJ73" s="95"/>
      <c r="AFK73" s="95"/>
      <c r="AFL73" s="95"/>
      <c r="AFM73" s="95"/>
      <c r="AFN73" s="95"/>
      <c r="AFO73" s="95"/>
      <c r="AFP73" s="95"/>
      <c r="AFQ73" s="95"/>
      <c r="AFR73" s="95"/>
      <c r="AFS73" s="95"/>
      <c r="AFT73" s="95"/>
      <c r="AFU73" s="95"/>
      <c r="AFV73" s="95"/>
      <c r="AFW73" s="95"/>
      <c r="AFX73" s="95"/>
      <c r="AFY73" s="95"/>
      <c r="AFZ73" s="95"/>
      <c r="AGA73" s="95"/>
      <c r="AGB73" s="95"/>
      <c r="AGC73" s="95"/>
      <c r="AGD73" s="95"/>
      <c r="AGE73" s="95"/>
      <c r="AGF73" s="95"/>
      <c r="AGG73" s="95"/>
      <c r="AGH73" s="95"/>
      <c r="AGI73" s="95"/>
      <c r="AGJ73" s="95"/>
      <c r="AGK73" s="95"/>
      <c r="AGL73" s="95"/>
      <c r="AGM73" s="95"/>
      <c r="AGN73" s="95"/>
      <c r="AGO73" s="95"/>
      <c r="AGP73" s="95"/>
      <c r="AGQ73" s="95"/>
      <c r="AGR73" s="95"/>
      <c r="AGS73" s="95"/>
      <c r="AGT73" s="95"/>
      <c r="AGU73" s="95"/>
      <c r="AGV73" s="95"/>
      <c r="AGW73" s="95"/>
      <c r="AGX73" s="95"/>
      <c r="AGY73" s="95"/>
      <c r="AGZ73" s="95"/>
      <c r="AHA73" s="95"/>
      <c r="AHB73" s="95"/>
      <c r="AHC73" s="95"/>
      <c r="AHD73" s="95"/>
      <c r="AHE73" s="95"/>
      <c r="AHF73" s="95"/>
      <c r="AHG73" s="95"/>
      <c r="AHH73" s="95"/>
      <c r="AHI73" s="95"/>
      <c r="AHJ73" s="95"/>
      <c r="AHK73" s="95"/>
      <c r="AHL73" s="95"/>
      <c r="AHM73" s="95"/>
      <c r="AHN73" s="95"/>
      <c r="AHO73" s="95"/>
      <c r="AHP73" s="95"/>
      <c r="AHQ73" s="95"/>
      <c r="AHR73" s="95"/>
      <c r="AHS73" s="95"/>
      <c r="AHT73" s="95"/>
      <c r="AHU73" s="95"/>
      <c r="AHV73" s="95"/>
      <c r="AHW73" s="95"/>
      <c r="AHX73" s="95"/>
      <c r="AHY73" s="95"/>
      <c r="AHZ73" s="95"/>
      <c r="AIA73" s="95"/>
      <c r="AIB73" s="95"/>
      <c r="AIC73" s="95"/>
      <c r="AID73" s="95"/>
      <c r="AIE73" s="95"/>
      <c r="AIF73" s="95"/>
      <c r="AIG73" s="95"/>
      <c r="AIH73" s="95"/>
      <c r="AII73" s="95"/>
      <c r="AIJ73" s="95"/>
      <c r="AIK73" s="95"/>
      <c r="AIL73" s="95"/>
      <c r="AIM73" s="95"/>
      <c r="AIN73" s="95"/>
      <c r="AIO73" s="95"/>
      <c r="AIP73" s="95"/>
      <c r="AIQ73" s="95"/>
      <c r="AIR73" s="95"/>
      <c r="AIS73" s="95"/>
      <c r="AIT73" s="95"/>
      <c r="AIU73" s="95"/>
      <c r="AIV73" s="95"/>
      <c r="AIW73" s="95"/>
      <c r="AIX73" s="95"/>
      <c r="AIY73" s="95"/>
      <c r="AIZ73" s="95"/>
      <c r="AJA73" s="95"/>
      <c r="AJB73" s="95"/>
      <c r="AJC73" s="95"/>
      <c r="AJD73" s="95"/>
      <c r="AJE73" s="95"/>
      <c r="AJF73" s="95"/>
      <c r="AJG73" s="95"/>
      <c r="AJH73" s="95"/>
      <c r="AJI73" s="95"/>
      <c r="AJJ73" s="95"/>
      <c r="AJK73" s="95"/>
      <c r="AJL73" s="95"/>
      <c r="AJM73" s="95"/>
      <c r="AJN73" s="95"/>
      <c r="AJO73" s="95"/>
      <c r="AJP73" s="95"/>
      <c r="AJQ73" s="95"/>
      <c r="AJR73" s="95"/>
      <c r="AJS73" s="95"/>
      <c r="AJT73" s="95"/>
      <c r="AJU73" s="95"/>
      <c r="AJV73" s="95"/>
      <c r="AJW73" s="95"/>
      <c r="AJX73" s="95"/>
      <c r="AJY73" s="95"/>
      <c r="AJZ73" s="95"/>
      <c r="AKA73" s="95"/>
      <c r="AKB73" s="95"/>
      <c r="AKC73" s="95"/>
      <c r="AKD73" s="95"/>
      <c r="AKE73" s="95"/>
      <c r="AKF73" s="95"/>
      <c r="AKG73" s="95"/>
      <c r="AKH73" s="95"/>
      <c r="AKI73" s="95"/>
      <c r="AKJ73" s="95"/>
      <c r="AKK73" s="95"/>
      <c r="AKL73" s="95"/>
      <c r="AKM73" s="95"/>
      <c r="AKN73" s="95"/>
      <c r="AKO73" s="95"/>
      <c r="AKP73" s="95"/>
      <c r="AKQ73" s="95"/>
      <c r="AKR73" s="95"/>
      <c r="AKS73" s="95"/>
      <c r="AKT73" s="95"/>
      <c r="AKU73" s="95"/>
      <c r="AKV73" s="95"/>
      <c r="AKW73" s="95"/>
      <c r="AKX73" s="95"/>
      <c r="AKY73" s="95"/>
      <c r="AKZ73" s="95"/>
      <c r="ALA73" s="95"/>
      <c r="ALB73" s="95"/>
      <c r="ALC73" s="95"/>
      <c r="ALD73" s="95"/>
      <c r="ALE73" s="95"/>
      <c r="ALF73" s="95"/>
      <c r="ALG73" s="95"/>
      <c r="ALH73" s="95"/>
      <c r="ALI73" s="95"/>
      <c r="ALJ73" s="95"/>
      <c r="ALK73" s="95"/>
      <c r="ALL73" s="95"/>
      <c r="ALM73" s="95"/>
      <c r="ALN73" s="95"/>
      <c r="ALO73" s="95"/>
      <c r="ALP73" s="95"/>
      <c r="ALQ73" s="95"/>
      <c r="ALR73" s="95"/>
      <c r="ALS73" s="95"/>
      <c r="ALT73" s="95"/>
      <c r="ALU73" s="95"/>
      <c r="ALV73" s="95"/>
      <c r="ALW73" s="95"/>
      <c r="ALX73" s="95"/>
      <c r="ALY73" s="95"/>
      <c r="ALZ73" s="95"/>
      <c r="AMA73" s="95"/>
      <c r="AMB73" s="95"/>
      <c r="AMC73" s="95"/>
      <c r="AMD73" s="95"/>
      <c r="AME73" s="95"/>
      <c r="AMF73" s="95"/>
      <c r="AMG73" s="95"/>
      <c r="AMH73" s="95"/>
      <c r="AMI73" s="95"/>
      <c r="AMJ73" s="95"/>
      <c r="AMK73" s="95"/>
      <c r="AML73" s="95"/>
      <c r="AMM73" s="95"/>
      <c r="AMN73" s="95"/>
      <c r="AMO73" s="95"/>
      <c r="AMP73" s="95"/>
      <c r="AMQ73" s="95"/>
      <c r="AMR73" s="95"/>
      <c r="AMS73" s="95"/>
      <c r="AMT73" s="95"/>
      <c r="AMU73" s="95"/>
      <c r="AMV73" s="95"/>
      <c r="AMW73" s="95"/>
      <c r="AMX73" s="95"/>
      <c r="AMY73" s="95"/>
      <c r="AMZ73" s="95"/>
      <c r="ANA73" s="95"/>
      <c r="ANB73" s="95"/>
      <c r="ANC73" s="95"/>
      <c r="AND73" s="95"/>
      <c r="ANE73" s="95"/>
      <c r="ANF73" s="95"/>
      <c r="ANG73" s="95"/>
      <c r="ANH73" s="95"/>
      <c r="ANI73" s="95"/>
      <c r="ANJ73" s="95"/>
      <c r="ANK73" s="95"/>
      <c r="ANL73" s="95"/>
      <c r="ANM73" s="95"/>
      <c r="ANN73" s="95"/>
      <c r="ANO73" s="95"/>
      <c r="ANP73" s="95"/>
      <c r="ANQ73" s="95"/>
      <c r="ANR73" s="95"/>
      <c r="ANS73" s="95"/>
      <c r="ANT73" s="95"/>
      <c r="ANU73" s="95"/>
      <c r="ANV73" s="95"/>
      <c r="ANW73" s="95"/>
      <c r="ANX73" s="95"/>
      <c r="ANY73" s="95"/>
      <c r="ANZ73" s="95"/>
      <c r="AOA73" s="95"/>
      <c r="AOB73" s="95"/>
      <c r="AOC73" s="95"/>
      <c r="AOD73" s="95"/>
      <c r="AOE73" s="95"/>
      <c r="AOF73" s="95"/>
      <c r="AOG73" s="95"/>
      <c r="AOH73" s="95"/>
      <c r="AOI73" s="95"/>
      <c r="AOJ73" s="95"/>
      <c r="AOK73" s="95"/>
      <c r="AOL73" s="95"/>
      <c r="AOM73" s="95"/>
      <c r="AON73" s="95"/>
      <c r="AOO73" s="95"/>
      <c r="AOP73" s="95"/>
      <c r="AOQ73" s="95"/>
      <c r="AOR73" s="95"/>
      <c r="AOS73" s="95"/>
      <c r="AOT73" s="95"/>
      <c r="AOU73" s="95"/>
      <c r="AOV73" s="95"/>
      <c r="AOW73" s="95"/>
      <c r="AOX73" s="95"/>
      <c r="AOY73" s="95"/>
      <c r="AOZ73" s="95"/>
      <c r="APA73" s="95"/>
      <c r="APB73" s="95"/>
      <c r="APC73" s="95"/>
      <c r="APD73" s="95"/>
      <c r="APE73" s="95"/>
      <c r="APF73" s="95"/>
      <c r="APG73" s="95"/>
      <c r="APH73" s="95"/>
      <c r="API73" s="95"/>
      <c r="APJ73" s="95"/>
      <c r="APK73" s="95"/>
      <c r="APL73" s="95"/>
      <c r="APM73" s="95"/>
      <c r="APN73" s="95"/>
      <c r="APO73" s="95"/>
      <c r="APP73" s="95"/>
      <c r="APQ73" s="95"/>
      <c r="APR73" s="95"/>
      <c r="APS73" s="95"/>
      <c r="APT73" s="95"/>
      <c r="APU73" s="95"/>
      <c r="APV73" s="95"/>
      <c r="APW73" s="95"/>
      <c r="APX73" s="95"/>
      <c r="APY73" s="95"/>
      <c r="APZ73" s="95"/>
      <c r="AQA73" s="95"/>
      <c r="AQB73" s="95"/>
      <c r="AQC73" s="95"/>
      <c r="AQD73" s="95"/>
      <c r="AQE73" s="95"/>
      <c r="AQF73" s="95"/>
      <c r="AQG73" s="95"/>
      <c r="AQH73" s="95"/>
      <c r="AQI73" s="95"/>
      <c r="AQJ73" s="95"/>
      <c r="AQK73" s="95"/>
      <c r="AQL73" s="95"/>
      <c r="AQM73" s="95"/>
      <c r="AQN73" s="95"/>
      <c r="AQO73" s="95"/>
      <c r="AQP73" s="95"/>
      <c r="AQQ73" s="95"/>
      <c r="AQR73" s="95"/>
      <c r="AQS73" s="95"/>
      <c r="AQT73" s="95"/>
      <c r="AQU73" s="95"/>
      <c r="AQV73" s="95"/>
      <c r="AQW73" s="95"/>
      <c r="AQX73" s="95"/>
      <c r="AQY73" s="95"/>
      <c r="AQZ73" s="95"/>
      <c r="ARA73" s="95"/>
      <c r="ARB73" s="95"/>
      <c r="ARC73" s="95"/>
      <c r="ARD73" s="95"/>
      <c r="ARE73" s="95"/>
      <c r="ARF73" s="95"/>
      <c r="ARG73" s="95"/>
      <c r="ARH73" s="95"/>
      <c r="ARI73" s="95"/>
      <c r="ARJ73" s="95"/>
      <c r="ARK73" s="95"/>
      <c r="ARL73" s="95"/>
      <c r="ARM73" s="95"/>
      <c r="ARN73" s="95"/>
      <c r="ARO73" s="95"/>
      <c r="ARP73" s="95"/>
      <c r="ARQ73" s="95"/>
      <c r="ARR73" s="95"/>
      <c r="ARS73" s="95"/>
      <c r="ART73" s="95"/>
      <c r="ARU73" s="95"/>
      <c r="ARV73" s="95"/>
      <c r="ARW73" s="95"/>
      <c r="ARX73" s="95"/>
      <c r="ARY73" s="95"/>
      <c r="ARZ73" s="95"/>
      <c r="ASA73" s="95"/>
      <c r="ASB73" s="95"/>
      <c r="ASC73" s="95"/>
      <c r="ASD73" s="95"/>
      <c r="ASE73" s="95"/>
      <c r="ASF73" s="95"/>
      <c r="ASG73" s="95"/>
      <c r="ASH73" s="95"/>
      <c r="ASI73" s="95"/>
      <c r="ASJ73" s="95"/>
      <c r="ASK73" s="95"/>
      <c r="ASL73" s="95"/>
      <c r="ASM73" s="95"/>
      <c r="ASN73" s="95"/>
      <c r="ASO73" s="95"/>
      <c r="ASP73" s="95"/>
      <c r="ASQ73" s="95"/>
      <c r="ASR73" s="95"/>
      <c r="ASS73" s="95"/>
      <c r="AST73" s="95"/>
      <c r="ASU73" s="95"/>
      <c r="ASV73" s="95"/>
      <c r="ASW73" s="95"/>
      <c r="ASX73" s="95"/>
      <c r="ASY73" s="95"/>
      <c r="ASZ73" s="95"/>
      <c r="ATA73" s="95"/>
      <c r="ATB73" s="95"/>
      <c r="ATC73" s="95"/>
      <c r="ATD73" s="95"/>
      <c r="ATE73" s="95"/>
      <c r="ATF73" s="95"/>
      <c r="ATG73" s="95"/>
      <c r="ATH73" s="95"/>
      <c r="ATI73" s="95"/>
      <c r="ATJ73" s="95"/>
      <c r="ATK73" s="95"/>
      <c r="ATL73" s="95"/>
      <c r="ATM73" s="95"/>
      <c r="ATN73" s="95"/>
      <c r="ATO73" s="95"/>
      <c r="ATP73" s="95"/>
      <c r="ATQ73" s="95"/>
      <c r="ATR73" s="95"/>
      <c r="ATS73" s="95"/>
      <c r="ATT73" s="95"/>
      <c r="ATU73" s="95"/>
      <c r="ATV73" s="95"/>
      <c r="ATW73" s="95"/>
      <c r="ATX73" s="95"/>
      <c r="ATY73" s="95"/>
      <c r="ATZ73" s="95"/>
      <c r="AUA73" s="95"/>
      <c r="AUB73" s="95"/>
      <c r="AUC73" s="95"/>
      <c r="AUD73" s="95"/>
      <c r="AUE73" s="95"/>
      <c r="AUF73" s="95"/>
      <c r="AUG73" s="95"/>
      <c r="AUH73" s="95"/>
      <c r="AUI73" s="95"/>
      <c r="AUJ73" s="95"/>
      <c r="AUK73" s="95"/>
      <c r="AUL73" s="95"/>
      <c r="AUM73" s="95"/>
      <c r="AUN73" s="95"/>
      <c r="AUO73" s="95"/>
      <c r="AUP73" s="95"/>
      <c r="AUQ73" s="95"/>
      <c r="AUR73" s="95"/>
      <c r="AUS73" s="95"/>
      <c r="AUT73" s="95"/>
      <c r="AUU73" s="95"/>
      <c r="AUV73" s="95"/>
      <c r="AUW73" s="95"/>
      <c r="AUX73" s="95"/>
      <c r="AUY73" s="95"/>
      <c r="AUZ73" s="95"/>
      <c r="AVA73" s="95"/>
      <c r="AVB73" s="95"/>
      <c r="AVC73" s="95"/>
      <c r="AVD73" s="95"/>
      <c r="AVE73" s="95"/>
      <c r="AVF73" s="95"/>
      <c r="AVG73" s="95"/>
      <c r="AVH73" s="95"/>
      <c r="AVI73" s="95"/>
      <c r="AVJ73" s="95"/>
      <c r="AVK73" s="95"/>
      <c r="AVL73" s="95"/>
      <c r="AVM73" s="95"/>
      <c r="AVN73" s="95"/>
      <c r="AVO73" s="95"/>
      <c r="AVP73" s="95"/>
      <c r="AVQ73" s="95"/>
      <c r="AVR73" s="95"/>
      <c r="AVS73" s="95"/>
      <c r="AVT73" s="95"/>
      <c r="AVU73" s="95"/>
      <c r="AVV73" s="95"/>
      <c r="AVW73" s="95"/>
      <c r="AVX73" s="95"/>
      <c r="AVY73" s="95"/>
      <c r="AVZ73" s="95"/>
      <c r="AWA73" s="95"/>
      <c r="AWB73" s="95"/>
      <c r="AWC73" s="95"/>
      <c r="AWD73" s="95"/>
      <c r="AWE73" s="95"/>
      <c r="AWF73" s="95"/>
      <c r="AWG73" s="95"/>
      <c r="AWH73" s="95"/>
      <c r="AWI73" s="95"/>
      <c r="AWJ73" s="95"/>
      <c r="AWK73" s="95"/>
      <c r="AWL73" s="95"/>
      <c r="AWM73" s="95"/>
      <c r="AWN73" s="95"/>
      <c r="AWO73" s="95"/>
      <c r="AWP73" s="95"/>
      <c r="AWQ73" s="95"/>
      <c r="AWR73" s="95"/>
      <c r="AWS73" s="95"/>
      <c r="AWT73" s="95"/>
      <c r="AWU73" s="95"/>
      <c r="AWV73" s="95"/>
      <c r="AWW73" s="95"/>
      <c r="AWX73" s="95"/>
      <c r="AWY73" s="95"/>
      <c r="AWZ73" s="95"/>
      <c r="AXA73" s="95"/>
      <c r="AXB73" s="95"/>
      <c r="AXC73" s="95"/>
      <c r="AXD73" s="95"/>
      <c r="AXE73" s="95"/>
      <c r="AXF73" s="95"/>
      <c r="AXG73" s="95"/>
      <c r="AXH73" s="95"/>
      <c r="AXI73" s="95"/>
      <c r="AXJ73" s="95"/>
      <c r="AXK73" s="95"/>
      <c r="AXL73" s="95"/>
      <c r="AXM73" s="95"/>
      <c r="AXN73" s="95"/>
      <c r="AXO73" s="95"/>
      <c r="AXP73" s="95"/>
      <c r="AXQ73" s="95"/>
      <c r="AXR73" s="95"/>
      <c r="AXS73" s="95"/>
      <c r="AXT73" s="95"/>
      <c r="AXU73" s="95"/>
      <c r="AXV73" s="95"/>
      <c r="AXW73" s="95"/>
      <c r="AXX73" s="95"/>
      <c r="AXY73" s="95"/>
      <c r="AXZ73" s="95"/>
      <c r="AYA73" s="95"/>
      <c r="AYB73" s="95"/>
      <c r="AYC73" s="95"/>
      <c r="AYD73" s="95"/>
      <c r="AYE73" s="95"/>
      <c r="AYF73" s="95"/>
      <c r="AYG73" s="95"/>
      <c r="AYH73" s="95"/>
      <c r="AYI73" s="95"/>
      <c r="AYJ73" s="95"/>
      <c r="AYK73" s="95"/>
      <c r="AYL73" s="95"/>
      <c r="AYM73" s="95"/>
      <c r="AYN73" s="95"/>
      <c r="AYO73" s="95"/>
      <c r="AYP73" s="95"/>
      <c r="AYQ73" s="95"/>
      <c r="AYR73" s="95"/>
      <c r="AYS73" s="95"/>
      <c r="AYT73" s="95"/>
      <c r="AYU73" s="95"/>
      <c r="AYV73" s="95"/>
      <c r="AYW73" s="95"/>
      <c r="AYX73" s="95"/>
      <c r="AYY73" s="95"/>
      <c r="AYZ73" s="95"/>
      <c r="AZA73" s="95"/>
      <c r="AZB73" s="95"/>
      <c r="AZC73" s="95"/>
      <c r="AZD73" s="95"/>
      <c r="AZE73" s="95"/>
      <c r="AZF73" s="95"/>
      <c r="AZG73" s="95"/>
      <c r="AZH73" s="95"/>
      <c r="AZI73" s="95"/>
      <c r="AZJ73" s="95"/>
      <c r="AZK73" s="95"/>
      <c r="AZL73" s="95"/>
      <c r="AZM73" s="95"/>
      <c r="AZN73" s="95"/>
      <c r="AZO73" s="95"/>
      <c r="AZP73" s="95"/>
      <c r="AZQ73" s="95"/>
      <c r="AZR73" s="95"/>
      <c r="AZS73" s="95"/>
      <c r="AZT73" s="95"/>
      <c r="AZU73" s="95"/>
      <c r="AZV73" s="95"/>
      <c r="AZW73" s="95"/>
      <c r="AZX73" s="95"/>
      <c r="AZY73" s="95"/>
      <c r="AZZ73" s="95"/>
      <c r="BAA73" s="95"/>
      <c r="BAB73" s="95"/>
      <c r="BAC73" s="95"/>
      <c r="BAD73" s="95"/>
      <c r="BAE73" s="95"/>
      <c r="BAF73" s="95"/>
      <c r="BAG73" s="95"/>
      <c r="BAH73" s="95"/>
      <c r="BAI73" s="95"/>
      <c r="BAJ73" s="95"/>
      <c r="BAK73" s="95"/>
      <c r="BAL73" s="95"/>
      <c r="BAM73" s="95"/>
      <c r="BAN73" s="95"/>
      <c r="BAO73" s="95"/>
      <c r="BAP73" s="95"/>
      <c r="BAQ73" s="95"/>
      <c r="BAR73" s="95"/>
      <c r="BAS73" s="95"/>
      <c r="BAT73" s="95"/>
      <c r="BAU73" s="95"/>
      <c r="BAV73" s="95"/>
      <c r="BAW73" s="95"/>
      <c r="BAX73" s="95"/>
      <c r="BAY73" s="95"/>
      <c r="BAZ73" s="95"/>
      <c r="BBA73" s="95"/>
      <c r="BBB73" s="95"/>
      <c r="BBC73" s="95"/>
      <c r="BBD73" s="95"/>
      <c r="BBE73" s="95"/>
      <c r="BBF73" s="95"/>
      <c r="BBG73" s="95"/>
      <c r="BBH73" s="95"/>
      <c r="BBI73" s="95"/>
      <c r="BBJ73" s="95"/>
      <c r="BBK73" s="95"/>
      <c r="BBL73" s="95"/>
      <c r="BBM73" s="95"/>
      <c r="BBN73" s="95"/>
      <c r="BBO73" s="95"/>
      <c r="BBP73" s="95"/>
      <c r="BBQ73" s="95"/>
      <c r="BBR73" s="95"/>
      <c r="BBS73" s="95"/>
      <c r="BBT73" s="95"/>
      <c r="BBU73" s="95"/>
      <c r="BBV73" s="95"/>
      <c r="BBW73" s="95"/>
      <c r="BBX73" s="95"/>
      <c r="BBY73" s="95"/>
      <c r="BBZ73" s="95"/>
      <c r="BCA73" s="95"/>
      <c r="BCB73" s="95"/>
      <c r="BCC73" s="95"/>
      <c r="BCD73" s="95"/>
      <c r="BCE73" s="95"/>
      <c r="BCF73" s="95"/>
      <c r="BCG73" s="95"/>
      <c r="BCH73" s="95"/>
      <c r="BCI73" s="95"/>
      <c r="BCJ73" s="95"/>
      <c r="BCK73" s="95"/>
      <c r="BCL73" s="95"/>
      <c r="BCM73" s="95"/>
      <c r="BCN73" s="95"/>
      <c r="BCO73" s="95"/>
      <c r="BCP73" s="95"/>
      <c r="BCQ73" s="95"/>
      <c r="BCR73" s="95"/>
      <c r="BCS73" s="95"/>
      <c r="BCT73" s="95"/>
      <c r="BCU73" s="95"/>
      <c r="BCV73" s="95"/>
      <c r="BCW73" s="95"/>
      <c r="BCX73" s="95"/>
      <c r="BCY73" s="95"/>
      <c r="BCZ73" s="95"/>
      <c r="BDA73" s="95"/>
      <c r="BDB73" s="95"/>
      <c r="BDC73" s="95"/>
      <c r="BDD73" s="95"/>
      <c r="BDE73" s="95"/>
      <c r="BDF73" s="95"/>
      <c r="BDG73" s="95"/>
      <c r="BDH73" s="95"/>
      <c r="BDI73" s="95"/>
      <c r="BDJ73" s="95"/>
      <c r="BDK73" s="95"/>
      <c r="BDL73" s="95"/>
      <c r="BDM73" s="95"/>
      <c r="BDN73" s="95"/>
      <c r="BDO73" s="95"/>
      <c r="BDP73" s="95"/>
      <c r="BDQ73" s="95"/>
      <c r="BDR73" s="95"/>
      <c r="BDS73" s="95"/>
      <c r="BDT73" s="95"/>
      <c r="BDU73" s="95"/>
      <c r="BDV73" s="95"/>
      <c r="BDW73" s="95"/>
      <c r="BDX73" s="95"/>
      <c r="BDY73" s="95"/>
      <c r="BDZ73" s="95"/>
      <c r="BEA73" s="95"/>
      <c r="BEB73" s="95"/>
      <c r="BEC73" s="95"/>
      <c r="BED73" s="95"/>
      <c r="BEE73" s="95"/>
      <c r="BEF73" s="95"/>
      <c r="BEG73" s="95"/>
      <c r="BEH73" s="95"/>
      <c r="BEI73" s="95"/>
      <c r="BEJ73" s="95"/>
      <c r="BEK73" s="95"/>
      <c r="BEL73" s="95"/>
      <c r="BEM73" s="95"/>
      <c r="BEN73" s="95"/>
      <c r="BEO73" s="95"/>
      <c r="BEP73" s="95"/>
      <c r="BEQ73" s="95"/>
      <c r="BER73" s="95"/>
      <c r="BES73" s="95"/>
      <c r="BET73" s="95"/>
      <c r="BEU73" s="95"/>
      <c r="BEV73" s="95"/>
      <c r="BEW73" s="95"/>
      <c r="BEX73" s="95"/>
      <c r="BEY73" s="95"/>
      <c r="BEZ73" s="95"/>
      <c r="BFA73" s="95"/>
      <c r="BFB73" s="95"/>
      <c r="BFC73" s="95"/>
      <c r="BFD73" s="95"/>
      <c r="BFE73" s="95"/>
      <c r="BFF73" s="95"/>
      <c r="BFG73" s="95"/>
      <c r="BFH73" s="95"/>
      <c r="BFI73" s="95"/>
      <c r="BFJ73" s="95"/>
      <c r="BFK73" s="95"/>
      <c r="BFL73" s="95"/>
      <c r="BFM73" s="95"/>
      <c r="BFN73" s="95"/>
      <c r="BFO73" s="95"/>
      <c r="BFP73" s="95"/>
      <c r="BFQ73" s="95"/>
      <c r="BFR73" s="95"/>
      <c r="BFS73" s="95"/>
      <c r="BFT73" s="95"/>
      <c r="BFU73" s="95"/>
      <c r="BFV73" s="95"/>
      <c r="BFW73" s="95"/>
      <c r="BFX73" s="95"/>
      <c r="BFY73" s="95"/>
      <c r="BFZ73" s="95"/>
      <c r="BGA73" s="95"/>
      <c r="BGB73" s="95"/>
      <c r="BGC73" s="95"/>
      <c r="BGD73" s="95"/>
      <c r="BGE73" s="95"/>
      <c r="BGF73" s="95"/>
      <c r="BGG73" s="95"/>
      <c r="BGH73" s="95"/>
      <c r="BGI73" s="95"/>
      <c r="BGJ73" s="95"/>
      <c r="BGK73" s="95"/>
      <c r="BGL73" s="95"/>
      <c r="BGM73" s="95"/>
      <c r="BGN73" s="95"/>
      <c r="BGO73" s="95"/>
      <c r="BGP73" s="95"/>
      <c r="BGQ73" s="95"/>
      <c r="BGR73" s="95"/>
      <c r="BGS73" s="95"/>
      <c r="BGT73" s="95"/>
      <c r="BGU73" s="95"/>
      <c r="BGV73" s="95"/>
      <c r="BGW73" s="95"/>
      <c r="BGX73" s="95"/>
      <c r="BGY73" s="95"/>
      <c r="BGZ73" s="95"/>
      <c r="BHA73" s="95"/>
      <c r="BHB73" s="95"/>
      <c r="BHC73" s="95"/>
      <c r="BHD73" s="95"/>
      <c r="BHE73" s="95"/>
      <c r="BHF73" s="95"/>
      <c r="BHG73" s="95"/>
      <c r="BHH73" s="95"/>
      <c r="BHI73" s="95"/>
      <c r="BHJ73" s="95"/>
      <c r="BHK73" s="95"/>
      <c r="BHL73" s="95"/>
      <c r="BHM73" s="95"/>
      <c r="BHN73" s="95"/>
      <c r="BHO73" s="95"/>
      <c r="BHP73" s="95"/>
      <c r="BHQ73" s="95"/>
      <c r="BHR73" s="95"/>
      <c r="BHS73" s="95"/>
      <c r="BHT73" s="95"/>
      <c r="BHU73" s="95"/>
      <c r="BHV73" s="95"/>
      <c r="BHW73" s="95"/>
      <c r="BHX73" s="95"/>
      <c r="BHY73" s="95"/>
      <c r="BHZ73" s="95"/>
      <c r="BIA73" s="95"/>
      <c r="BIB73" s="95"/>
      <c r="BIC73" s="95"/>
      <c r="BID73" s="95"/>
      <c r="BIE73" s="95"/>
      <c r="BIF73" s="95"/>
      <c r="BIG73" s="95"/>
      <c r="BIH73" s="95"/>
      <c r="BII73" s="95"/>
      <c r="BIJ73" s="95"/>
      <c r="BIK73" s="95"/>
      <c r="BIL73" s="95"/>
      <c r="BIM73" s="95"/>
      <c r="BIN73" s="95"/>
      <c r="BIO73" s="95"/>
      <c r="BIP73" s="95"/>
      <c r="BIQ73" s="95"/>
      <c r="BIR73" s="95"/>
      <c r="BIS73" s="95"/>
      <c r="BIT73" s="95"/>
      <c r="BIU73" s="95"/>
      <c r="BIV73" s="95"/>
      <c r="BIW73" s="95"/>
      <c r="BIX73" s="95"/>
      <c r="BIY73" s="95"/>
      <c r="BIZ73" s="95"/>
      <c r="BJA73" s="95"/>
      <c r="BJB73" s="95"/>
      <c r="BJC73" s="95"/>
      <c r="BJD73" s="95"/>
      <c r="BJE73" s="95"/>
      <c r="BJF73" s="95"/>
      <c r="BJG73" s="95"/>
      <c r="BJH73" s="95"/>
      <c r="BJI73" s="95"/>
      <c r="BJJ73" s="95"/>
      <c r="BJK73" s="95"/>
      <c r="BJL73" s="95"/>
      <c r="BJM73" s="95"/>
      <c r="BJN73" s="95"/>
      <c r="BJO73" s="95"/>
      <c r="BJP73" s="95"/>
      <c r="BJQ73" s="95"/>
      <c r="BJR73" s="95"/>
      <c r="BJS73" s="95"/>
      <c r="BJT73" s="95"/>
      <c r="BJU73" s="95"/>
      <c r="BJV73" s="95"/>
      <c r="BJW73" s="95"/>
      <c r="BJX73" s="95"/>
      <c r="BJY73" s="95"/>
      <c r="BJZ73" s="95"/>
      <c r="BKA73" s="95"/>
      <c r="BKB73" s="95"/>
      <c r="BKC73" s="95"/>
      <c r="BKD73" s="95"/>
      <c r="BKE73" s="95"/>
      <c r="BKF73" s="95"/>
      <c r="BKG73" s="95"/>
      <c r="BKH73" s="95"/>
      <c r="BKI73" s="95"/>
      <c r="BKJ73" s="95"/>
      <c r="BKK73" s="95"/>
      <c r="BKL73" s="95"/>
      <c r="BKM73" s="95"/>
      <c r="BKN73" s="95"/>
      <c r="BKO73" s="95"/>
      <c r="BKP73" s="95"/>
      <c r="BKQ73" s="95"/>
      <c r="BKR73" s="95"/>
      <c r="BKS73" s="95"/>
      <c r="BKT73" s="95"/>
      <c r="BKU73" s="95"/>
      <c r="BKV73" s="95"/>
      <c r="BKW73" s="95"/>
      <c r="BKX73" s="95"/>
      <c r="BKY73" s="95"/>
      <c r="BKZ73" s="95"/>
      <c r="BLA73" s="95"/>
      <c r="BLB73" s="95"/>
      <c r="BLC73" s="95"/>
      <c r="BLD73" s="95"/>
      <c r="BLE73" s="95"/>
      <c r="BLF73" s="95"/>
      <c r="BLG73" s="95"/>
      <c r="BLH73" s="95"/>
      <c r="BLI73" s="95"/>
      <c r="BLJ73" s="95"/>
      <c r="BLK73" s="95"/>
      <c r="BLL73" s="95"/>
      <c r="BLM73" s="95"/>
      <c r="BLN73" s="95"/>
      <c r="BLO73" s="95"/>
      <c r="BLP73" s="95"/>
      <c r="BLQ73" s="95"/>
      <c r="BLR73" s="95"/>
      <c r="BLS73" s="95"/>
      <c r="BLT73" s="95"/>
      <c r="BLU73" s="95"/>
      <c r="BLV73" s="95"/>
      <c r="BLW73" s="95"/>
      <c r="BLX73" s="95"/>
      <c r="BLY73" s="95"/>
      <c r="BLZ73" s="95"/>
      <c r="BMA73" s="95"/>
      <c r="BMB73" s="95"/>
      <c r="BMC73" s="95"/>
      <c r="BMD73" s="95"/>
      <c r="BME73" s="95"/>
      <c r="BMF73" s="95"/>
      <c r="BMG73" s="95"/>
      <c r="BMH73" s="95"/>
      <c r="BMI73" s="95"/>
      <c r="BMJ73" s="95"/>
      <c r="BMK73" s="95"/>
      <c r="BML73" s="95"/>
      <c r="BMM73" s="95"/>
      <c r="BMN73" s="95"/>
      <c r="BMO73" s="95"/>
      <c r="BMP73" s="95"/>
      <c r="BMQ73" s="95"/>
      <c r="BMR73" s="95"/>
      <c r="BMS73" s="95"/>
      <c r="BMT73" s="95"/>
      <c r="BMU73" s="95"/>
      <c r="BMV73" s="95"/>
      <c r="BMW73" s="95"/>
      <c r="BMX73" s="95"/>
      <c r="BMY73" s="95"/>
      <c r="BMZ73" s="95"/>
      <c r="BNA73" s="95"/>
      <c r="BNB73" s="95"/>
      <c r="BNC73" s="95"/>
      <c r="BND73" s="95"/>
      <c r="BNE73" s="95"/>
      <c r="BNF73" s="95"/>
      <c r="BNG73" s="95"/>
      <c r="BNH73" s="95"/>
      <c r="BNI73" s="95"/>
      <c r="BNJ73" s="95"/>
      <c r="BNK73" s="95"/>
      <c r="BNL73" s="95"/>
      <c r="BNM73" s="95"/>
      <c r="BNN73" s="95"/>
      <c r="BNO73" s="95"/>
      <c r="BNP73" s="95"/>
      <c r="BNQ73" s="95"/>
      <c r="BNR73" s="95"/>
      <c r="BNS73" s="95"/>
      <c r="BNT73" s="95"/>
      <c r="BNU73" s="95"/>
      <c r="BNV73" s="95"/>
      <c r="BNW73" s="95"/>
      <c r="BNX73" s="95"/>
      <c r="BNY73" s="95"/>
      <c r="BNZ73" s="95"/>
      <c r="BOA73" s="95"/>
      <c r="BOB73" s="95"/>
      <c r="BOC73" s="95"/>
      <c r="BOD73" s="95"/>
      <c r="BOE73" s="95"/>
      <c r="BOF73" s="95"/>
      <c r="BOG73" s="95"/>
      <c r="BOH73" s="95"/>
      <c r="BOI73" s="95"/>
      <c r="BOJ73" s="95"/>
      <c r="BOK73" s="95"/>
      <c r="BOL73" s="95"/>
      <c r="BOM73" s="95"/>
      <c r="BON73" s="95"/>
      <c r="BOO73" s="95"/>
      <c r="BOP73" s="95"/>
      <c r="BOQ73" s="95"/>
      <c r="BOR73" s="95"/>
      <c r="BOS73" s="95"/>
      <c r="BOT73" s="95"/>
      <c r="BOU73" s="95"/>
      <c r="BOV73" s="95"/>
      <c r="BOW73" s="95"/>
      <c r="BOX73" s="95"/>
      <c r="BOY73" s="95"/>
      <c r="BOZ73" s="95"/>
      <c r="BPA73" s="95"/>
      <c r="BPB73" s="95"/>
      <c r="BPC73" s="95"/>
      <c r="BPD73" s="95"/>
      <c r="BPE73" s="95"/>
      <c r="BPF73" s="95"/>
      <c r="BPG73" s="95"/>
      <c r="BPH73" s="95"/>
      <c r="BPI73" s="95"/>
      <c r="BPJ73" s="95"/>
      <c r="BPK73" s="95"/>
      <c r="BPL73" s="95"/>
      <c r="BPM73" s="95"/>
      <c r="BPN73" s="95"/>
      <c r="BPO73" s="95"/>
      <c r="BPP73" s="95"/>
      <c r="BPQ73" s="95"/>
      <c r="BPR73" s="95"/>
      <c r="BPS73" s="95"/>
      <c r="BPT73" s="95"/>
      <c r="BPU73" s="95"/>
      <c r="BPV73" s="95"/>
      <c r="BPW73" s="95"/>
      <c r="BPX73" s="95"/>
      <c r="BPY73" s="95"/>
      <c r="BPZ73" s="95"/>
      <c r="BQA73" s="95"/>
      <c r="BQB73" s="95"/>
      <c r="BQC73" s="95"/>
      <c r="BQD73" s="95"/>
      <c r="BQE73" s="95"/>
      <c r="BQF73" s="95"/>
      <c r="BQG73" s="95"/>
      <c r="BQH73" s="95"/>
      <c r="BQI73" s="95"/>
      <c r="BQJ73" s="95"/>
      <c r="BQK73" s="95"/>
      <c r="BQL73" s="95"/>
      <c r="BQM73" s="95"/>
      <c r="BQN73" s="95"/>
      <c r="BQO73" s="95"/>
      <c r="BQP73" s="95"/>
      <c r="BQQ73" s="95"/>
      <c r="BQR73" s="95"/>
      <c r="BQS73" s="95"/>
      <c r="BQT73" s="95"/>
      <c r="BQU73" s="95"/>
      <c r="BQV73" s="95"/>
      <c r="BQW73" s="95"/>
      <c r="BQX73" s="95"/>
      <c r="BQY73" s="95"/>
      <c r="BQZ73" s="95"/>
      <c r="BRA73" s="95"/>
      <c r="BRB73" s="95"/>
      <c r="BRC73" s="95"/>
      <c r="BRD73" s="95"/>
      <c r="BRE73" s="95"/>
      <c r="BRF73" s="95"/>
      <c r="BRG73" s="95"/>
      <c r="BRH73" s="95"/>
      <c r="BRI73" s="95"/>
      <c r="BRJ73" s="95"/>
      <c r="BRK73" s="95"/>
      <c r="BRL73" s="95"/>
      <c r="BRM73" s="95"/>
      <c r="BRN73" s="95"/>
      <c r="BRO73" s="95"/>
      <c r="BRP73" s="95"/>
      <c r="BRQ73" s="95"/>
      <c r="BRR73" s="95"/>
      <c r="BRS73" s="95"/>
      <c r="BRT73" s="95"/>
      <c r="BRU73" s="95"/>
      <c r="BRV73" s="95"/>
      <c r="BRW73" s="95"/>
      <c r="BRX73" s="95"/>
      <c r="BRY73" s="95"/>
      <c r="BRZ73" s="95"/>
      <c r="BSA73" s="95"/>
      <c r="BSB73" s="95"/>
      <c r="BSC73" s="95"/>
      <c r="BSD73" s="95"/>
      <c r="BSE73" s="95"/>
      <c r="BSF73" s="95"/>
      <c r="BSG73" s="95"/>
      <c r="BSH73" s="95"/>
      <c r="BSI73" s="95"/>
      <c r="BSJ73" s="95"/>
      <c r="BSK73" s="95"/>
      <c r="BSL73" s="95"/>
      <c r="BSM73" s="95"/>
      <c r="BSN73" s="95"/>
      <c r="BSO73" s="95"/>
      <c r="BSP73" s="95"/>
      <c r="BSQ73" s="95"/>
      <c r="BSR73" s="95"/>
      <c r="BSS73" s="95"/>
      <c r="BST73" s="95"/>
      <c r="BSU73" s="95"/>
      <c r="BSV73" s="95"/>
      <c r="BSW73" s="95"/>
      <c r="BSX73" s="95"/>
      <c r="BSY73" s="95"/>
      <c r="BSZ73" s="95"/>
      <c r="BTA73" s="95"/>
      <c r="BTB73" s="95"/>
      <c r="BTC73" s="95"/>
      <c r="BTD73" s="95"/>
      <c r="BTE73" s="95"/>
      <c r="BTF73" s="95"/>
      <c r="BTG73" s="95"/>
      <c r="BTH73" s="95"/>
      <c r="BTI73" s="95"/>
      <c r="BTJ73" s="95"/>
      <c r="BTK73" s="95"/>
      <c r="BTL73" s="95"/>
      <c r="BTM73" s="95"/>
      <c r="BTN73" s="95"/>
      <c r="BTO73" s="95"/>
      <c r="BTP73" s="95"/>
      <c r="BTQ73" s="95"/>
      <c r="BTR73" s="95"/>
      <c r="BTS73" s="95"/>
      <c r="BTT73" s="95"/>
      <c r="BTU73" s="95"/>
      <c r="BTV73" s="95"/>
      <c r="BTW73" s="95"/>
      <c r="BTX73" s="95"/>
      <c r="BTY73" s="95"/>
      <c r="BTZ73" s="95"/>
      <c r="BUA73" s="95"/>
      <c r="BUB73" s="95"/>
      <c r="BUC73" s="95"/>
      <c r="BUD73" s="95"/>
      <c r="BUE73" s="95"/>
      <c r="BUF73" s="95"/>
      <c r="BUG73" s="95"/>
      <c r="BUH73" s="95"/>
      <c r="BUI73" s="95"/>
      <c r="BUJ73" s="95"/>
      <c r="BUK73" s="95"/>
      <c r="BUL73" s="95"/>
      <c r="BUM73" s="95"/>
      <c r="BUN73" s="95"/>
      <c r="BUO73" s="95"/>
      <c r="BUP73" s="95"/>
      <c r="BUQ73" s="95"/>
      <c r="BUR73" s="95"/>
      <c r="BUS73" s="95"/>
      <c r="BUT73" s="95"/>
      <c r="BUU73" s="95"/>
      <c r="BUV73" s="95"/>
      <c r="BUW73" s="95"/>
      <c r="BUX73" s="95"/>
      <c r="BUY73" s="95"/>
      <c r="BUZ73" s="95"/>
      <c r="BVA73" s="95"/>
      <c r="BVB73" s="95"/>
      <c r="BVC73" s="95"/>
      <c r="BVD73" s="95"/>
      <c r="BVE73" s="95"/>
      <c r="BVF73" s="95"/>
      <c r="BVG73" s="95"/>
      <c r="BVH73" s="95"/>
      <c r="BVI73" s="95"/>
      <c r="BVJ73" s="95"/>
      <c r="BVK73" s="95"/>
      <c r="BVL73" s="95"/>
      <c r="BVM73" s="95"/>
      <c r="BVN73" s="95"/>
      <c r="BVO73" s="95"/>
      <c r="BVP73" s="95"/>
      <c r="BVQ73" s="95"/>
      <c r="BVR73" s="95"/>
      <c r="BVS73" s="95"/>
      <c r="BVT73" s="95"/>
      <c r="BVU73" s="95"/>
      <c r="BVV73" s="95"/>
      <c r="BVW73" s="95"/>
      <c r="BVX73" s="95"/>
      <c r="BVY73" s="95"/>
      <c r="BVZ73" s="95"/>
      <c r="BWA73" s="95"/>
      <c r="BWB73" s="95"/>
      <c r="BWC73" s="95"/>
      <c r="BWD73" s="95"/>
      <c r="BWE73" s="95"/>
      <c r="BWF73" s="95"/>
      <c r="BWG73" s="95"/>
      <c r="BWH73" s="95"/>
      <c r="BWI73" s="95"/>
      <c r="BWJ73" s="95"/>
      <c r="BWK73" s="95"/>
      <c r="BWL73" s="95"/>
      <c r="BWM73" s="95"/>
      <c r="BWN73" s="95"/>
      <c r="BWO73" s="95"/>
      <c r="BWP73" s="95"/>
      <c r="BWQ73" s="95"/>
      <c r="BWR73" s="95"/>
      <c r="BWS73" s="95"/>
      <c r="BWT73" s="95"/>
      <c r="BWU73" s="95"/>
      <c r="BWV73" s="95"/>
      <c r="BWW73" s="95"/>
      <c r="BWX73" s="95"/>
      <c r="BWY73" s="95"/>
      <c r="BWZ73" s="95"/>
      <c r="BXA73" s="95"/>
      <c r="BXB73" s="95"/>
      <c r="BXC73" s="95"/>
      <c r="BXD73" s="95"/>
      <c r="BXE73" s="95"/>
      <c r="BXF73" s="95"/>
      <c r="BXG73" s="95"/>
      <c r="BXH73" s="95"/>
      <c r="BXI73" s="95"/>
      <c r="BXJ73" s="95"/>
      <c r="BXK73" s="95"/>
      <c r="BXL73" s="95"/>
      <c r="BXM73" s="95"/>
      <c r="BXN73" s="95"/>
      <c r="BXO73" s="95"/>
      <c r="BXP73" s="95"/>
      <c r="BXQ73" s="95"/>
      <c r="BXR73" s="95"/>
      <c r="BXS73" s="95"/>
      <c r="BXT73" s="95"/>
      <c r="BXU73" s="95"/>
      <c r="BXV73" s="95"/>
      <c r="BXW73" s="95"/>
      <c r="BXX73" s="95"/>
      <c r="BXY73" s="95"/>
      <c r="BXZ73" s="95"/>
      <c r="BYA73" s="95"/>
      <c r="BYB73" s="95"/>
      <c r="BYC73" s="95"/>
      <c r="BYD73" s="95"/>
      <c r="BYE73" s="95"/>
      <c r="BYF73" s="95"/>
      <c r="BYG73" s="95"/>
    </row>
    <row r="74" spans="1:2009" ht="15" customHeight="1" x14ac:dyDescent="0.25">
      <c r="A74" s="123"/>
      <c r="B74" s="319" t="s">
        <v>439</v>
      </c>
      <c r="C74" s="192"/>
      <c r="D74" s="192"/>
      <c r="E74" s="192"/>
      <c r="F74" s="192"/>
      <c r="G74" s="670"/>
    </row>
    <row r="75" spans="1:2009" ht="15" customHeight="1" x14ac:dyDescent="0.2">
      <c r="A75" s="123"/>
      <c r="B75" s="779" t="s">
        <v>465</v>
      </c>
      <c r="C75" s="192">
        <v>1984.89</v>
      </c>
      <c r="D75" s="192"/>
      <c r="E75" s="192"/>
      <c r="F75" s="192"/>
      <c r="G75" s="670"/>
    </row>
    <row r="76" spans="1:2009" ht="8.25" hidden="1" customHeight="1" x14ac:dyDescent="0.25">
      <c r="A76" s="123"/>
      <c r="B76" s="161"/>
      <c r="C76" s="609"/>
      <c r="D76" s="192"/>
      <c r="E76" s="192"/>
      <c r="F76" s="192"/>
      <c r="G76" s="670"/>
    </row>
    <row r="77" spans="1:2009" ht="14.25" customHeight="1" x14ac:dyDescent="0.25">
      <c r="A77" s="123"/>
      <c r="B77" s="560" t="s">
        <v>49</v>
      </c>
      <c r="C77" s="605">
        <f>3457.3+4369.7+156.64</f>
        <v>7983.64</v>
      </c>
      <c r="D77" s="609"/>
      <c r="E77" s="192"/>
      <c r="F77" s="192"/>
      <c r="G77" s="670"/>
    </row>
    <row r="78" spans="1:2009" ht="14.25" hidden="1" customHeight="1" x14ac:dyDescent="0.25">
      <c r="A78" s="123"/>
      <c r="B78" s="560" t="s">
        <v>411</v>
      </c>
      <c r="C78" s="193"/>
      <c r="D78" s="609"/>
      <c r="E78" s="192"/>
      <c r="F78" s="192"/>
      <c r="G78" s="670"/>
    </row>
    <row r="79" spans="1:2009" ht="14.25" hidden="1" customHeight="1" x14ac:dyDescent="0.25">
      <c r="A79" s="123"/>
      <c r="B79" s="560"/>
      <c r="C79" s="605"/>
      <c r="D79" s="609"/>
      <c r="E79" s="192"/>
      <c r="F79" s="192"/>
      <c r="G79" s="670"/>
    </row>
    <row r="80" spans="1:2009" ht="14.25" customHeight="1" x14ac:dyDescent="0.25">
      <c r="A80" s="123"/>
      <c r="B80" s="560" t="s">
        <v>469</v>
      </c>
      <c r="C80" s="605">
        <f>D48</f>
        <v>21276.44</v>
      </c>
      <c r="D80" s="609"/>
      <c r="E80" s="192"/>
      <c r="F80" s="192"/>
      <c r="G80" s="670"/>
    </row>
    <row r="81" spans="1:7" ht="14.25" hidden="1" customHeight="1" x14ac:dyDescent="0.25">
      <c r="A81" s="123"/>
      <c r="B81" s="560" t="s">
        <v>403</v>
      </c>
      <c r="C81" s="605"/>
      <c r="D81" s="609"/>
      <c r="E81" s="192"/>
      <c r="F81" s="192"/>
      <c r="G81" s="670"/>
    </row>
    <row r="82" spans="1:7" ht="14.25" customHeight="1" x14ac:dyDescent="0.25">
      <c r="A82" s="123"/>
      <c r="B82" s="560" t="s">
        <v>470</v>
      </c>
      <c r="C82" s="605">
        <f>D39</f>
        <v>3750</v>
      </c>
      <c r="D82" s="609"/>
      <c r="E82" s="192"/>
      <c r="F82" s="192"/>
      <c r="G82" s="670"/>
    </row>
    <row r="83" spans="1:7" ht="14.25" hidden="1" customHeight="1" x14ac:dyDescent="0.25">
      <c r="A83" s="123"/>
      <c r="B83" s="560" t="s">
        <v>407</v>
      </c>
      <c r="C83" s="605"/>
      <c r="D83" s="609"/>
      <c r="E83" s="192"/>
      <c r="F83" s="192"/>
      <c r="G83" s="670"/>
    </row>
    <row r="84" spans="1:7" ht="14.25" hidden="1" customHeight="1" x14ac:dyDescent="0.25">
      <c r="A84" s="123"/>
      <c r="B84" s="560" t="s">
        <v>429</v>
      </c>
      <c r="C84" s="605"/>
      <c r="D84" s="609"/>
      <c r="E84" s="192"/>
      <c r="F84" s="192"/>
      <c r="G84" s="670"/>
    </row>
    <row r="85" spans="1:7" ht="14.25" hidden="1" customHeight="1" x14ac:dyDescent="0.25">
      <c r="A85" s="123"/>
      <c r="B85" s="560"/>
      <c r="C85" s="605"/>
      <c r="D85" s="609"/>
      <c r="E85" s="192"/>
      <c r="F85" s="192"/>
      <c r="G85" s="670"/>
    </row>
    <row r="86" spans="1:7" ht="14.25" hidden="1" customHeight="1" x14ac:dyDescent="0.25">
      <c r="A86" s="123"/>
      <c r="B86" s="560" t="s">
        <v>387</v>
      </c>
      <c r="C86" s="605"/>
      <c r="D86" s="609"/>
      <c r="E86" s="192"/>
      <c r="F86" s="192"/>
      <c r="G86" s="670"/>
    </row>
    <row r="87" spans="1:7" ht="14.25" hidden="1" customHeight="1" x14ac:dyDescent="0.25">
      <c r="A87" s="123"/>
      <c r="B87" s="560"/>
      <c r="C87" s="605"/>
      <c r="D87" s="609"/>
      <c r="E87" s="192"/>
      <c r="F87" s="192"/>
      <c r="G87" s="670"/>
    </row>
    <row r="88" spans="1:7" ht="14.25" hidden="1" customHeight="1" x14ac:dyDescent="0.25">
      <c r="A88" s="123"/>
      <c r="B88" s="560" t="s">
        <v>409</v>
      </c>
      <c r="C88" s="605"/>
      <c r="D88" s="609"/>
      <c r="E88" s="192"/>
      <c r="F88" s="192"/>
      <c r="G88" s="670"/>
    </row>
    <row r="89" spans="1:7" ht="14.25" hidden="1" customHeight="1" x14ac:dyDescent="0.25">
      <c r="A89" s="123"/>
      <c r="B89" s="560" t="s">
        <v>410</v>
      </c>
      <c r="C89" s="605"/>
      <c r="D89" s="609"/>
      <c r="E89" s="192"/>
      <c r="F89" s="192"/>
      <c r="G89" s="670"/>
    </row>
    <row r="90" spans="1:7" ht="14.25" hidden="1" customHeight="1" x14ac:dyDescent="0.25">
      <c r="A90" s="123"/>
      <c r="B90" s="560" t="s">
        <v>430</v>
      </c>
      <c r="C90" s="605"/>
      <c r="D90" s="609"/>
      <c r="E90" s="192"/>
      <c r="F90" s="192"/>
      <c r="G90" s="670"/>
    </row>
    <row r="91" spans="1:7" ht="14.25" hidden="1" customHeight="1" x14ac:dyDescent="0.25">
      <c r="A91" s="123"/>
      <c r="B91" s="560" t="s">
        <v>408</v>
      </c>
      <c r="C91" s="605"/>
      <c r="D91" s="192"/>
      <c r="E91" s="192"/>
      <c r="F91" s="192"/>
      <c r="G91" s="670"/>
    </row>
    <row r="92" spans="1:7" ht="14.25" hidden="1" customHeight="1" x14ac:dyDescent="0.25">
      <c r="A92" s="123"/>
      <c r="B92" s="560" t="s">
        <v>406</v>
      </c>
      <c r="C92" s="605"/>
      <c r="D92" s="192"/>
      <c r="E92" s="192"/>
      <c r="F92" s="192"/>
      <c r="G92" s="670"/>
    </row>
    <row r="93" spans="1:7" ht="14.25" hidden="1" customHeight="1" x14ac:dyDescent="0.25">
      <c r="A93" s="123"/>
      <c r="B93" s="560" t="s">
        <v>405</v>
      </c>
      <c r="C93" s="605"/>
      <c r="D93" s="192"/>
      <c r="E93" s="192"/>
      <c r="F93" s="192"/>
      <c r="G93" s="670"/>
    </row>
    <row r="94" spans="1:7" ht="15" x14ac:dyDescent="0.25">
      <c r="A94" s="407"/>
      <c r="B94" s="162" t="s">
        <v>459</v>
      </c>
      <c r="C94" s="360">
        <f>SUM(C76:C93)</f>
        <v>33010.080000000002</v>
      </c>
      <c r="D94" s="193"/>
      <c r="E94" s="193"/>
      <c r="F94" s="193"/>
    </row>
    <row r="95" spans="1:7" ht="5.25" customHeight="1" x14ac:dyDescent="0.2">
      <c r="C95" s="193"/>
      <c r="D95" s="193"/>
      <c r="E95" s="193"/>
      <c r="F95" s="193"/>
    </row>
    <row r="96" spans="1:7" ht="15.75" thickBot="1" x14ac:dyDescent="0.3">
      <c r="B96" s="162" t="s">
        <v>471</v>
      </c>
      <c r="C96" s="393">
        <f>G70-C94</f>
        <v>289727.61999999994</v>
      </c>
      <c r="D96" s="193"/>
      <c r="E96" s="193"/>
      <c r="F96" s="193"/>
    </row>
    <row r="97" spans="2:6" ht="12" customHeight="1" thickTop="1" x14ac:dyDescent="0.2">
      <c r="C97" s="193"/>
      <c r="D97" s="193"/>
      <c r="E97" s="193"/>
      <c r="F97" s="193"/>
    </row>
    <row r="98" spans="2:6" ht="15.75" x14ac:dyDescent="0.25">
      <c r="B98" s="319" t="s">
        <v>182</v>
      </c>
      <c r="C98" s="193"/>
      <c r="D98" s="193"/>
      <c r="E98" s="193"/>
      <c r="F98" s="193"/>
    </row>
    <row r="99" spans="2:6" ht="16.5" hidden="1" customHeight="1" x14ac:dyDescent="0.2">
      <c r="B99" s="561"/>
      <c r="C99" s="562"/>
      <c r="D99" s="193"/>
      <c r="E99" s="193"/>
      <c r="F99" s="193"/>
    </row>
    <row r="100" spans="2:6" ht="16.5" hidden="1" customHeight="1" x14ac:dyDescent="0.2">
      <c r="B100" s="561"/>
      <c r="C100" s="562"/>
      <c r="D100" s="193"/>
      <c r="E100" s="193"/>
      <c r="F100" s="193"/>
    </row>
    <row r="101" spans="2:6" ht="16.5" hidden="1" customHeight="1" x14ac:dyDescent="0.2">
      <c r="B101" s="561"/>
      <c r="C101" s="562"/>
      <c r="D101" s="193"/>
      <c r="E101" s="193"/>
      <c r="F101" s="193"/>
    </row>
    <row r="102" spans="2:6" ht="16.5" hidden="1" customHeight="1" x14ac:dyDescent="0.2">
      <c r="B102" s="561"/>
      <c r="C102" s="562"/>
      <c r="D102" s="193"/>
      <c r="E102" s="193"/>
      <c r="F102" s="193"/>
    </row>
    <row r="103" spans="2:6" ht="15" hidden="1" x14ac:dyDescent="0.2">
      <c r="B103" s="534"/>
      <c r="C103" s="193"/>
      <c r="D103" s="193"/>
      <c r="E103" s="193"/>
      <c r="F103" s="193"/>
    </row>
    <row r="104" spans="2:6" hidden="1" x14ac:dyDescent="0.2">
      <c r="B104" s="437"/>
      <c r="C104" s="193"/>
      <c r="D104" s="193"/>
      <c r="E104" s="193"/>
      <c r="F104" s="193"/>
    </row>
    <row r="105" spans="2:6" hidden="1" x14ac:dyDescent="0.2">
      <c r="B105" s="437"/>
      <c r="C105" s="193"/>
      <c r="D105" s="193"/>
      <c r="E105" s="193"/>
      <c r="F105" s="193"/>
    </row>
    <row r="106" spans="2:6" hidden="1" x14ac:dyDescent="0.2">
      <c r="B106" s="437"/>
      <c r="C106" s="193"/>
      <c r="D106" s="193"/>
      <c r="E106" s="193"/>
      <c r="F106" s="193"/>
    </row>
    <row r="107" spans="2:6" hidden="1" x14ac:dyDescent="0.2">
      <c r="B107" s="437"/>
      <c r="C107" s="193"/>
      <c r="D107" s="193"/>
      <c r="E107" s="193"/>
      <c r="F107" s="193"/>
    </row>
    <row r="108" spans="2:6" hidden="1" x14ac:dyDescent="0.2">
      <c r="B108" s="437"/>
      <c r="C108" s="193"/>
      <c r="D108" s="193"/>
      <c r="E108" s="193"/>
      <c r="F108" s="193"/>
    </row>
    <row r="109" spans="2:6" hidden="1" x14ac:dyDescent="0.2">
      <c r="B109" s="437"/>
      <c r="C109" s="365"/>
      <c r="D109" s="193"/>
      <c r="E109" s="193"/>
      <c r="F109" s="193"/>
    </row>
    <row r="110" spans="2:6" x14ac:dyDescent="0.2">
      <c r="B110" s="437" t="s">
        <v>458</v>
      </c>
      <c r="C110" s="365">
        <v>1500</v>
      </c>
      <c r="D110" s="193"/>
      <c r="E110" s="193"/>
      <c r="F110" s="193"/>
    </row>
    <row r="111" spans="2:6" x14ac:dyDescent="0.2">
      <c r="B111" s="437" t="s">
        <v>466</v>
      </c>
      <c r="C111" s="365">
        <v>15000</v>
      </c>
      <c r="D111" s="193"/>
      <c r="E111" s="193"/>
      <c r="F111" s="193"/>
    </row>
    <row r="112" spans="2:6" x14ac:dyDescent="0.2">
      <c r="B112" s="437" t="s">
        <v>467</v>
      </c>
      <c r="C112" s="365">
        <v>197400</v>
      </c>
      <c r="D112" s="193"/>
      <c r="E112" s="193"/>
      <c r="F112" s="193"/>
    </row>
    <row r="113" spans="2:6" x14ac:dyDescent="0.2">
      <c r="B113" s="437" t="s">
        <v>468</v>
      </c>
      <c r="C113" s="365">
        <v>430</v>
      </c>
      <c r="D113" s="193"/>
      <c r="E113" s="193"/>
      <c r="F113" s="193"/>
    </row>
    <row r="114" spans="2:6" x14ac:dyDescent="0.2">
      <c r="B114" s="437"/>
      <c r="C114" s="365"/>
      <c r="D114" s="193"/>
      <c r="E114" s="193"/>
      <c r="F114" s="193"/>
    </row>
    <row r="115" spans="2:6" hidden="1" x14ac:dyDescent="0.2">
      <c r="B115" s="437"/>
      <c r="C115" s="365"/>
      <c r="D115" s="193"/>
      <c r="E115" s="193"/>
      <c r="F115" s="193"/>
    </row>
    <row r="116" spans="2:6" hidden="1" x14ac:dyDescent="0.2">
      <c r="B116" s="437"/>
      <c r="C116" s="365"/>
      <c r="D116" s="193"/>
      <c r="E116" s="193"/>
      <c r="F116" s="193"/>
    </row>
    <row r="117" spans="2:6" ht="16.5" customHeight="1" x14ac:dyDescent="0.25">
      <c r="B117" s="446" t="s">
        <v>278</v>
      </c>
      <c r="C117" s="365"/>
      <c r="D117" s="193"/>
      <c r="E117" s="193"/>
      <c r="F117" s="193"/>
    </row>
    <row r="118" spans="2:6" ht="16.5" hidden="1" customHeight="1" x14ac:dyDescent="0.25">
      <c r="B118" s="560"/>
      <c r="C118" s="562"/>
      <c r="D118" s="193"/>
      <c r="E118" s="193"/>
      <c r="F118" s="193"/>
    </row>
    <row r="119" spans="2:6" ht="16.5" customHeight="1" x14ac:dyDescent="0.25">
      <c r="B119" s="560"/>
      <c r="C119" s="562"/>
      <c r="D119" s="193"/>
      <c r="E119" s="193"/>
      <c r="F119" s="193"/>
    </row>
    <row r="120" spans="2:6" ht="18.75" customHeight="1" x14ac:dyDescent="0.25">
      <c r="B120" s="560"/>
      <c r="C120" s="193"/>
      <c r="D120" s="193"/>
      <c r="E120" s="193"/>
      <c r="F120" s="193"/>
    </row>
    <row r="121" spans="2:6" ht="17.25" hidden="1" customHeight="1" thickBot="1" x14ac:dyDescent="0.25">
      <c r="C121" s="621">
        <f>SUM(C118:C120)</f>
        <v>0</v>
      </c>
      <c r="D121" s="193"/>
      <c r="E121" s="193"/>
      <c r="F121" s="193"/>
    </row>
    <row r="122" spans="2:6" ht="12" customHeight="1" x14ac:dyDescent="0.2">
      <c r="C122" s="193"/>
      <c r="D122" s="193"/>
      <c r="E122" s="193"/>
      <c r="F122" s="193"/>
    </row>
    <row r="123" spans="2:6" ht="12" customHeight="1" x14ac:dyDescent="0.2">
      <c r="C123" s="193"/>
      <c r="D123" s="193"/>
      <c r="E123" s="193"/>
      <c r="F123" s="193"/>
    </row>
    <row r="124" spans="2:6" ht="12" customHeight="1" x14ac:dyDescent="0.2">
      <c r="C124" s="193"/>
      <c r="D124" s="193"/>
      <c r="E124" s="193"/>
      <c r="F124" s="193"/>
    </row>
    <row r="125" spans="2:6" ht="12" customHeight="1" x14ac:dyDescent="0.2">
      <c r="C125" s="193"/>
      <c r="D125" s="193"/>
      <c r="E125" s="193"/>
      <c r="F125" s="193"/>
    </row>
    <row r="126" spans="2:6" ht="12" customHeight="1" x14ac:dyDescent="0.2">
      <c r="C126" s="193"/>
      <c r="D126" s="193"/>
      <c r="E126" s="193"/>
      <c r="F126" s="193"/>
    </row>
    <row r="127" spans="2:6" ht="12" customHeight="1" x14ac:dyDescent="0.2">
      <c r="C127" s="193"/>
      <c r="D127" s="193"/>
      <c r="E127" s="193"/>
      <c r="F127" s="193"/>
    </row>
    <row r="128" spans="2: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3:6" ht="12" customHeight="1" x14ac:dyDescent="0.2">
      <c r="C161" s="193"/>
      <c r="D161" s="193"/>
      <c r="E161" s="193"/>
      <c r="F161" s="193"/>
    </row>
    <row r="162" spans="3:6" ht="12" customHeight="1" x14ac:dyDescent="0.2">
      <c r="C162" s="193"/>
      <c r="D162" s="193"/>
      <c r="E162" s="193"/>
      <c r="F162" s="193"/>
    </row>
    <row r="163" spans="3:6" ht="12" customHeight="1" x14ac:dyDescent="0.2">
      <c r="C163" s="193"/>
      <c r="D163" s="193"/>
      <c r="E163" s="193"/>
      <c r="F163" s="193"/>
    </row>
    <row r="164" spans="3:6" ht="12" customHeight="1" x14ac:dyDescent="0.2">
      <c r="C164" s="193"/>
      <c r="D164" s="193"/>
      <c r="E164" s="193"/>
      <c r="F164" s="193"/>
    </row>
    <row r="165" spans="3:6" ht="12" customHeight="1" x14ac:dyDescent="0.2">
      <c r="C165" s="193"/>
      <c r="D165" s="193"/>
      <c r="E165" s="193"/>
      <c r="F165" s="193"/>
    </row>
    <row r="166" spans="3:6" ht="12" customHeight="1" x14ac:dyDescent="0.2">
      <c r="C166" s="193"/>
      <c r="D166" s="193"/>
      <c r="E166" s="193"/>
      <c r="F166" s="193"/>
    </row>
    <row r="167" spans="3:6" ht="12" customHeight="1" x14ac:dyDescent="0.2">
      <c r="C167" s="193"/>
      <c r="D167" s="193"/>
      <c r="E167" s="193"/>
      <c r="F167" s="193"/>
    </row>
    <row r="168" spans="3:6" ht="12" customHeight="1" x14ac:dyDescent="0.2">
      <c r="C168" s="193"/>
      <c r="D168" s="193"/>
      <c r="E168" s="193"/>
      <c r="F168" s="193"/>
    </row>
    <row r="169" spans="3:6" ht="12" customHeight="1" x14ac:dyDescent="0.2">
      <c r="C169" s="193"/>
      <c r="D169" s="193"/>
      <c r="E169" s="193"/>
      <c r="F169" s="193"/>
    </row>
    <row r="170" spans="3:6" ht="12" customHeight="1" x14ac:dyDescent="0.2">
      <c r="C170" s="193"/>
      <c r="D170" s="193"/>
      <c r="E170" s="193"/>
      <c r="F170" s="193"/>
    </row>
    <row r="171" spans="3:6" ht="12" customHeight="1" x14ac:dyDescent="0.2">
      <c r="C171" s="193"/>
      <c r="D171" s="193"/>
      <c r="E171" s="193"/>
      <c r="F171" s="193"/>
    </row>
    <row r="172" spans="3:6" ht="12" customHeight="1" x14ac:dyDescent="0.2">
      <c r="C172" s="193"/>
      <c r="D172" s="193"/>
      <c r="E172" s="193"/>
      <c r="F172" s="193"/>
    </row>
    <row r="173" spans="3:6" ht="12" customHeight="1" x14ac:dyDescent="0.2">
      <c r="C173" s="193"/>
      <c r="D173" s="193"/>
      <c r="E173" s="193"/>
      <c r="F173" s="193"/>
    </row>
    <row r="174" spans="3:6" ht="12" customHeight="1" x14ac:dyDescent="0.2">
      <c r="C174" s="193"/>
      <c r="D174" s="193"/>
      <c r="E174" s="193"/>
      <c r="F174" s="193"/>
    </row>
    <row r="175" spans="3:6" ht="12" customHeight="1" x14ac:dyDescent="0.2">
      <c r="C175" s="193"/>
      <c r="D175" s="193"/>
      <c r="E175" s="193"/>
      <c r="F175" s="193"/>
    </row>
    <row r="176" spans="3:6" ht="12" customHeight="1" x14ac:dyDescent="0.2">
      <c r="C176" s="193"/>
      <c r="D176" s="193"/>
      <c r="E176" s="193"/>
      <c r="F176" s="193"/>
    </row>
    <row r="177" spans="2:6" ht="12" customHeight="1" x14ac:dyDescent="0.2">
      <c r="C177" s="193"/>
      <c r="D177" s="193"/>
      <c r="E177" s="193"/>
      <c r="F177" s="193"/>
    </row>
    <row r="178" spans="2:6" ht="12" customHeight="1" x14ac:dyDescent="0.2">
      <c r="C178" s="193"/>
      <c r="D178" s="193"/>
      <c r="E178" s="193"/>
      <c r="F178" s="193"/>
    </row>
    <row r="179" spans="2:6" ht="12" customHeight="1" x14ac:dyDescent="0.2">
      <c r="C179" s="193"/>
      <c r="D179" s="193"/>
      <c r="E179" s="193"/>
      <c r="F179" s="193"/>
    </row>
    <row r="180" spans="2:6" ht="12" customHeight="1" x14ac:dyDescent="0.2">
      <c r="C180" s="193"/>
      <c r="D180" s="193"/>
      <c r="E180" s="193"/>
      <c r="F180" s="193"/>
    </row>
    <row r="181" spans="2:6" ht="12" customHeight="1" x14ac:dyDescent="0.2">
      <c r="C181" s="193"/>
      <c r="D181" s="193"/>
      <c r="E181" s="193"/>
      <c r="F181" s="193"/>
    </row>
    <row r="182" spans="2:6" ht="12" customHeight="1" x14ac:dyDescent="0.2">
      <c r="C182" s="193"/>
      <c r="D182" s="193"/>
      <c r="E182" s="193"/>
      <c r="F182" s="193"/>
    </row>
    <row r="183" spans="2:6" ht="12" customHeight="1" x14ac:dyDescent="0.2">
      <c r="C183" s="193"/>
      <c r="D183" s="193"/>
      <c r="E183" s="193"/>
      <c r="F183" s="193"/>
    </row>
    <row r="184" spans="2:6" ht="14.25" customHeight="1" x14ac:dyDescent="0.2"/>
    <row r="185" spans="2:6" ht="15.75" hidden="1" x14ac:dyDescent="0.25">
      <c r="B185" s="359"/>
      <c r="C185" s="229"/>
    </row>
    <row r="186" spans="2:6" ht="15" hidden="1" x14ac:dyDescent="0.25">
      <c r="B186" s="320"/>
      <c r="C186" s="361"/>
    </row>
    <row r="187" spans="2:6" ht="15" hidden="1" x14ac:dyDescent="0.25">
      <c r="B187" s="320"/>
      <c r="C187" s="365"/>
    </row>
    <row r="188" spans="2:6" ht="15" hidden="1" x14ac:dyDescent="0.25">
      <c r="B188" s="320"/>
      <c r="C188" s="193"/>
    </row>
    <row r="189" spans="2:6" hidden="1" x14ac:dyDescent="0.2">
      <c r="B189" s="283"/>
    </row>
    <row r="190" spans="2:6" hidden="1" x14ac:dyDescent="0.2">
      <c r="B190" s="283"/>
    </row>
    <row r="191" spans="2:6" hidden="1" x14ac:dyDescent="0.2">
      <c r="B191" s="283"/>
    </row>
    <row r="192" spans="2:6" hidden="1" x14ac:dyDescent="0.2"/>
    <row r="193" spans="2:14" hidden="1" x14ac:dyDescent="0.2"/>
    <row r="194" spans="2:14" hidden="1" x14ac:dyDescent="0.2">
      <c r="C194" s="317">
        <v>41698</v>
      </c>
      <c r="D194" s="317">
        <v>41609</v>
      </c>
      <c r="E194" s="317">
        <v>41548</v>
      </c>
      <c r="F194" s="317">
        <v>41487</v>
      </c>
      <c r="G194" s="633">
        <v>41426</v>
      </c>
      <c r="H194" s="317">
        <v>41365</v>
      </c>
      <c r="I194" s="776">
        <v>41306</v>
      </c>
      <c r="J194" s="317">
        <v>41274</v>
      </c>
      <c r="K194" s="317">
        <v>41213</v>
      </c>
      <c r="L194" s="317">
        <v>41152</v>
      </c>
      <c r="M194" s="318">
        <v>41090</v>
      </c>
      <c r="N194" s="317">
        <v>41029</v>
      </c>
    </row>
    <row r="195" spans="2:14" hidden="1" x14ac:dyDescent="0.2">
      <c r="B195" s="58" t="s">
        <v>137</v>
      </c>
      <c r="C195" s="229">
        <f>C70</f>
        <v>108482.39</v>
      </c>
      <c r="D195" s="229">
        <f>105452.64+311868.06-305987</f>
        <v>111333.70000000001</v>
      </c>
      <c r="E195" s="229">
        <v>85798.300000000017</v>
      </c>
      <c r="F195" s="193">
        <f>53253.08+18642.89</f>
        <v>71895.97</v>
      </c>
      <c r="G195" s="633">
        <v>126315</v>
      </c>
      <c r="H195" s="193">
        <v>69404</v>
      </c>
      <c r="I195" s="776">
        <v>75744</v>
      </c>
      <c r="J195" s="193">
        <v>119840.47</v>
      </c>
      <c r="K195" s="193">
        <v>120024</v>
      </c>
      <c r="L195" s="193">
        <v>109142</v>
      </c>
      <c r="M195" s="316">
        <v>142216.66</v>
      </c>
      <c r="N195" s="193">
        <v>104785.62</v>
      </c>
    </row>
    <row r="196" spans="2:14" hidden="1" x14ac:dyDescent="0.2">
      <c r="B196" s="58" t="s">
        <v>138</v>
      </c>
      <c r="C196" s="229">
        <f>D70</f>
        <v>161184.15</v>
      </c>
      <c r="D196" s="229">
        <f>74767.18-13600.56</f>
        <v>61166.619999999995</v>
      </c>
      <c r="E196" s="229">
        <v>86248.31</v>
      </c>
      <c r="F196" s="193">
        <v>43187.16</v>
      </c>
      <c r="G196" s="633">
        <v>60049</v>
      </c>
      <c r="H196" s="193">
        <v>101941</v>
      </c>
      <c r="I196" s="776">
        <v>43152</v>
      </c>
      <c r="J196" s="193">
        <v>58938.2</v>
      </c>
      <c r="K196" s="193">
        <v>85767</v>
      </c>
      <c r="L196" s="193">
        <v>119436</v>
      </c>
      <c r="M196" s="316">
        <v>73223.850000000006</v>
      </c>
      <c r="N196" s="193">
        <v>86907.23</v>
      </c>
    </row>
    <row r="197" spans="2:14" hidden="1" x14ac:dyDescent="0.2">
      <c r="B197" s="58" t="s">
        <v>139</v>
      </c>
      <c r="C197" s="229">
        <f>E70</f>
        <v>50367.17</v>
      </c>
      <c r="D197" s="229">
        <f>66720.93-13675.33</f>
        <v>53045.599999999991</v>
      </c>
      <c r="E197" s="229">
        <v>32950.589999999997</v>
      </c>
      <c r="F197" s="193">
        <v>65970.55</v>
      </c>
      <c r="G197" s="633">
        <v>18719</v>
      </c>
      <c r="H197" s="193">
        <v>3668</v>
      </c>
      <c r="I197" s="776">
        <v>50430</v>
      </c>
      <c r="J197" s="193">
        <v>88408.17</v>
      </c>
      <c r="K197" s="193">
        <v>26680</v>
      </c>
      <c r="L197" s="193">
        <v>51922</v>
      </c>
      <c r="M197" s="316">
        <v>77261.37</v>
      </c>
      <c r="N197" s="193">
        <v>11021.67</v>
      </c>
    </row>
    <row r="198" spans="2:14" hidden="1" x14ac:dyDescent="0.2">
      <c r="B198" s="58" t="s">
        <v>140</v>
      </c>
      <c r="C198" s="229">
        <f>F70</f>
        <v>2703.99</v>
      </c>
      <c r="D198" s="229">
        <v>86322.43</v>
      </c>
      <c r="E198" s="229">
        <v>66109.450000000012</v>
      </c>
      <c r="F198" s="193">
        <v>56011.13</v>
      </c>
      <c r="G198" s="633">
        <v>1250</v>
      </c>
      <c r="H198" s="193">
        <v>0</v>
      </c>
      <c r="I198" s="776">
        <v>9959</v>
      </c>
      <c r="J198" s="193">
        <v>18374.45</v>
      </c>
      <c r="K198" s="193">
        <v>22103</v>
      </c>
      <c r="L198" s="193">
        <v>71168</v>
      </c>
      <c r="M198" s="316">
        <v>55167.87</v>
      </c>
      <c r="N198" s="193"/>
    </row>
    <row r="199" spans="2:14" hidden="1" x14ac:dyDescent="0.2">
      <c r="C199" s="229">
        <f>SUM(C195:C198)</f>
        <v>322737.69999999995</v>
      </c>
      <c r="D199" s="229">
        <f>SUM(D195:D198)</f>
        <v>311868.34999999998</v>
      </c>
      <c r="E199" s="229">
        <v>271106.65000000002</v>
      </c>
      <c r="F199" s="193">
        <f>SUM(F195:F198)</f>
        <v>237064.81</v>
      </c>
      <c r="G199" s="633">
        <f t="shared" ref="G199:N199" si="5">SUM(G195:G198)</f>
        <v>206333</v>
      </c>
      <c r="H199" s="193">
        <f t="shared" si="5"/>
        <v>175013</v>
      </c>
      <c r="I199" s="776">
        <f t="shared" si="5"/>
        <v>179285</v>
      </c>
      <c r="J199" s="193">
        <f t="shared" si="5"/>
        <v>285561.28999999998</v>
      </c>
      <c r="K199" s="193">
        <f t="shared" si="5"/>
        <v>254574</v>
      </c>
      <c r="L199" s="193">
        <f t="shared" si="5"/>
        <v>351668</v>
      </c>
      <c r="M199" s="193">
        <f t="shared" si="5"/>
        <v>347869.75</v>
      </c>
      <c r="N199" s="193">
        <f t="shared" si="5"/>
        <v>202714.52</v>
      </c>
    </row>
    <row r="200" spans="2:14" hidden="1" x14ac:dyDescent="0.2">
      <c r="D200" s="193"/>
      <c r="E200" s="193"/>
      <c r="F200" s="193"/>
      <c r="H200" s="193"/>
      <c r="I200" s="776"/>
      <c r="J200" s="193"/>
      <c r="K200" s="193"/>
      <c r="L200" s="316"/>
    </row>
    <row r="201" spans="2:14" hidden="1" x14ac:dyDescent="0.2">
      <c r="C201" s="193"/>
      <c r="D201" s="193"/>
      <c r="E201" s="193"/>
      <c r="F201" s="193"/>
      <c r="H201" s="316"/>
      <c r="J201" s="316"/>
      <c r="K201" s="316"/>
    </row>
    <row r="202" spans="2:14" hidden="1" x14ac:dyDescent="0.2">
      <c r="C202" s="193"/>
      <c r="D202" s="193"/>
      <c r="E202" s="193"/>
      <c r="F202" s="193"/>
      <c r="H202" s="316"/>
      <c r="J202" s="316"/>
      <c r="K202" s="316"/>
    </row>
    <row r="203" spans="2:14" hidden="1" x14ac:dyDescent="0.2"/>
    <row r="204" spans="2:14" hidden="1" x14ac:dyDescent="0.2"/>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5"/>
  <sheetViews>
    <sheetView zoomScale="75" zoomScaleNormal="75" workbookViewId="0"/>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176</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52</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53</v>
      </c>
      <c r="B6" s="65"/>
      <c r="C6" s="65"/>
      <c r="D6" s="65"/>
      <c r="E6" s="65"/>
      <c r="F6" s="65"/>
      <c r="G6" s="242"/>
      <c r="H6" s="826" t="s">
        <v>54</v>
      </c>
      <c r="I6" s="826"/>
      <c r="J6" s="826"/>
      <c r="K6" s="242"/>
      <c r="L6" s="242"/>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55</v>
      </c>
      <c r="C8" s="154"/>
      <c r="D8" s="154"/>
      <c r="E8" s="154"/>
      <c r="F8" s="154"/>
      <c r="G8" s="330"/>
      <c r="H8" s="285">
        <v>43951</v>
      </c>
      <c r="I8" s="285"/>
      <c r="J8" s="285">
        <v>43830</v>
      </c>
      <c r="K8" s="72"/>
      <c r="L8" s="285">
        <f>H8-366</f>
        <v>43585</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56</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82</v>
      </c>
      <c r="E11" s="76"/>
      <c r="F11" s="76"/>
      <c r="G11" s="264"/>
      <c r="H11" s="264" t="s">
        <v>105</v>
      </c>
      <c r="I11" s="264"/>
      <c r="J11" s="264" t="s">
        <v>105</v>
      </c>
      <c r="K11" s="77"/>
      <c r="L11" s="264" t="s">
        <v>105</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83</v>
      </c>
      <c r="E12" s="76"/>
      <c r="F12" s="76"/>
      <c r="G12" s="264"/>
      <c r="H12" s="264" t="s">
        <v>105</v>
      </c>
      <c r="I12" s="264"/>
      <c r="J12" s="264" t="s">
        <v>105</v>
      </c>
      <c r="K12" s="77"/>
      <c r="L12" s="264" t="s">
        <v>105</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185</v>
      </c>
      <c r="E13" s="76"/>
      <c r="F13" s="76"/>
      <c r="G13" s="246"/>
      <c r="H13" s="246">
        <v>173230.55</v>
      </c>
      <c r="I13" s="246"/>
      <c r="J13" s="246">
        <v>189055.83</v>
      </c>
      <c r="K13" s="77"/>
      <c r="L13" s="246">
        <v>268537</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186</v>
      </c>
      <c r="E14" s="76"/>
      <c r="F14" s="76"/>
      <c r="G14" s="236"/>
      <c r="H14" s="236">
        <v>724.07</v>
      </c>
      <c r="I14" s="236"/>
      <c r="J14" s="236">
        <v>200</v>
      </c>
      <c r="K14" s="77"/>
      <c r="L14" s="236">
        <v>36039</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84</v>
      </c>
      <c r="E15" s="79"/>
      <c r="F15" s="79"/>
      <c r="G15" s="234"/>
      <c r="H15" s="237">
        <v>200</v>
      </c>
      <c r="I15" s="234"/>
      <c r="J15" s="237">
        <v>200</v>
      </c>
      <c r="K15" s="77"/>
      <c r="L15" s="23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57</v>
      </c>
      <c r="D16" s="74"/>
      <c r="E16" s="74"/>
      <c r="F16" s="74"/>
      <c r="G16" s="238"/>
      <c r="H16" s="238">
        <f>SUM(H13:H15)</f>
        <v>174154.62</v>
      </c>
      <c r="I16" s="238"/>
      <c r="J16" s="238">
        <f>SUM(J13:J15)</f>
        <v>189455.83</v>
      </c>
      <c r="K16" s="69"/>
      <c r="L16" s="238">
        <f>ROUND(SUM(L10:L15),5)</f>
        <v>304776</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6"/>
      <c r="H17" s="236"/>
      <c r="I17" s="236"/>
      <c r="J17" s="236"/>
      <c r="K17" s="69"/>
      <c r="L17" s="23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59</v>
      </c>
      <c r="D18" s="74"/>
      <c r="E18" s="74"/>
      <c r="F18" s="74"/>
      <c r="G18" s="236"/>
      <c r="H18" s="236"/>
      <c r="I18" s="236"/>
      <c r="J18" s="236"/>
      <c r="K18" s="69"/>
      <c r="L18" s="23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155</v>
      </c>
      <c r="E19" s="80"/>
      <c r="F19" s="80"/>
      <c r="G19" s="284"/>
      <c r="H19" s="284">
        <f>'April''20 AR Aging '!G70</f>
        <v>322737.69999999995</v>
      </c>
      <c r="I19" s="284"/>
      <c r="J19" s="284">
        <v>298499.96000000002</v>
      </c>
      <c r="K19" s="249"/>
      <c r="L19" s="284">
        <v>265482</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399"/>
      <c r="B20" s="401"/>
      <c r="C20" s="80"/>
      <c r="D20" s="80" t="s">
        <v>168</v>
      </c>
      <c r="E20" s="80"/>
      <c r="F20" s="80"/>
      <c r="G20" s="284"/>
      <c r="H20" s="234">
        <v>1041.4000000000001</v>
      </c>
      <c r="I20" s="284"/>
      <c r="J20" s="284">
        <v>2550</v>
      </c>
      <c r="K20" s="249"/>
      <c r="L20" s="284">
        <v>386</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401"/>
      <c r="C21" s="76"/>
      <c r="D21" s="76" t="s">
        <v>222</v>
      </c>
      <c r="E21" s="76"/>
      <c r="F21" s="76"/>
      <c r="G21" s="236"/>
      <c r="H21" s="236">
        <v>175055.83</v>
      </c>
      <c r="I21" s="236"/>
      <c r="J21" s="236">
        <v>184417.26</v>
      </c>
      <c r="K21" s="249"/>
      <c r="L21" s="236">
        <v>174601</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401"/>
      <c r="C22" s="79"/>
      <c r="D22" s="79" t="s">
        <v>85</v>
      </c>
      <c r="E22" s="79"/>
      <c r="F22" s="79"/>
      <c r="G22" s="234"/>
      <c r="H22" s="237">
        <f>6393.05</f>
        <v>6393.05</v>
      </c>
      <c r="I22" s="234"/>
      <c r="J22" s="408">
        <v>3897.37</v>
      </c>
      <c r="K22" s="249"/>
      <c r="L22" s="237">
        <v>7715</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60</v>
      </c>
      <c r="D23" s="68"/>
      <c r="E23" s="68"/>
      <c r="F23" s="68"/>
      <c r="G23" s="239"/>
      <c r="H23" s="239">
        <f>SUM(H19:H22)</f>
        <v>505227.97999999992</v>
      </c>
      <c r="I23" s="239"/>
      <c r="J23" s="239">
        <f>SUM(J19:J22)</f>
        <v>489364.59</v>
      </c>
      <c r="K23" s="265"/>
      <c r="L23" s="239">
        <f>SUM(L19:L22)</f>
        <v>448184</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4"/>
      <c r="H24" s="234"/>
      <c r="I24" s="234"/>
      <c r="J24" s="234"/>
      <c r="K24" s="69"/>
      <c r="L24" s="23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81" t="s">
        <v>61</v>
      </c>
      <c r="C25" s="81"/>
      <c r="D25" s="81"/>
      <c r="E25" s="81"/>
      <c r="F25" s="81"/>
      <c r="G25" s="239"/>
      <c r="H25" s="777">
        <f>H16+H23</f>
        <v>679382.59999999986</v>
      </c>
      <c r="I25" s="239"/>
      <c r="J25" s="777">
        <f>J16+J23</f>
        <v>678820.42</v>
      </c>
      <c r="K25" s="69"/>
      <c r="L25" s="777">
        <f>L16+L23</f>
        <v>752960</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74"/>
      <c r="D26" s="74"/>
      <c r="E26" s="74"/>
      <c r="F26" s="74"/>
      <c r="G26" s="239"/>
      <c r="H26" s="238"/>
      <c r="I26" s="239"/>
      <c r="J26" s="238"/>
      <c r="K26" s="69"/>
      <c r="L26" s="23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62</v>
      </c>
      <c r="C27" s="71"/>
      <c r="D27" s="71"/>
      <c r="E27" s="71"/>
      <c r="F27" s="71"/>
      <c r="G27" s="270"/>
      <c r="H27" s="240"/>
      <c r="I27" s="270"/>
      <c r="J27" s="240"/>
      <c r="K27" s="72"/>
      <c r="L27" s="240"/>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401"/>
      <c r="C28" s="76"/>
      <c r="D28" s="76" t="s">
        <v>86</v>
      </c>
      <c r="E28" s="76"/>
      <c r="F28" s="76"/>
      <c r="G28" s="234"/>
      <c r="H28" s="236">
        <v>221731.4</v>
      </c>
      <c r="I28" s="234"/>
      <c r="J28" s="236">
        <v>221731.4</v>
      </c>
      <c r="K28" s="249"/>
      <c r="L28" s="236">
        <v>192474.47</v>
      </c>
      <c r="M28" s="77"/>
      <c r="N28" s="77"/>
      <c r="O28" s="77"/>
      <c r="P28" s="249"/>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401"/>
      <c r="C29" s="76"/>
      <c r="D29" s="76" t="s">
        <v>87</v>
      </c>
      <c r="E29" s="76"/>
      <c r="F29" s="76"/>
      <c r="G29" s="234"/>
      <c r="H29" s="236">
        <v>49562</v>
      </c>
      <c r="I29" s="234"/>
      <c r="J29" s="236">
        <v>49562</v>
      </c>
      <c r="K29" s="249"/>
      <c r="L29" s="23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401"/>
      <c r="C30" s="76"/>
      <c r="D30" s="76" t="s">
        <v>88</v>
      </c>
      <c r="E30" s="76"/>
      <c r="F30" s="76"/>
      <c r="G30" s="234"/>
      <c r="H30" s="236">
        <v>207734.77</v>
      </c>
      <c r="I30" s="234"/>
      <c r="J30" s="236">
        <v>207734.77</v>
      </c>
      <c r="K30" s="249"/>
      <c r="L30" s="236">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89</v>
      </c>
      <c r="E31" s="80"/>
      <c r="F31" s="80"/>
      <c r="G31" s="234"/>
      <c r="H31" s="234">
        <v>-324036.03999999998</v>
      </c>
      <c r="I31" s="234"/>
      <c r="J31" s="234">
        <v>-324036.03999999998</v>
      </c>
      <c r="K31" s="249"/>
      <c r="L31" s="234">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336</v>
      </c>
      <c r="C32" s="81"/>
      <c r="D32" s="81"/>
      <c r="E32" s="81"/>
      <c r="F32" s="81"/>
      <c r="G32" s="239"/>
      <c r="H32" s="241">
        <v>186783.62</v>
      </c>
      <c r="I32" s="239"/>
      <c r="J32" s="241">
        <v>199783.62</v>
      </c>
      <c r="K32" s="69"/>
      <c r="L32" s="241">
        <v>145564</v>
      </c>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39"/>
      <c r="H33" s="238"/>
      <c r="I33" s="239"/>
      <c r="J33" s="238"/>
      <c r="K33" s="69"/>
      <c r="L33" s="23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4"/>
      <c r="H34" s="234"/>
      <c r="I34" s="234"/>
      <c r="J34" s="234"/>
      <c r="K34" s="69"/>
      <c r="L34" s="23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63</v>
      </c>
      <c r="B35" s="82"/>
      <c r="C35" s="82"/>
      <c r="D35" s="82"/>
      <c r="E35" s="82"/>
      <c r="F35" s="82"/>
      <c r="G35" s="272"/>
      <c r="H35" s="247">
        <f>H25+H32</f>
        <v>866166.21999999986</v>
      </c>
      <c r="I35" s="272"/>
      <c r="J35" s="247">
        <f>J25+J32</f>
        <v>878604.04</v>
      </c>
      <c r="K35" s="83"/>
      <c r="L35" s="247">
        <f>L25+L32</f>
        <v>898524</v>
      </c>
      <c r="M35" s="83"/>
      <c r="N35" s="83"/>
      <c r="O35" s="83"/>
      <c r="P35" s="627"/>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2"/>
      <c r="H36" s="239"/>
      <c r="I36" s="239"/>
      <c r="J36" s="239"/>
      <c r="K36" s="85"/>
      <c r="L36" s="239"/>
      <c r="M36" s="85"/>
      <c r="N36" s="85"/>
      <c r="O36" s="85"/>
      <c r="P36" s="412"/>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64</v>
      </c>
      <c r="B37" s="65"/>
      <c r="C37" s="65"/>
      <c r="D37" s="65"/>
      <c r="E37" s="65"/>
      <c r="F37" s="65"/>
      <c r="G37" s="331"/>
      <c r="H37" s="242"/>
      <c r="I37" s="242"/>
      <c r="J37" s="242"/>
      <c r="K37" s="66"/>
      <c r="L37" s="242"/>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6"/>
      <c r="H38" s="236"/>
      <c r="I38" s="234"/>
      <c r="J38" s="236"/>
      <c r="K38" s="69"/>
      <c r="L38" s="23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65</v>
      </c>
      <c r="C39" s="88"/>
      <c r="D39" s="88"/>
      <c r="E39" s="88"/>
      <c r="F39" s="88"/>
      <c r="G39" s="243"/>
      <c r="H39" s="243"/>
      <c r="I39" s="243"/>
      <c r="J39" s="243"/>
      <c r="K39" s="69"/>
      <c r="L39" s="243"/>
      <c r="M39" s="69"/>
      <c r="N39" s="69"/>
      <c r="O39" s="69"/>
      <c r="P39" s="398"/>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4"/>
      <c r="H40" s="236"/>
      <c r="I40" s="234"/>
      <c r="J40" s="236"/>
      <c r="K40" s="69"/>
      <c r="L40" s="23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66</v>
      </c>
      <c r="C41" s="155"/>
      <c r="D41" s="154"/>
      <c r="E41" s="154"/>
      <c r="F41" s="154"/>
      <c r="G41" s="270"/>
      <c r="H41" s="235"/>
      <c r="I41" s="270"/>
      <c r="J41" s="235"/>
      <c r="K41" s="72"/>
      <c r="L41" s="23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156</v>
      </c>
      <c r="F42" s="76"/>
      <c r="G42" s="248"/>
      <c r="H42" s="248">
        <f>7653.59+350</f>
        <v>8003.59</v>
      </c>
      <c r="I42" s="248"/>
      <c r="J42" s="248">
        <v>26751.47</v>
      </c>
      <c r="K42" s="389"/>
      <c r="L42" s="248">
        <v>28324</v>
      </c>
      <c r="M42" s="77"/>
      <c r="N42" s="389"/>
      <c r="O42" s="77"/>
      <c r="P42" s="778"/>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102</v>
      </c>
      <c r="F43" s="76"/>
      <c r="G43" s="234"/>
      <c r="H43" s="234">
        <v>1893.11</v>
      </c>
      <c r="I43" s="234"/>
      <c r="J43" s="234">
        <v>1080.58</v>
      </c>
      <c r="K43" s="77"/>
      <c r="L43" s="234">
        <v>890.2</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76"/>
      <c r="B44" s="76"/>
      <c r="C44" s="76"/>
      <c r="D44" s="80" t="s">
        <v>90</v>
      </c>
      <c r="F44" s="76"/>
      <c r="G44" s="234"/>
      <c r="H44" s="236"/>
      <c r="I44" s="236"/>
      <c r="J44" s="236">
        <v>21664</v>
      </c>
      <c r="K44" s="77"/>
      <c r="L44" s="236">
        <v>3650.4</v>
      </c>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hidden="1" x14ac:dyDescent="0.2">
      <c r="A45" s="76"/>
      <c r="B45" s="76"/>
      <c r="C45" s="76"/>
      <c r="D45" s="80" t="s">
        <v>163</v>
      </c>
      <c r="F45" s="76"/>
      <c r="G45" s="234"/>
      <c r="H45" s="236">
        <v>0</v>
      </c>
      <c r="I45" s="236"/>
      <c r="J45" s="236">
        <v>0</v>
      </c>
      <c r="K45" s="77"/>
      <c r="L45" s="236">
        <v>0</v>
      </c>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x14ac:dyDescent="0.2">
      <c r="A46" s="76"/>
      <c r="B46" s="76"/>
      <c r="C46" s="76"/>
      <c r="D46" s="79" t="s">
        <v>101</v>
      </c>
      <c r="E46" s="153"/>
      <c r="F46" s="79"/>
      <c r="G46" s="234"/>
      <c r="H46" s="236">
        <f>'April 20 Revenues &amp; Expenses'!L45</f>
        <v>59975.950000000004</v>
      </c>
      <c r="I46" s="329"/>
      <c r="J46" s="236">
        <v>35714.43</v>
      </c>
      <c r="K46" s="249"/>
      <c r="L46" s="236">
        <v>67281</v>
      </c>
      <c r="M46" s="77"/>
      <c r="N46" s="77"/>
      <c r="O46" s="77"/>
      <c r="P46" s="249"/>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81" t="s">
        <v>77</v>
      </c>
      <c r="D47" s="76"/>
      <c r="F47" s="76"/>
      <c r="G47" s="234"/>
      <c r="H47" s="244">
        <f>SUM(H42:H46)</f>
        <v>69872.650000000009</v>
      </c>
      <c r="I47" s="329"/>
      <c r="J47" s="244">
        <f>SUM(J42:J46)</f>
        <v>85210.48000000001</v>
      </c>
      <c r="K47" s="77"/>
      <c r="L47" s="244">
        <f>SUM(L42:L46)</f>
        <v>100145.60000000001</v>
      </c>
      <c r="M47" s="77"/>
      <c r="N47" s="77"/>
      <c r="O47" s="77"/>
      <c r="P47" s="778"/>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9.75" customHeight="1" x14ac:dyDescent="0.2">
      <c r="A48" s="76"/>
      <c r="B48" s="76"/>
      <c r="C48" s="76"/>
      <c r="D48" s="76"/>
      <c r="E48" s="76"/>
      <c r="F48" s="76"/>
      <c r="G48" s="234"/>
      <c r="H48" s="236"/>
      <c r="I48" s="329"/>
      <c r="J48" s="236"/>
      <c r="K48" s="77"/>
      <c r="L48" s="236"/>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20.25" x14ac:dyDescent="0.2">
      <c r="A49" s="76"/>
      <c r="B49" s="76"/>
      <c r="C49" s="89" t="s">
        <v>79</v>
      </c>
      <c r="D49" s="89"/>
      <c r="E49" s="153"/>
      <c r="F49" s="153"/>
      <c r="G49" s="234"/>
      <c r="H49" s="237"/>
      <c r="I49" s="329"/>
      <c r="J49" s="237"/>
      <c r="K49" s="77"/>
      <c r="L49" s="23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76"/>
      <c r="D50" s="76" t="s">
        <v>93</v>
      </c>
      <c r="E50" s="76"/>
      <c r="F50" s="76"/>
      <c r="G50" s="234"/>
      <c r="H50" s="234">
        <f>13626.87+3877.94-H52-H53</f>
        <v>16113.880000000001</v>
      </c>
      <c r="I50" s="329"/>
      <c r="J50" s="234">
        <f>24080.32+1024.34-J52-J53</f>
        <v>24365.399999999998</v>
      </c>
      <c r="K50" s="77"/>
      <c r="L50" s="234">
        <v>45512</v>
      </c>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94</v>
      </c>
      <c r="E51" s="76"/>
      <c r="F51" s="76"/>
      <c r="G51" s="234"/>
      <c r="H51" s="234">
        <v>33172.61</v>
      </c>
      <c r="I51" s="329"/>
      <c r="J51" s="234">
        <v>18883.43</v>
      </c>
      <c r="K51" s="77"/>
      <c r="L51" s="234">
        <v>26037</v>
      </c>
      <c r="M51" s="77"/>
      <c r="N51" s="77"/>
      <c r="O51" s="77"/>
      <c r="P51" s="77"/>
      <c r="Q51" s="249"/>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95</v>
      </c>
      <c r="E52" s="76"/>
      <c r="F52" s="76"/>
      <c r="G52" s="234"/>
      <c r="H52" s="236">
        <v>927.72</v>
      </c>
      <c r="I52" s="329"/>
      <c r="J52" s="236">
        <v>548.55999999999995</v>
      </c>
      <c r="K52" s="77"/>
      <c r="L52" s="236">
        <v>1527.6</v>
      </c>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96</v>
      </c>
      <c r="E53" s="76"/>
      <c r="F53" s="76"/>
      <c r="G53" s="234"/>
      <c r="H53" s="237">
        <v>463.21</v>
      </c>
      <c r="I53" s="329"/>
      <c r="J53" s="237">
        <v>190.7</v>
      </c>
      <c r="K53" s="77"/>
      <c r="L53" s="237">
        <v>151.69999999999999</v>
      </c>
      <c r="M53" s="77"/>
      <c r="N53" s="77"/>
      <c r="O53" s="77"/>
      <c r="P53" s="77"/>
      <c r="Q53" s="249"/>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68" t="s">
        <v>78</v>
      </c>
      <c r="D54" s="76"/>
      <c r="F54" s="80"/>
      <c r="G54" s="234"/>
      <c r="H54" s="234">
        <f>ROUND(SUM(H49:H53),5)</f>
        <v>50677.42</v>
      </c>
      <c r="I54" s="329"/>
      <c r="J54" s="234">
        <f>SUM(J50:J53)</f>
        <v>43988.09</v>
      </c>
      <c r="K54" s="77"/>
      <c r="L54" s="234">
        <f>ROUND(SUM(L49:L53),5)</f>
        <v>73228.3</v>
      </c>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7.5" customHeight="1" x14ac:dyDescent="0.2">
      <c r="A55" s="76"/>
      <c r="B55" s="76"/>
      <c r="C55" s="79"/>
      <c r="D55" s="79"/>
      <c r="E55" s="79"/>
      <c r="F55" s="79"/>
      <c r="G55" s="234"/>
      <c r="H55" s="237"/>
      <c r="I55" s="329"/>
      <c r="J55" s="237"/>
      <c r="K55" s="77"/>
      <c r="L55" s="23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5" customFormat="1" ht="20.25" x14ac:dyDescent="0.2">
      <c r="A56" s="74"/>
      <c r="B56" s="74"/>
      <c r="C56" s="74" t="s">
        <v>80</v>
      </c>
      <c r="D56" s="74"/>
      <c r="E56" s="74"/>
      <c r="F56" s="74"/>
      <c r="G56" s="239"/>
      <c r="H56" s="238">
        <f>H47+H54</f>
        <v>120550.07</v>
      </c>
      <c r="I56" s="394"/>
      <c r="J56" s="238">
        <f>J47+J54</f>
        <v>129198.57</v>
      </c>
      <c r="K56" s="265"/>
      <c r="L56" s="238">
        <f>L47+L54</f>
        <v>173373.90000000002</v>
      </c>
      <c r="M56" s="69"/>
      <c r="N56" s="349"/>
      <c r="O56" s="69"/>
      <c r="P56" s="34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row>
    <row r="57" spans="1:61" s="75" customFormat="1" ht="18.75" customHeight="1" x14ac:dyDescent="0.2">
      <c r="A57" s="74"/>
      <c r="B57" s="74"/>
      <c r="C57" s="74"/>
      <c r="D57" s="74"/>
      <c r="E57" s="74"/>
      <c r="F57" s="74"/>
      <c r="G57" s="239"/>
      <c r="H57" s="238"/>
      <c r="I57" s="394"/>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24" thickBot="1" x14ac:dyDescent="0.25">
      <c r="A58" s="74"/>
      <c r="B58" s="87" t="s">
        <v>67</v>
      </c>
      <c r="C58" s="88"/>
      <c r="D58" s="88"/>
      <c r="E58" s="88"/>
      <c r="F58" s="88"/>
      <c r="G58" s="234"/>
      <c r="H58" s="243"/>
      <c r="I58" s="329"/>
      <c r="J58" s="243"/>
      <c r="K58" s="69"/>
      <c r="L58" s="243"/>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8" customFormat="1" ht="20.25" x14ac:dyDescent="0.2">
      <c r="A59" s="76"/>
      <c r="B59" s="76"/>
      <c r="D59" s="76" t="s">
        <v>340</v>
      </c>
      <c r="E59" s="76"/>
      <c r="F59" s="76"/>
      <c r="G59" s="234"/>
      <c r="H59" s="236">
        <f>J59+J61</f>
        <v>720098.77</v>
      </c>
      <c r="I59" s="329"/>
      <c r="J59" s="236">
        <v>654189.64</v>
      </c>
      <c r="K59" s="249"/>
      <c r="L59" s="236">
        <f>J59</f>
        <v>654189.64</v>
      </c>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row>
    <row r="60" spans="1:61" s="78" customFormat="1" ht="20.25" x14ac:dyDescent="0.2">
      <c r="A60" s="76"/>
      <c r="B60" s="76"/>
      <c r="D60" s="76" t="s">
        <v>341</v>
      </c>
      <c r="E60" s="76"/>
      <c r="F60" s="76"/>
      <c r="G60" s="234"/>
      <c r="H60" s="236">
        <f>'April 20 Revenues &amp; Expenses'!L67</f>
        <v>64300.713333333333</v>
      </c>
      <c r="I60" s="329"/>
      <c r="J60" s="236">
        <v>29306.7</v>
      </c>
      <c r="K60" s="249"/>
      <c r="L60" s="236">
        <v>76742</v>
      </c>
      <c r="M60" s="77"/>
      <c r="N60" s="77"/>
      <c r="O60" s="249"/>
      <c r="P60" s="249"/>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5" customFormat="1" ht="21" thickBot="1" x14ac:dyDescent="0.25">
      <c r="A61" s="74"/>
      <c r="B61" s="74"/>
      <c r="D61" s="76" t="s">
        <v>135</v>
      </c>
      <c r="E61" s="74"/>
      <c r="F61" s="88"/>
      <c r="G61" s="329"/>
      <c r="H61" s="243">
        <f>'April''20 State of Activities'!G57</f>
        <v>-38783.220000000147</v>
      </c>
      <c r="I61" s="329"/>
      <c r="J61" s="243">
        <v>65909.13</v>
      </c>
      <c r="K61" s="69"/>
      <c r="L61" s="243">
        <f>'April''20 State of Activities'!J57</f>
        <v>-5781.5999999999185</v>
      </c>
      <c r="M61" s="69"/>
      <c r="N61" s="69"/>
      <c r="O61" s="69"/>
      <c r="P61" s="398"/>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row>
    <row r="62" spans="1:61" s="75" customFormat="1" ht="23.25" x14ac:dyDescent="0.2">
      <c r="A62" s="74"/>
      <c r="B62" s="90" t="s">
        <v>68</v>
      </c>
      <c r="C62" s="91"/>
      <c r="D62" s="91"/>
      <c r="E62" s="91"/>
      <c r="F62" s="68"/>
      <c r="G62" s="394"/>
      <c r="H62" s="239">
        <f>ROUND(SUM(H58:H61),5)</f>
        <v>745616.26332999999</v>
      </c>
      <c r="I62" s="394"/>
      <c r="J62" s="239">
        <f>ROUND(SUM(J58:J61),5)</f>
        <v>749405.47</v>
      </c>
      <c r="K62" s="69"/>
      <c r="L62" s="239">
        <f>ROUND(SUM(L58:L61),5)</f>
        <v>725150.04</v>
      </c>
      <c r="M62" s="69"/>
      <c r="N62" s="69"/>
      <c r="O62" s="69"/>
      <c r="P62" s="398"/>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12.75" customHeight="1" x14ac:dyDescent="0.2">
      <c r="A63" s="74"/>
      <c r="B63" s="74"/>
      <c r="C63" s="74"/>
      <c r="D63" s="74"/>
      <c r="E63" s="74"/>
      <c r="F63" s="74"/>
      <c r="G63" s="329"/>
      <c r="H63" s="237"/>
      <c r="I63" s="329"/>
      <c r="J63" s="237"/>
      <c r="K63" s="69"/>
      <c r="L63" s="237"/>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92" customFormat="1" ht="27" thickBot="1" x14ac:dyDescent="0.25">
      <c r="A64" s="82" t="s">
        <v>69</v>
      </c>
      <c r="B64" s="82"/>
      <c r="C64" s="82"/>
      <c r="D64" s="82"/>
      <c r="E64" s="82"/>
      <c r="F64" s="82"/>
      <c r="G64" s="395"/>
      <c r="H64" s="362">
        <f>SUM(H56+H62)</f>
        <v>866166.33333000005</v>
      </c>
      <c r="I64" s="395"/>
      <c r="J64" s="362">
        <f>SUM(J56+J62)</f>
        <v>878604.04</v>
      </c>
      <c r="K64" s="83"/>
      <c r="L64" s="362">
        <f>SUM(L56+L62)</f>
        <v>898523.94000000006</v>
      </c>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row>
    <row r="65" spans="3:12" ht="15" thickTop="1" x14ac:dyDescent="0.2">
      <c r="D65" s="350"/>
      <c r="G65" s="1"/>
      <c r="I65" s="1"/>
    </row>
    <row r="66" spans="3:12" hidden="1" x14ac:dyDescent="0.2">
      <c r="G66" s="396"/>
      <c r="H66" s="251"/>
      <c r="I66" s="251"/>
      <c r="J66" s="251"/>
      <c r="L66" s="251"/>
    </row>
    <row r="67" spans="3:12" ht="14.25" customHeight="1" x14ac:dyDescent="0.2">
      <c r="C67" s="825" t="s">
        <v>208</v>
      </c>
      <c r="D67" s="825"/>
      <c r="E67" s="825"/>
      <c r="F67" s="825"/>
      <c r="G67" s="1"/>
      <c r="H67" s="448">
        <f>(H19+H16)/H56</f>
        <v>4.1218750018145984</v>
      </c>
      <c r="J67" s="448">
        <v>3.7805007540674778</v>
      </c>
      <c r="K67" s="265"/>
      <c r="L67" s="448">
        <f>(L19+L16)/L56</f>
        <v>3.2891802053250223</v>
      </c>
    </row>
    <row r="70" spans="3:12" x14ac:dyDescent="0.2">
      <c r="G70" s="275"/>
      <c r="H70" s="251">
        <f>H64-H35</f>
        <v>0.11333000019658357</v>
      </c>
      <c r="I70" s="275"/>
      <c r="J70" s="251">
        <f>J64-J35</f>
        <v>0</v>
      </c>
      <c r="L70" s="251">
        <f>L64-L35</f>
        <v>-5.9999999939464033E-2</v>
      </c>
    </row>
    <row r="71" spans="3:12" x14ac:dyDescent="0.2">
      <c r="L71" s="610"/>
    </row>
    <row r="75" spans="3:12" x14ac:dyDescent="0.2">
      <c r="H75" s="275"/>
    </row>
  </sheetData>
  <mergeCells count="2">
    <mergeCell ref="C67:F67"/>
    <mergeCell ref="H6:J6"/>
  </mergeCells>
  <pageMargins left="0.7" right="0.45" top="0.25" bottom="0" header="0.3" footer="0"/>
  <pageSetup scale="71"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zoomScale="75" zoomScaleNormal="75" workbookViewId="0"/>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5" customWidth="1"/>
    <col min="8" max="8" width="23.125" style="18" customWidth="1"/>
    <col min="9" max="9" width="1.625" style="18" customWidth="1"/>
    <col min="10" max="10" width="23" style="18" customWidth="1"/>
    <col min="11" max="11" width="1.875" style="375" customWidth="1"/>
    <col min="12" max="12" width="17.25" style="18" customWidth="1"/>
    <col min="13" max="13" width="10" style="18" customWidth="1"/>
    <col min="14" max="14" width="48.875" style="543"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100</v>
      </c>
      <c r="B1" s="60"/>
      <c r="C1" s="61"/>
      <c r="D1" s="61"/>
      <c r="E1" s="61"/>
      <c r="F1" s="60"/>
      <c r="G1" s="232"/>
      <c r="H1" s="60"/>
      <c r="I1" s="60"/>
      <c r="J1" s="60"/>
      <c r="K1" s="367"/>
      <c r="L1" s="60"/>
      <c r="M1" s="60"/>
      <c r="N1" s="535"/>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345</v>
      </c>
      <c r="B2" s="60"/>
      <c r="C2" s="61"/>
      <c r="D2" s="61"/>
      <c r="E2" s="61"/>
      <c r="F2" s="60"/>
      <c r="G2" s="232"/>
      <c r="H2" s="60"/>
      <c r="I2" s="60"/>
      <c r="J2" s="232"/>
      <c r="K2" s="367"/>
      <c r="L2" s="60"/>
      <c r="M2" s="60"/>
      <c r="N2" s="535"/>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454</v>
      </c>
      <c r="B3" s="60"/>
      <c r="C3" s="61"/>
      <c r="D3" s="61"/>
      <c r="E3" s="61"/>
      <c r="F3" s="60"/>
      <c r="G3" s="232"/>
      <c r="H3" s="60"/>
      <c r="I3" s="60"/>
      <c r="J3" s="60"/>
      <c r="K3" s="367"/>
      <c r="L3" s="60"/>
      <c r="M3" s="60"/>
      <c r="N3" s="535"/>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455</v>
      </c>
      <c r="B4" s="60"/>
      <c r="C4" s="61"/>
      <c r="D4" s="61"/>
      <c r="E4" s="61"/>
      <c r="F4" s="60"/>
      <c r="G4" s="232"/>
      <c r="H4" s="60"/>
      <c r="I4" s="60"/>
      <c r="J4" s="60"/>
      <c r="K4" s="367"/>
      <c r="L4" s="60"/>
      <c r="M4" s="60"/>
      <c r="N4" s="535"/>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3"/>
      <c r="H5" s="63"/>
      <c r="I5" s="63"/>
      <c r="J5" s="63"/>
      <c r="K5" s="368"/>
      <c r="L5" s="63"/>
      <c r="M5" s="63"/>
      <c r="N5" s="536"/>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114</v>
      </c>
      <c r="B6" s="65"/>
      <c r="C6" s="65"/>
      <c r="D6" s="65"/>
      <c r="E6" s="65"/>
      <c r="F6" s="65"/>
      <c r="G6" s="826" t="s">
        <v>54</v>
      </c>
      <c r="H6" s="826"/>
      <c r="I6" s="826"/>
      <c r="J6" s="826"/>
      <c r="K6" s="617"/>
      <c r="L6" s="426" t="s">
        <v>189</v>
      </c>
      <c r="M6" s="423" t="s">
        <v>202</v>
      </c>
      <c r="N6" s="617" t="s">
        <v>188</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4"/>
      <c r="K7" s="370"/>
      <c r="N7" s="537"/>
    </row>
    <row r="8" spans="1:113" s="73" customFormat="1" ht="21" thickBot="1" x14ac:dyDescent="0.35">
      <c r="A8" s="70"/>
      <c r="B8" s="154" t="s">
        <v>106</v>
      </c>
      <c r="C8" s="154"/>
      <c r="D8" s="154"/>
      <c r="E8" s="154"/>
      <c r="F8" s="154"/>
      <c r="G8" s="285">
        <f>'April''20 Financial Position'!H8</f>
        <v>43951</v>
      </c>
      <c r="H8" s="285">
        <v>43830</v>
      </c>
      <c r="I8" s="330"/>
      <c r="J8" s="285">
        <f>G8-366</f>
        <v>43585</v>
      </c>
      <c r="K8" s="371"/>
      <c r="L8" s="827" t="s">
        <v>456</v>
      </c>
      <c r="M8" s="827"/>
      <c r="N8" s="538"/>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107</v>
      </c>
      <c r="D9" s="76"/>
      <c r="E9" s="76"/>
      <c r="F9" s="74"/>
      <c r="G9" s="266">
        <v>245914.64</v>
      </c>
      <c r="H9" s="266">
        <v>820785.61</v>
      </c>
      <c r="I9" s="333"/>
      <c r="J9" s="266">
        <v>285570.23</v>
      </c>
      <c r="K9" s="370"/>
      <c r="L9" s="388">
        <f t="shared" ref="L9:L27" si="0">G9-J9</f>
        <v>-39655.589999999967</v>
      </c>
      <c r="M9" s="449">
        <f>L9/J9</f>
        <v>-0.13886457982682568</v>
      </c>
      <c r="N9" s="537"/>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402"/>
      <c r="C10" s="76" t="s">
        <v>157</v>
      </c>
      <c r="D10" s="76"/>
      <c r="E10" s="76"/>
      <c r="F10" s="74"/>
      <c r="G10" s="267">
        <f>36485.59-600</f>
        <v>35885.589999999997</v>
      </c>
      <c r="H10" s="267">
        <v>158339.01999999999</v>
      </c>
      <c r="I10" s="329"/>
      <c r="J10" s="267">
        <v>50375.83</v>
      </c>
      <c r="K10" s="370"/>
      <c r="L10" s="278">
        <f t="shared" si="0"/>
        <v>-14490.240000000005</v>
      </c>
      <c r="M10" s="449">
        <f>L10/J10</f>
        <v>-0.28764270484476395</v>
      </c>
      <c r="N10" s="537"/>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02"/>
      <c r="C11" s="431" t="s">
        <v>383</v>
      </c>
      <c r="D11" s="431"/>
      <c r="E11" s="431"/>
      <c r="F11" s="74"/>
      <c r="G11" s="267">
        <f>30+63.89+12.28+15</f>
        <v>121.17</v>
      </c>
      <c r="H11" s="267">
        <f>1127.23+1968.5</f>
        <v>3095.73</v>
      </c>
      <c r="I11" s="329"/>
      <c r="J11" s="267">
        <f>177.19+850.03</f>
        <v>1027.22</v>
      </c>
      <c r="K11" s="370"/>
      <c r="L11" s="278">
        <f t="shared" ref="L11" si="1">G11-J11</f>
        <v>-906.05000000000007</v>
      </c>
      <c r="M11" s="449"/>
      <c r="N11" s="537"/>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02"/>
      <c r="C12" s="76" t="s">
        <v>187</v>
      </c>
      <c r="D12" s="76"/>
      <c r="E12" s="76"/>
      <c r="F12" s="74"/>
      <c r="G12" s="267">
        <f>12100.04</f>
        <v>12100.04</v>
      </c>
      <c r="H12" s="267">
        <v>42415.93</v>
      </c>
      <c r="I12" s="329"/>
      <c r="J12" s="267">
        <v>15054.92</v>
      </c>
      <c r="K12" s="370"/>
      <c r="L12" s="278">
        <f t="shared" si="0"/>
        <v>-2954.8799999999992</v>
      </c>
      <c r="M12" s="449">
        <f>L12/J12</f>
        <v>-0.19627337773963588</v>
      </c>
      <c r="N12" s="537"/>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02"/>
      <c r="C13" s="76" t="s">
        <v>108</v>
      </c>
      <c r="D13" s="76"/>
      <c r="E13" s="76"/>
      <c r="F13" s="74"/>
      <c r="G13" s="267"/>
      <c r="H13" s="267"/>
      <c r="I13" s="329"/>
      <c r="J13" s="267"/>
      <c r="K13" s="370"/>
      <c r="L13" s="278">
        <f t="shared" si="0"/>
        <v>0</v>
      </c>
      <c r="M13" s="449"/>
      <c r="N13" s="537"/>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02"/>
      <c r="C14" s="78"/>
      <c r="D14" s="76" t="s">
        <v>146</v>
      </c>
      <c r="E14" s="76"/>
      <c r="F14" s="74"/>
      <c r="G14" s="267">
        <v>71340.22</v>
      </c>
      <c r="H14" s="267">
        <v>193408.91</v>
      </c>
      <c r="I14" s="329"/>
      <c r="J14" s="267">
        <v>71592.02</v>
      </c>
      <c r="K14" s="370"/>
      <c r="L14" s="278">
        <f t="shared" si="0"/>
        <v>-251.80000000000291</v>
      </c>
      <c r="M14" s="449">
        <f>L14/J14</f>
        <v>-3.5171517719433379E-3</v>
      </c>
      <c r="N14" s="537"/>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02"/>
      <c r="C15" s="78"/>
      <c r="D15" s="76" t="s">
        <v>166</v>
      </c>
      <c r="E15" s="76"/>
      <c r="F15" s="74"/>
      <c r="G15" s="267">
        <v>6000</v>
      </c>
      <c r="H15" s="267">
        <v>13000</v>
      </c>
      <c r="I15" s="329"/>
      <c r="J15" s="267">
        <v>4333.33</v>
      </c>
      <c r="K15" s="370"/>
      <c r="L15" s="278">
        <f t="shared" si="0"/>
        <v>1666.67</v>
      </c>
      <c r="M15" s="449">
        <f>L15/J15</f>
        <v>0.38461644970496134</v>
      </c>
      <c r="N15" s="537"/>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02"/>
      <c r="C16" s="78"/>
      <c r="D16" s="431" t="s">
        <v>457</v>
      </c>
      <c r="E16" s="431"/>
      <c r="F16" s="74"/>
      <c r="G16" s="267">
        <v>31519.06</v>
      </c>
      <c r="H16" s="267"/>
      <c r="I16" s="329"/>
      <c r="J16" s="267"/>
      <c r="K16" s="370"/>
      <c r="L16" s="278">
        <f t="shared" ref="L16" si="2">G16-J16</f>
        <v>31519.06</v>
      </c>
      <c r="M16" s="449"/>
      <c r="N16" s="537" t="s">
        <v>463</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02"/>
      <c r="C17" s="76" t="s">
        <v>109</v>
      </c>
      <c r="D17" s="76"/>
      <c r="E17" s="76"/>
      <c r="F17" s="74"/>
      <c r="G17" s="267">
        <f>'April 20 Revenues &amp; Expenses'!J58</f>
        <v>3319.5</v>
      </c>
      <c r="H17" s="267">
        <v>13071.46</v>
      </c>
      <c r="I17" s="329"/>
      <c r="J17" s="267">
        <v>3772</v>
      </c>
      <c r="K17" s="370"/>
      <c r="L17" s="278">
        <f t="shared" si="0"/>
        <v>-452.5</v>
      </c>
      <c r="M17" s="449">
        <f t="shared" ref="M17:M23" si="3">L17/J17</f>
        <v>-0.11996288441145281</v>
      </c>
      <c r="N17" s="539"/>
      <c r="O17" s="69"/>
      <c r="P17" s="69"/>
      <c r="Q17" s="265"/>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02"/>
      <c r="C18" s="399" t="s">
        <v>169</v>
      </c>
      <c r="D18" s="399"/>
      <c r="E18" s="399"/>
      <c r="F18" s="74"/>
      <c r="G18" s="267">
        <v>50</v>
      </c>
      <c r="H18" s="267">
        <v>488.7</v>
      </c>
      <c r="I18" s="329"/>
      <c r="J18" s="267">
        <v>488.7</v>
      </c>
      <c r="K18" s="370"/>
      <c r="L18" s="278">
        <f t="shared" si="0"/>
        <v>-438.7</v>
      </c>
      <c r="M18" s="449">
        <f t="shared" si="3"/>
        <v>-0.89768774299161036</v>
      </c>
      <c r="N18" s="53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02"/>
      <c r="C19" s="76" t="s">
        <v>116</v>
      </c>
      <c r="D19" s="76"/>
      <c r="E19" s="76"/>
      <c r="F19" s="74"/>
      <c r="G19" s="267">
        <v>422.9</v>
      </c>
      <c r="H19" s="267">
        <v>1263.48</v>
      </c>
      <c r="I19" s="329"/>
      <c r="J19" s="267">
        <v>458.49</v>
      </c>
      <c r="K19" s="370"/>
      <c r="L19" s="278">
        <f t="shared" si="0"/>
        <v>-35.590000000000032</v>
      </c>
      <c r="M19" s="449">
        <f t="shared" si="3"/>
        <v>-7.7624375667953563E-2</v>
      </c>
      <c r="N19" s="537"/>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02"/>
      <c r="C20" s="399" t="s">
        <v>249</v>
      </c>
      <c r="D20" s="399"/>
      <c r="E20" s="399"/>
      <c r="F20" s="74"/>
      <c r="G20" s="267">
        <v>1621.26</v>
      </c>
      <c r="H20" s="267">
        <v>7926.22</v>
      </c>
      <c r="I20" s="329"/>
      <c r="J20" s="267">
        <v>1503.72</v>
      </c>
      <c r="K20" s="370"/>
      <c r="L20" s="278">
        <f t="shared" si="0"/>
        <v>117.53999999999996</v>
      </c>
      <c r="M20" s="449">
        <f t="shared" si="3"/>
        <v>7.8166147953076345E-2</v>
      </c>
      <c r="N20" s="537"/>
      <c r="O20" s="69"/>
      <c r="P20" s="69"/>
      <c r="Q20" s="265"/>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02"/>
      <c r="C21" s="76" t="s">
        <v>303</v>
      </c>
      <c r="D21" s="76"/>
      <c r="E21" s="76"/>
      <c r="F21" s="74"/>
      <c r="G21" s="267">
        <v>-10982.69</v>
      </c>
      <c r="H21" s="267">
        <v>16869.810000000001</v>
      </c>
      <c r="I21" s="329"/>
      <c r="J21" s="267">
        <v>13476.26</v>
      </c>
      <c r="K21" s="370"/>
      <c r="L21" s="278">
        <f t="shared" si="0"/>
        <v>-24458.95</v>
      </c>
      <c r="M21" s="449">
        <f t="shared" si="3"/>
        <v>-1.8149657249118079</v>
      </c>
      <c r="N21" s="537" t="s">
        <v>462</v>
      </c>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02"/>
      <c r="C22" s="76" t="s">
        <v>418</v>
      </c>
      <c r="D22" s="76"/>
      <c r="E22" s="76"/>
      <c r="F22" s="74"/>
      <c r="G22" s="267">
        <v>27238.46</v>
      </c>
      <c r="H22" s="267">
        <f>109876.8+5500</f>
        <v>115376.8</v>
      </c>
      <c r="I22" s="329"/>
      <c r="J22" s="267">
        <v>18309.939999999999</v>
      </c>
      <c r="K22" s="370"/>
      <c r="L22" s="278">
        <f t="shared" si="0"/>
        <v>8928.52</v>
      </c>
      <c r="M22" s="449">
        <f t="shared" si="3"/>
        <v>0.48763240076155362</v>
      </c>
      <c r="N22" s="537"/>
      <c r="O22" s="69"/>
      <c r="P22" s="69"/>
      <c r="Q22" s="265"/>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02"/>
      <c r="C23" s="76" t="s">
        <v>152</v>
      </c>
      <c r="D23" s="76"/>
      <c r="E23" s="76"/>
      <c r="F23" s="74"/>
      <c r="G23" s="267">
        <f>5000+12.28</f>
        <v>5012.28</v>
      </c>
      <c r="H23" s="267">
        <f>8599.86-H11</f>
        <v>5504.130000000001</v>
      </c>
      <c r="I23" s="329"/>
      <c r="J23" s="267">
        <f>2327.22-J11</f>
        <v>1299.9999999999998</v>
      </c>
      <c r="K23" s="370"/>
      <c r="L23" s="278">
        <f t="shared" si="0"/>
        <v>3712.2799999999997</v>
      </c>
      <c r="M23" s="449">
        <f t="shared" si="3"/>
        <v>2.8556000000000004</v>
      </c>
      <c r="N23" s="630"/>
      <c r="O23" s="69"/>
      <c r="P23" s="69"/>
      <c r="Q23" s="265"/>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02"/>
      <c r="C24" s="76" t="s">
        <v>327</v>
      </c>
      <c r="D24" s="76"/>
      <c r="E24" s="76"/>
      <c r="F24" s="74"/>
      <c r="G24" s="267">
        <v>0</v>
      </c>
      <c r="H24" s="267">
        <v>4850</v>
      </c>
      <c r="I24" s="329"/>
      <c r="J24" s="267">
        <v>2300</v>
      </c>
      <c r="K24" s="370"/>
      <c r="L24" s="278">
        <f t="shared" si="0"/>
        <v>-2300</v>
      </c>
      <c r="M24" s="449">
        <v>1</v>
      </c>
      <c r="N24" s="537"/>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02"/>
      <c r="C25" s="76" t="s">
        <v>115</v>
      </c>
      <c r="D25" s="76"/>
      <c r="E25" s="76"/>
      <c r="F25" s="74"/>
      <c r="G25" s="268">
        <v>15525</v>
      </c>
      <c r="H25" s="268">
        <v>46575</v>
      </c>
      <c r="I25" s="329"/>
      <c r="J25" s="268">
        <v>15525</v>
      </c>
      <c r="K25" s="370"/>
      <c r="L25" s="387">
        <f t="shared" si="0"/>
        <v>0</v>
      </c>
      <c r="M25" s="477">
        <f>L25/J25</f>
        <v>0</v>
      </c>
      <c r="N25" s="537"/>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02"/>
      <c r="C26" s="76"/>
      <c r="D26" s="74" t="s">
        <v>111</v>
      </c>
      <c r="E26" s="76"/>
      <c r="F26" s="74"/>
      <c r="G26" s="267">
        <f>SUM(G9:G25)</f>
        <v>445087.43</v>
      </c>
      <c r="H26" s="236">
        <f>SUM(H9:H25)</f>
        <v>1442970.7999999998</v>
      </c>
      <c r="I26" s="234"/>
      <c r="J26" s="236">
        <f>SUM(J9:J25)</f>
        <v>485087.66</v>
      </c>
      <c r="K26" s="370"/>
      <c r="L26" s="236">
        <f t="shared" si="0"/>
        <v>-40000.229999999981</v>
      </c>
      <c r="M26" s="449">
        <f>L26/J26</f>
        <v>-8.2459797060184928E-2</v>
      </c>
      <c r="N26" s="537"/>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02"/>
      <c r="C27" s="74" t="s">
        <v>112</v>
      </c>
      <c r="D27" s="76"/>
      <c r="E27" s="76"/>
      <c r="F27" s="74"/>
      <c r="G27" s="268">
        <v>27431.119999999999</v>
      </c>
      <c r="H27" s="243">
        <v>88838.93</v>
      </c>
      <c r="I27" s="234"/>
      <c r="J27" s="243">
        <v>28491.25</v>
      </c>
      <c r="K27" s="370"/>
      <c r="L27" s="243">
        <f t="shared" si="0"/>
        <v>-1060.130000000001</v>
      </c>
      <c r="M27" s="477">
        <f>L27/J27</f>
        <v>-3.7208967665511378E-2</v>
      </c>
      <c r="N27" s="539"/>
      <c r="O27" s="69"/>
      <c r="P27" s="69"/>
      <c r="Q27" s="34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02"/>
      <c r="C28" s="76"/>
      <c r="D28" s="74" t="s">
        <v>113</v>
      </c>
      <c r="E28" s="76"/>
      <c r="F28" s="74"/>
      <c r="G28" s="236">
        <f>SUM(G26:G27)</f>
        <v>472518.55</v>
      </c>
      <c r="H28" s="236">
        <f>SUM(H26:H27)</f>
        <v>1531809.7299999997</v>
      </c>
      <c r="I28" s="234"/>
      <c r="J28" s="236">
        <f>SUM(J26:J27)</f>
        <v>513578.91</v>
      </c>
      <c r="K28" s="265"/>
      <c r="L28" s="236">
        <f>SUM(L26:L27)</f>
        <v>-41060.359999999986</v>
      </c>
      <c r="M28" s="449">
        <f>L28/J28</f>
        <v>-7.9949466772301817E-2</v>
      </c>
      <c r="N28" s="539"/>
      <c r="O28" s="265"/>
      <c r="P28" s="69"/>
      <c r="Q28" s="34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02"/>
      <c r="C29" s="76"/>
      <c r="D29" s="74"/>
      <c r="E29" s="76"/>
      <c r="F29" s="74"/>
      <c r="G29" s="236"/>
      <c r="H29" s="236"/>
      <c r="I29" s="234"/>
      <c r="J29" s="236"/>
      <c r="K29" s="370"/>
      <c r="L29" s="413"/>
      <c r="M29" s="524"/>
      <c r="N29" s="537"/>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03" t="s">
        <v>117</v>
      </c>
      <c r="C30" s="88"/>
      <c r="D30" s="88"/>
      <c r="E30" s="88"/>
      <c r="F30" s="88"/>
      <c r="G30" s="243"/>
      <c r="H30" s="243"/>
      <c r="I30" s="69"/>
      <c r="J30" s="243"/>
      <c r="K30" s="370"/>
      <c r="L30" s="413"/>
      <c r="M30" s="524"/>
      <c r="N30" s="53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04"/>
      <c r="C31" s="80" t="s">
        <v>118</v>
      </c>
      <c r="D31" s="80"/>
      <c r="E31" s="80"/>
      <c r="F31" s="80"/>
      <c r="G31" s="329">
        <v>305983.7</v>
      </c>
      <c r="H31" s="234">
        <v>880808.37</v>
      </c>
      <c r="I31" s="278"/>
      <c r="J31" s="234">
        <v>295944.78999999998</v>
      </c>
      <c r="K31" s="370"/>
      <c r="L31" s="278">
        <f t="shared" ref="L31:L53" si="4">G31-J31</f>
        <v>10038.910000000033</v>
      </c>
      <c r="M31" s="449">
        <f t="shared" ref="M31:M42" si="5">L31/J31</f>
        <v>3.3921563545687129E-2</v>
      </c>
      <c r="N31" s="539" t="s">
        <v>460</v>
      </c>
    </row>
    <row r="32" spans="1:46" s="69" customFormat="1" ht="20.25" x14ac:dyDescent="0.2">
      <c r="A32" s="68"/>
      <c r="B32" s="404"/>
      <c r="C32" s="80" t="s">
        <v>119</v>
      </c>
      <c r="D32" s="80"/>
      <c r="E32" s="80"/>
      <c r="F32" s="80"/>
      <c r="G32" s="329">
        <v>68393.45</v>
      </c>
      <c r="H32" s="234">
        <v>192551.52</v>
      </c>
      <c r="I32" s="278"/>
      <c r="J32" s="234">
        <v>66689.03</v>
      </c>
      <c r="K32" s="370"/>
      <c r="L32" s="278">
        <f t="shared" si="4"/>
        <v>1704.4199999999983</v>
      </c>
      <c r="M32" s="449">
        <f t="shared" si="5"/>
        <v>2.5557726660591678E-2</v>
      </c>
      <c r="N32" s="753"/>
    </row>
    <row r="33" spans="1:16" s="69" customFormat="1" ht="20.25" x14ac:dyDescent="0.2">
      <c r="A33" s="68"/>
      <c r="B33" s="404"/>
      <c r="C33" s="80" t="s">
        <v>120</v>
      </c>
      <c r="D33" s="80"/>
      <c r="E33" s="80"/>
      <c r="F33" s="80"/>
      <c r="G33" s="329">
        <f>150*4</f>
        <v>600</v>
      </c>
      <c r="H33" s="234">
        <f>48375-H25</f>
        <v>1800</v>
      </c>
      <c r="I33" s="278"/>
      <c r="J33" s="234">
        <f>16125-J25</f>
        <v>600</v>
      </c>
      <c r="K33" s="370"/>
      <c r="L33" s="278">
        <f t="shared" si="4"/>
        <v>0</v>
      </c>
      <c r="M33" s="449">
        <f t="shared" si="5"/>
        <v>0</v>
      </c>
      <c r="N33" s="696"/>
    </row>
    <row r="34" spans="1:16" s="69" customFormat="1" ht="20.25" x14ac:dyDescent="0.2">
      <c r="A34" s="68"/>
      <c r="B34" s="404"/>
      <c r="C34" s="80" t="s">
        <v>110</v>
      </c>
      <c r="D34" s="80"/>
      <c r="E34" s="80"/>
      <c r="F34" s="80"/>
      <c r="G34" s="329">
        <f>16125-G33</f>
        <v>15525</v>
      </c>
      <c r="H34" s="234">
        <f>H25</f>
        <v>46575</v>
      </c>
      <c r="I34" s="278"/>
      <c r="J34" s="234">
        <f>J25</f>
        <v>15525</v>
      </c>
      <c r="K34" s="370"/>
      <c r="L34" s="278">
        <f t="shared" si="4"/>
        <v>0</v>
      </c>
      <c r="M34" s="449">
        <f t="shared" si="5"/>
        <v>0</v>
      </c>
      <c r="N34" s="696"/>
    </row>
    <row r="35" spans="1:16" s="69" customFormat="1" ht="20.25" x14ac:dyDescent="0.2">
      <c r="A35" s="68"/>
      <c r="B35" s="404"/>
      <c r="C35" s="80" t="s">
        <v>121</v>
      </c>
      <c r="D35" s="80"/>
      <c r="E35" s="80"/>
      <c r="F35" s="80"/>
      <c r="G35" s="329">
        <v>6937.53</v>
      </c>
      <c r="H35" s="234">
        <v>15970.22</v>
      </c>
      <c r="I35" s="278"/>
      <c r="J35" s="234">
        <v>5163.26</v>
      </c>
      <c r="K35" s="370"/>
      <c r="L35" s="278">
        <f t="shared" si="4"/>
        <v>1774.2699999999995</v>
      </c>
      <c r="M35" s="449">
        <f t="shared" si="5"/>
        <v>0.34363367329942701</v>
      </c>
      <c r="N35" s="696"/>
    </row>
    <row r="36" spans="1:16" s="69" customFormat="1" ht="20.25" x14ac:dyDescent="0.2">
      <c r="A36" s="68"/>
      <c r="B36" s="404"/>
      <c r="C36" s="80" t="s">
        <v>122</v>
      </c>
      <c r="D36" s="80"/>
      <c r="E36" s="80"/>
      <c r="F36" s="80"/>
      <c r="G36" s="329">
        <v>1058.2</v>
      </c>
      <c r="H36" s="234">
        <v>2471.42</v>
      </c>
      <c r="I36" s="278"/>
      <c r="J36" s="234">
        <v>905.49</v>
      </c>
      <c r="K36" s="370"/>
      <c r="L36" s="278">
        <f t="shared" si="4"/>
        <v>152.71000000000004</v>
      </c>
      <c r="M36" s="449">
        <f t="shared" si="5"/>
        <v>0.16864901876332156</v>
      </c>
      <c r="N36" s="696"/>
    </row>
    <row r="37" spans="1:16" s="69" customFormat="1" ht="20.25" x14ac:dyDescent="0.2">
      <c r="A37" s="68"/>
      <c r="B37" s="404"/>
      <c r="C37" s="80" t="s">
        <v>123</v>
      </c>
      <c r="D37" s="80"/>
      <c r="E37" s="80"/>
      <c r="F37" s="80"/>
      <c r="G37" s="329">
        <v>869.19</v>
      </c>
      <c r="H37" s="234">
        <v>3350.56</v>
      </c>
      <c r="I37" s="278"/>
      <c r="J37" s="234">
        <v>1022.85</v>
      </c>
      <c r="K37" s="370"/>
      <c r="L37" s="278">
        <f t="shared" si="4"/>
        <v>-153.65999999999997</v>
      </c>
      <c r="M37" s="449">
        <f t="shared" si="5"/>
        <v>-0.1502273060566065</v>
      </c>
      <c r="N37" s="696"/>
    </row>
    <row r="38" spans="1:16" s="69" customFormat="1" ht="20.25" x14ac:dyDescent="0.2">
      <c r="A38" s="68"/>
      <c r="B38" s="404"/>
      <c r="C38" s="80" t="s">
        <v>124</v>
      </c>
      <c r="D38" s="80"/>
      <c r="E38" s="80"/>
      <c r="F38" s="80"/>
      <c r="G38" s="329">
        <v>290.44</v>
      </c>
      <c r="H38" s="234">
        <v>9396.7999999999993</v>
      </c>
      <c r="I38" s="278"/>
      <c r="J38" s="234">
        <v>1153.3499999999999</v>
      </c>
      <c r="K38" s="370"/>
      <c r="L38" s="278">
        <f t="shared" si="4"/>
        <v>-862.90999999999985</v>
      </c>
      <c r="M38" s="449">
        <f t="shared" si="5"/>
        <v>-0.74817704946460306</v>
      </c>
      <c r="N38" s="696"/>
    </row>
    <row r="39" spans="1:16" s="69" customFormat="1" ht="20.25" x14ac:dyDescent="0.2">
      <c r="A39" s="68"/>
      <c r="B39" s="404"/>
      <c r="C39" s="80" t="s">
        <v>125</v>
      </c>
      <c r="D39" s="80"/>
      <c r="E39" s="80"/>
      <c r="F39" s="80"/>
      <c r="G39" s="329">
        <f>11412.88+2995.68</f>
        <v>14408.56</v>
      </c>
      <c r="H39" s="234">
        <f>25106+11599.23</f>
        <v>36705.229999999996</v>
      </c>
      <c r="I39" s="278"/>
      <c r="J39" s="234">
        <f>8967.81+2823.93</f>
        <v>11791.74</v>
      </c>
      <c r="K39" s="370"/>
      <c r="L39" s="278">
        <f t="shared" si="4"/>
        <v>2616.8199999999997</v>
      </c>
      <c r="M39" s="449">
        <f t="shared" si="5"/>
        <v>0.22191975060508456</v>
      </c>
      <c r="N39" s="696"/>
    </row>
    <row r="40" spans="1:16" s="69" customFormat="1" ht="20.25" x14ac:dyDescent="0.2">
      <c r="A40" s="68"/>
      <c r="B40" s="404"/>
      <c r="C40" s="80" t="s">
        <v>126</v>
      </c>
      <c r="D40" s="80"/>
      <c r="E40" s="80"/>
      <c r="F40" s="80"/>
      <c r="G40" s="329">
        <v>457.78</v>
      </c>
      <c r="H40" s="234">
        <v>3929.52</v>
      </c>
      <c r="I40" s="278"/>
      <c r="J40" s="234">
        <v>1997.01</v>
      </c>
      <c r="K40" s="370"/>
      <c r="L40" s="278">
        <f t="shared" si="4"/>
        <v>-1539.23</v>
      </c>
      <c r="M40" s="449">
        <f t="shared" si="5"/>
        <v>-0.77076729710917824</v>
      </c>
      <c r="N40" s="696"/>
    </row>
    <row r="41" spans="1:16" s="69" customFormat="1" ht="20.25" x14ac:dyDescent="0.2">
      <c r="A41" s="68"/>
      <c r="B41" s="404"/>
      <c r="C41" s="80" t="s">
        <v>127</v>
      </c>
      <c r="D41" s="80"/>
      <c r="E41" s="80"/>
      <c r="F41" s="80"/>
      <c r="G41" s="329">
        <v>419</v>
      </c>
      <c r="H41" s="234">
        <v>1128.3699999999999</v>
      </c>
      <c r="I41" s="278"/>
      <c r="J41" s="234">
        <v>414</v>
      </c>
      <c r="K41" s="370"/>
      <c r="L41" s="278">
        <f t="shared" si="4"/>
        <v>5</v>
      </c>
      <c r="M41" s="449">
        <f t="shared" si="5"/>
        <v>1.2077294685990338E-2</v>
      </c>
      <c r="N41" s="696"/>
    </row>
    <row r="42" spans="1:16" s="69" customFormat="1" ht="20.25" x14ac:dyDescent="0.2">
      <c r="A42" s="68"/>
      <c r="B42" s="404"/>
      <c r="C42" s="80" t="s">
        <v>174</v>
      </c>
      <c r="D42" s="80"/>
      <c r="E42" s="80"/>
      <c r="F42" s="80"/>
      <c r="G42" s="329">
        <v>7100</v>
      </c>
      <c r="H42" s="234">
        <v>13625</v>
      </c>
      <c r="I42" s="278"/>
      <c r="J42" s="234">
        <v>8500</v>
      </c>
      <c r="K42" s="370"/>
      <c r="L42" s="278">
        <f t="shared" si="4"/>
        <v>-1400</v>
      </c>
      <c r="M42" s="449">
        <f t="shared" si="5"/>
        <v>-0.16470588235294117</v>
      </c>
      <c r="N42" s="696"/>
    </row>
    <row r="43" spans="1:16" s="69" customFormat="1" ht="20.25" x14ac:dyDescent="0.2">
      <c r="A43" s="68"/>
      <c r="B43" s="404"/>
      <c r="C43" s="828" t="s">
        <v>334</v>
      </c>
      <c r="D43" s="828"/>
      <c r="E43" s="828"/>
      <c r="F43" s="828"/>
      <c r="G43" s="329">
        <v>0</v>
      </c>
      <c r="H43" s="234">
        <v>603</v>
      </c>
      <c r="I43" s="278"/>
      <c r="J43" s="234">
        <v>201</v>
      </c>
      <c r="K43" s="370"/>
      <c r="L43" s="278">
        <f t="shared" si="4"/>
        <v>-201</v>
      </c>
      <c r="M43" s="449">
        <v>1</v>
      </c>
      <c r="N43" s="696"/>
    </row>
    <row r="44" spans="1:16" s="77" customFormat="1" ht="20.25" x14ac:dyDescent="0.2">
      <c r="A44" s="80"/>
      <c r="B44" s="400"/>
      <c r="C44" s="80" t="s">
        <v>128</v>
      </c>
      <c r="D44" s="80"/>
      <c r="E44" s="80"/>
      <c r="F44" s="80"/>
      <c r="G44" s="329">
        <v>6577.18</v>
      </c>
      <c r="H44" s="329">
        <v>13150.96</v>
      </c>
      <c r="I44" s="410"/>
      <c r="J44" s="329">
        <v>7423.66</v>
      </c>
      <c r="K44" s="372"/>
      <c r="L44" s="278">
        <f t="shared" si="4"/>
        <v>-846.47999999999956</v>
      </c>
      <c r="M44" s="449">
        <f>L44/J44</f>
        <v>-0.114024618584364</v>
      </c>
      <c r="N44" s="696"/>
    </row>
    <row r="45" spans="1:16" s="77" customFormat="1" ht="20.25" x14ac:dyDescent="0.2">
      <c r="A45" s="80"/>
      <c r="B45" s="400"/>
      <c r="C45" s="80" t="s">
        <v>129</v>
      </c>
      <c r="D45" s="80"/>
      <c r="E45" s="80"/>
      <c r="F45" s="80"/>
      <c r="G45" s="329">
        <v>3589.5</v>
      </c>
      <c r="H45" s="329">
        <v>11625.16</v>
      </c>
      <c r="I45" s="234"/>
      <c r="J45" s="234">
        <v>3812.33</v>
      </c>
      <c r="K45" s="372"/>
      <c r="L45" s="278">
        <f t="shared" si="4"/>
        <v>-222.82999999999993</v>
      </c>
      <c r="M45" s="449">
        <f>L45/J45</f>
        <v>-5.8449819401783142E-2</v>
      </c>
      <c r="N45" s="540"/>
    </row>
    <row r="46" spans="1:16" s="77" customFormat="1" ht="20.25" x14ac:dyDescent="0.2">
      <c r="A46" s="80"/>
      <c r="B46" s="400"/>
      <c r="C46" s="80" t="s">
        <v>136</v>
      </c>
      <c r="D46" s="80"/>
      <c r="E46" s="80"/>
      <c r="F46" s="80"/>
      <c r="G46" s="329">
        <f>190+63.4</f>
        <v>253.4</v>
      </c>
      <c r="H46" s="234">
        <v>610.05999999999995</v>
      </c>
      <c r="I46" s="234"/>
      <c r="J46" s="234">
        <f>20+34</f>
        <v>54</v>
      </c>
      <c r="K46" s="372"/>
      <c r="L46" s="278">
        <f t="shared" si="4"/>
        <v>199.4</v>
      </c>
      <c r="M46" s="449">
        <f>L46/J46</f>
        <v>3.6925925925925926</v>
      </c>
      <c r="P46" s="249"/>
    </row>
    <row r="47" spans="1:16" s="77" customFormat="1" ht="20.25" x14ac:dyDescent="0.2">
      <c r="A47" s="80"/>
      <c r="B47" s="400"/>
      <c r="C47" s="80" t="s">
        <v>130</v>
      </c>
      <c r="D47" s="80"/>
      <c r="E47" s="80"/>
      <c r="F47" s="80"/>
      <c r="G47" s="329">
        <f>490.32+50</f>
        <v>540.31999999999994</v>
      </c>
      <c r="H47" s="329">
        <f>1610+6694.93</f>
        <v>8304.93</v>
      </c>
      <c r="I47" s="234"/>
      <c r="J47" s="329">
        <f>3713.06+1610</f>
        <v>5323.0599999999995</v>
      </c>
      <c r="K47" s="372"/>
      <c r="L47" s="278">
        <f t="shared" si="4"/>
        <v>-4782.74</v>
      </c>
      <c r="M47" s="449">
        <f t="shared" ref="M47:M52" si="6">L47/J47</f>
        <v>-0.89849447498243495</v>
      </c>
      <c r="N47" s="696"/>
      <c r="P47" s="249"/>
    </row>
    <row r="48" spans="1:16" s="69" customFormat="1" ht="20.25" x14ac:dyDescent="0.2">
      <c r="A48" s="68"/>
      <c r="B48" s="404"/>
      <c r="C48" s="80" t="s">
        <v>209</v>
      </c>
      <c r="D48" s="80"/>
      <c r="E48" s="80"/>
      <c r="F48" s="80"/>
      <c r="G48" s="329">
        <v>3488.14</v>
      </c>
      <c r="H48" s="234">
        <v>17052.02</v>
      </c>
      <c r="I48" s="234"/>
      <c r="J48" s="234">
        <v>4970.49</v>
      </c>
      <c r="K48" s="370"/>
      <c r="L48" s="278">
        <f t="shared" si="4"/>
        <v>-1482.35</v>
      </c>
      <c r="M48" s="449">
        <f t="shared" si="6"/>
        <v>-0.29823015437109823</v>
      </c>
      <c r="N48" s="696"/>
    </row>
    <row r="49" spans="1:18" s="77" customFormat="1" ht="20.25" x14ac:dyDescent="0.2">
      <c r="A49" s="80"/>
      <c r="B49" s="400"/>
      <c r="C49" s="80" t="s">
        <v>131</v>
      </c>
      <c r="D49" s="80"/>
      <c r="E49" s="80"/>
      <c r="F49" s="80"/>
      <c r="G49" s="329">
        <v>13000</v>
      </c>
      <c r="H49" s="329">
        <v>35421.910000000003</v>
      </c>
      <c r="I49" s="234"/>
      <c r="J49" s="329">
        <v>11298.76</v>
      </c>
      <c r="K49" s="372"/>
      <c r="L49" s="278">
        <f t="shared" si="4"/>
        <v>1701.2399999999998</v>
      </c>
      <c r="M49" s="449">
        <f t="shared" si="6"/>
        <v>0.15056873497622747</v>
      </c>
      <c r="N49" s="540"/>
    </row>
    <row r="50" spans="1:18" s="77" customFormat="1" ht="20.25" x14ac:dyDescent="0.2">
      <c r="A50" s="80"/>
      <c r="B50" s="400"/>
      <c r="C50" s="80" t="s">
        <v>132</v>
      </c>
      <c r="D50" s="80"/>
      <c r="E50" s="80"/>
      <c r="F50" s="80"/>
      <c r="G50" s="329">
        <f>6278+350</f>
        <v>6628</v>
      </c>
      <c r="H50" s="329">
        <v>20467</v>
      </c>
      <c r="I50" s="234"/>
      <c r="J50" s="329">
        <f>14000+1388</f>
        <v>15388</v>
      </c>
      <c r="K50" s="372"/>
      <c r="L50" s="278">
        <f t="shared" si="4"/>
        <v>-8760</v>
      </c>
      <c r="M50" s="449">
        <f t="shared" si="6"/>
        <v>-0.56927475955289841</v>
      </c>
      <c r="N50" s="696"/>
    </row>
    <row r="51" spans="1:18" s="77" customFormat="1" ht="20.25" x14ac:dyDescent="0.2">
      <c r="A51" s="80"/>
      <c r="B51" s="400"/>
      <c r="C51" s="80" t="s">
        <v>173</v>
      </c>
      <c r="D51" s="80"/>
      <c r="E51" s="80"/>
      <c r="F51" s="80"/>
      <c r="G51" s="329">
        <v>24655.89</v>
      </c>
      <c r="H51" s="234">
        <v>60981.35</v>
      </c>
      <c r="I51" s="234"/>
      <c r="J51" s="234">
        <v>21223.39</v>
      </c>
      <c r="K51" s="372"/>
      <c r="L51" s="278">
        <f t="shared" si="4"/>
        <v>3432.5</v>
      </c>
      <c r="M51" s="449">
        <f t="shared" si="6"/>
        <v>0.16173193820591339</v>
      </c>
      <c r="N51" s="696"/>
    </row>
    <row r="52" spans="1:18" s="77" customFormat="1" ht="20.25" x14ac:dyDescent="0.2">
      <c r="A52" s="80"/>
      <c r="B52" s="400"/>
      <c r="C52" s="80" t="s">
        <v>133</v>
      </c>
      <c r="D52" s="80"/>
      <c r="E52" s="80"/>
      <c r="F52" s="80"/>
      <c r="G52" s="329">
        <f>1276.8+29249.69</f>
        <v>30526.489999999998</v>
      </c>
      <c r="H52" s="234">
        <f>86882+2490.2</f>
        <v>89372.2</v>
      </c>
      <c r="I52" s="234"/>
      <c r="J52" s="234">
        <f>38565+1394.3</f>
        <v>39959.300000000003</v>
      </c>
      <c r="K52" s="372"/>
      <c r="L52" s="278">
        <f t="shared" si="4"/>
        <v>-9432.8100000000049</v>
      </c>
      <c r="M52" s="449">
        <f t="shared" si="6"/>
        <v>-0.23606044149922556</v>
      </c>
      <c r="N52" s="696" t="s">
        <v>461</v>
      </c>
    </row>
    <row r="53" spans="1:18" s="77" customFormat="1" ht="21" thickBot="1" x14ac:dyDescent="0.25">
      <c r="A53" s="80"/>
      <c r="B53" s="400"/>
      <c r="C53" s="80" t="s">
        <v>311</v>
      </c>
      <c r="D53" s="80"/>
      <c r="E53" s="80"/>
      <c r="F53" s="80"/>
      <c r="G53" s="243"/>
      <c r="H53" s="243"/>
      <c r="I53" s="234"/>
      <c r="J53" s="243"/>
      <c r="K53" s="683"/>
      <c r="L53" s="387">
        <f t="shared" si="4"/>
        <v>0</v>
      </c>
      <c r="M53" s="477"/>
      <c r="N53" s="696"/>
    </row>
    <row r="54" spans="1:18" s="77" customFormat="1" ht="21" hidden="1" thickBot="1" x14ac:dyDescent="0.25">
      <c r="A54" s="80"/>
      <c r="B54" s="400"/>
      <c r="C54" s="80"/>
      <c r="D54" s="80"/>
      <c r="E54" s="80"/>
      <c r="F54" s="80"/>
      <c r="G54" s="243"/>
      <c r="H54" s="243"/>
      <c r="I54" s="234"/>
      <c r="J54" s="243"/>
      <c r="K54" s="372"/>
      <c r="L54" s="387"/>
      <c r="M54" s="477"/>
      <c r="N54" s="537"/>
    </row>
    <row r="55" spans="1:18" s="69" customFormat="1" ht="20.25" x14ac:dyDescent="0.2">
      <c r="A55" s="68"/>
      <c r="B55" s="404"/>
      <c r="C55" s="68"/>
      <c r="D55" s="74" t="s">
        <v>134</v>
      </c>
      <c r="E55" s="68"/>
      <c r="F55" s="68"/>
      <c r="G55" s="239">
        <f>SUM(G31:G53)</f>
        <v>511301.77000000014</v>
      </c>
      <c r="H55" s="239">
        <f>SUM(H31:H53)</f>
        <v>1465900.5999999999</v>
      </c>
      <c r="I55" s="234"/>
      <c r="J55" s="239">
        <f>SUM(J31:J53)</f>
        <v>519360.50999999989</v>
      </c>
      <c r="K55" s="370"/>
      <c r="L55" s="236">
        <f>SUM(L31:L53)</f>
        <v>-8058.7399999999743</v>
      </c>
      <c r="M55" s="449">
        <f>L55/J55</f>
        <v>-1.5516659131438345E-2</v>
      </c>
      <c r="N55" s="541"/>
    </row>
    <row r="56" spans="1:18" s="69" customFormat="1" ht="10.5" customHeight="1" thickBot="1" x14ac:dyDescent="0.25">
      <c r="A56" s="68"/>
      <c r="B56" s="404"/>
      <c r="C56" s="68"/>
      <c r="D56" s="74"/>
      <c r="E56" s="68"/>
      <c r="F56" s="68"/>
      <c r="G56" s="243"/>
      <c r="H56" s="243"/>
      <c r="I56" s="234"/>
      <c r="J56" s="243"/>
      <c r="K56" s="370"/>
      <c r="L56" s="415"/>
      <c r="M56" s="525"/>
      <c r="N56" s="541"/>
    </row>
    <row r="57" spans="1:18" s="69" customFormat="1" ht="21" thickBot="1" x14ac:dyDescent="0.25">
      <c r="A57" s="68"/>
      <c r="B57" s="404"/>
      <c r="C57" s="68"/>
      <c r="D57" s="68" t="s">
        <v>135</v>
      </c>
      <c r="E57" s="68"/>
      <c r="F57" s="68"/>
      <c r="G57" s="243">
        <f>G28-G55</f>
        <v>-38783.220000000147</v>
      </c>
      <c r="H57" s="243">
        <f>H28-H55</f>
        <v>65909.129999999888</v>
      </c>
      <c r="I57" s="234"/>
      <c r="J57" s="243">
        <f>J28-J55</f>
        <v>-5781.5999999999185</v>
      </c>
      <c r="K57" s="370"/>
      <c r="L57" s="243">
        <f>L28-L55</f>
        <v>-33001.62000000001</v>
      </c>
      <c r="M57" s="519">
        <f>L57/J57</f>
        <v>5.7080427563305101</v>
      </c>
      <c r="N57" s="541"/>
    </row>
    <row r="58" spans="1:18" s="69" customFormat="1" ht="11.25" customHeight="1" x14ac:dyDescent="0.2">
      <c r="A58" s="68"/>
      <c r="B58" s="404"/>
      <c r="C58" s="68"/>
      <c r="D58" s="68"/>
      <c r="E58" s="68"/>
      <c r="F58" s="68"/>
      <c r="G58" s="234"/>
      <c r="H58" s="234"/>
      <c r="I58" s="234"/>
      <c r="J58" s="234"/>
      <c r="K58" s="370"/>
      <c r="L58" s="413"/>
      <c r="M58" s="524"/>
      <c r="N58" s="537"/>
    </row>
    <row r="59" spans="1:18" s="77" customFormat="1" ht="21" thickBot="1" x14ac:dyDescent="0.25">
      <c r="A59" s="80"/>
      <c r="B59" s="403" t="s">
        <v>347</v>
      </c>
      <c r="C59" s="88"/>
      <c r="D59" s="88"/>
      <c r="E59" s="88"/>
      <c r="F59" s="88"/>
      <c r="G59" s="682"/>
      <c r="H59" s="243"/>
      <c r="I59" s="234"/>
      <c r="J59" s="243"/>
      <c r="K59" s="372"/>
      <c r="L59" s="413"/>
      <c r="M59" s="524"/>
      <c r="N59" s="537"/>
    </row>
    <row r="60" spans="1:18" s="77" customFormat="1" ht="20.25" x14ac:dyDescent="0.2">
      <c r="A60" s="80"/>
      <c r="B60" s="404"/>
      <c r="C60" s="68"/>
      <c r="D60" s="68" t="s">
        <v>148</v>
      </c>
      <c r="E60" s="68"/>
      <c r="F60" s="68"/>
      <c r="G60" s="234"/>
      <c r="H60" s="234"/>
      <c r="I60" s="234"/>
      <c r="J60" s="234"/>
      <c r="K60" s="372"/>
      <c r="L60" s="413"/>
      <c r="M60" s="524"/>
      <c r="N60" s="537"/>
    </row>
    <row r="61" spans="1:18" s="77" customFormat="1" ht="20.25" x14ac:dyDescent="0.2">
      <c r="A61" s="80"/>
      <c r="B61" s="404"/>
      <c r="C61" s="68"/>
      <c r="D61" s="68"/>
      <c r="E61" s="80" t="s">
        <v>149</v>
      </c>
      <c r="F61" s="68"/>
      <c r="G61" s="234">
        <f>52000-10400</f>
        <v>41600</v>
      </c>
      <c r="H61" s="234">
        <v>51000</v>
      </c>
      <c r="I61" s="234"/>
      <c r="J61" s="234">
        <v>51000</v>
      </c>
      <c r="K61" s="372"/>
      <c r="L61" s="278">
        <f>G61-J61</f>
        <v>-9400</v>
      </c>
      <c r="M61" s="449">
        <f>L61/J61</f>
        <v>-0.18431372549019609</v>
      </c>
      <c r="N61" s="537"/>
      <c r="R61" s="249"/>
    </row>
    <row r="62" spans="1:18" s="77" customFormat="1" ht="20.25" x14ac:dyDescent="0.2">
      <c r="A62" s="80"/>
      <c r="B62" s="404"/>
      <c r="C62" s="68"/>
      <c r="D62" s="68"/>
      <c r="E62" s="80" t="s">
        <v>177</v>
      </c>
      <c r="F62" s="68"/>
      <c r="G62" s="234">
        <v>19000</v>
      </c>
      <c r="H62" s="234">
        <v>19000</v>
      </c>
      <c r="I62" s="234"/>
      <c r="J62" s="234">
        <v>19000</v>
      </c>
      <c r="K62" s="372"/>
      <c r="L62" s="278">
        <f>G62-J62</f>
        <v>0</v>
      </c>
      <c r="M62" s="449">
        <f>L62/J62</f>
        <v>0</v>
      </c>
      <c r="N62" s="537"/>
    </row>
    <row r="63" spans="1:18" s="77" customFormat="1" ht="20.25" x14ac:dyDescent="0.2">
      <c r="A63" s="80"/>
      <c r="B63" s="404"/>
      <c r="C63" s="68"/>
      <c r="D63" s="68"/>
      <c r="E63" s="80" t="s">
        <v>147</v>
      </c>
      <c r="F63" s="68"/>
      <c r="G63" s="237">
        <f>'April 20 Revenues &amp; Expenses'!H60+'April 20 Revenues &amp; Expenses'!H61+'April 20 Revenues &amp; Expenses'!H59+'April 20 Revenues &amp; Expenses'!H62</f>
        <v>1825</v>
      </c>
      <c r="H63" s="237">
        <v>16162</v>
      </c>
      <c r="I63" s="237"/>
      <c r="J63" s="237">
        <v>3250</v>
      </c>
      <c r="K63" s="623"/>
      <c r="L63" s="624">
        <f>G63-J63</f>
        <v>-1425</v>
      </c>
      <c r="M63" s="522">
        <f>L63/J63</f>
        <v>-0.43846153846153846</v>
      </c>
      <c r="N63" s="537"/>
    </row>
    <row r="64" spans="1:18" s="77" customFormat="1" ht="21" thickBot="1" x14ac:dyDescent="0.25">
      <c r="A64" s="80"/>
      <c r="B64" s="404"/>
      <c r="C64" s="68"/>
      <c r="D64" s="68" t="s">
        <v>112</v>
      </c>
      <c r="E64" s="68"/>
      <c r="F64" s="68"/>
      <c r="G64" s="243">
        <f>-G27</f>
        <v>-27431.119999999999</v>
      </c>
      <c r="H64" s="243">
        <f>-H27</f>
        <v>-88838.93</v>
      </c>
      <c r="I64" s="234"/>
      <c r="J64" s="243">
        <f>-J27</f>
        <v>-28491.25</v>
      </c>
      <c r="K64" s="372"/>
      <c r="L64" s="387">
        <f>G64-J64</f>
        <v>1060.130000000001</v>
      </c>
      <c r="M64" s="477">
        <f>L64/J64</f>
        <v>-3.7208967665511378E-2</v>
      </c>
      <c r="N64" s="537"/>
    </row>
    <row r="65" spans="1:14" s="77" customFormat="1" ht="21" thickBot="1" x14ac:dyDescent="0.25">
      <c r="A65" s="80"/>
      <c r="B65" s="404"/>
      <c r="C65" s="68"/>
      <c r="D65" s="68"/>
      <c r="E65" s="68" t="s">
        <v>346</v>
      </c>
      <c r="F65" s="68"/>
      <c r="G65" s="243">
        <f>SUM(G60:G64)</f>
        <v>34993.880000000005</v>
      </c>
      <c r="H65" s="243">
        <f>SUM(H60:H64)</f>
        <v>-2676.929999999993</v>
      </c>
      <c r="I65" s="234"/>
      <c r="J65" s="243">
        <f>SUM(J60:J64)</f>
        <v>44758.75</v>
      </c>
      <c r="K65" s="372"/>
      <c r="L65" s="243">
        <f>SUM(L61:L64)</f>
        <v>-9764.869999999999</v>
      </c>
      <c r="M65" s="477">
        <f>L65/J65</f>
        <v>-0.21816672717625044</v>
      </c>
      <c r="N65" s="537"/>
    </row>
    <row r="66" spans="1:14" s="69" customFormat="1" ht="7.5" customHeight="1" x14ac:dyDescent="0.2">
      <c r="A66" s="68"/>
      <c r="B66" s="404"/>
      <c r="C66" s="68"/>
      <c r="D66" s="68"/>
      <c r="E66" s="68"/>
      <c r="F66" s="68"/>
      <c r="G66" s="276"/>
      <c r="H66" s="276"/>
      <c r="I66" s="276"/>
      <c r="J66" s="276"/>
      <c r="K66" s="370"/>
      <c r="L66" s="413"/>
      <c r="M66" s="413"/>
      <c r="N66" s="537"/>
    </row>
    <row r="67" spans="1:14" s="69" customFormat="1" ht="20.25" x14ac:dyDescent="0.2">
      <c r="A67" s="68"/>
      <c r="B67" s="404"/>
      <c r="C67" s="68"/>
      <c r="D67" s="68"/>
      <c r="E67" s="68" t="s">
        <v>92</v>
      </c>
      <c r="F67" s="68"/>
      <c r="G67" s="239">
        <f>G57+G65</f>
        <v>-3789.340000000142</v>
      </c>
      <c r="H67" s="239">
        <f>H57+H65</f>
        <v>63232.199999999895</v>
      </c>
      <c r="I67" s="239"/>
      <c r="J67" s="239">
        <f>J57+J65</f>
        <v>38977.150000000081</v>
      </c>
      <c r="K67" s="370"/>
      <c r="L67" s="239">
        <f>L57+L65</f>
        <v>-42766.490000000005</v>
      </c>
      <c r="M67" s="239"/>
      <c r="N67" s="537"/>
    </row>
    <row r="68" spans="1:14" s="69" customFormat="1" ht="8.25" customHeight="1" x14ac:dyDescent="0.2">
      <c r="A68" s="68"/>
      <c r="B68" s="404"/>
      <c r="C68" s="68"/>
      <c r="D68" s="68"/>
      <c r="E68" s="68"/>
      <c r="F68" s="68"/>
      <c r="G68" s="234"/>
      <c r="H68" s="234"/>
      <c r="I68" s="234"/>
      <c r="J68" s="234"/>
      <c r="K68" s="370"/>
      <c r="L68" s="413"/>
      <c r="M68" s="413"/>
      <c r="N68" s="537"/>
    </row>
    <row r="69" spans="1:14" s="83" customFormat="1" ht="26.25" x14ac:dyDescent="0.2">
      <c r="A69" s="271"/>
      <c r="B69" s="405"/>
      <c r="C69" s="68"/>
      <c r="D69" s="68" t="s">
        <v>151</v>
      </c>
      <c r="E69" s="68"/>
      <c r="F69" s="68"/>
      <c r="G69" s="239">
        <f>H70</f>
        <v>749405.2</v>
      </c>
      <c r="H69" s="239">
        <v>686173</v>
      </c>
      <c r="I69" s="239"/>
      <c r="J69" s="239">
        <v>686173</v>
      </c>
      <c r="K69" s="373"/>
      <c r="L69" s="414"/>
      <c r="M69" s="414"/>
      <c r="N69" s="542"/>
    </row>
    <row r="70" spans="1:14" s="85" customFormat="1" ht="21" thickBot="1" x14ac:dyDescent="0.25">
      <c r="A70" s="68"/>
      <c r="B70" s="404"/>
      <c r="C70" s="68"/>
      <c r="E70" s="68" t="s">
        <v>150</v>
      </c>
      <c r="F70" s="68"/>
      <c r="G70" s="328">
        <f>G67+G69</f>
        <v>745615.85999999987</v>
      </c>
      <c r="H70" s="328">
        <f>H67+H69</f>
        <v>749405.2</v>
      </c>
      <c r="I70" s="276"/>
      <c r="J70" s="328">
        <f>J67+J69</f>
        <v>725150.15000000014</v>
      </c>
      <c r="K70" s="374"/>
      <c r="L70" s="276"/>
      <c r="M70" s="414"/>
      <c r="N70" s="542"/>
    </row>
    <row r="71" spans="1:14" s="66" customFormat="1" ht="6.75" customHeight="1" thickTop="1" x14ac:dyDescent="0.2">
      <c r="A71" s="271"/>
      <c r="B71" s="405"/>
      <c r="C71" s="68"/>
      <c r="D71" s="271"/>
      <c r="E71" s="271"/>
      <c r="F71" s="271"/>
      <c r="G71" s="273"/>
      <c r="H71" s="234"/>
      <c r="I71" s="234"/>
      <c r="J71" s="234"/>
      <c r="K71" s="369"/>
      <c r="L71" s="413"/>
      <c r="M71" s="413"/>
      <c r="N71" s="537"/>
    </row>
    <row r="72" spans="1:14" s="69" customFormat="1" ht="16.5" customHeight="1" x14ac:dyDescent="0.2">
      <c r="A72" s="68"/>
      <c r="B72" s="404"/>
      <c r="D72" s="350"/>
      <c r="E72" s="68"/>
      <c r="G72" s="234"/>
      <c r="H72" s="234"/>
      <c r="I72" s="234"/>
      <c r="J72" s="234"/>
      <c r="K72" s="370"/>
      <c r="L72" s="413"/>
      <c r="M72" s="413"/>
      <c r="N72" s="537"/>
    </row>
    <row r="73" spans="1:14" s="69" customFormat="1" ht="23.25" x14ac:dyDescent="0.2">
      <c r="A73" s="68"/>
      <c r="B73" s="406"/>
      <c r="C73" s="68"/>
      <c r="D73" s="68"/>
      <c r="E73" s="68"/>
      <c r="F73" s="68"/>
      <c r="G73" s="234"/>
      <c r="H73" s="234"/>
      <c r="I73" s="234"/>
      <c r="J73" s="234"/>
      <c r="K73" s="370"/>
      <c r="L73" s="413"/>
      <c r="M73" s="413"/>
      <c r="N73" s="537"/>
    </row>
    <row r="74" spans="1:14" s="69" customFormat="1" ht="20.25" x14ac:dyDescent="0.2">
      <c r="A74" s="68"/>
      <c r="B74" s="404"/>
      <c r="C74" s="68"/>
      <c r="D74" s="68"/>
      <c r="E74" s="68"/>
      <c r="F74" s="68"/>
      <c r="G74" s="234"/>
      <c r="H74" s="234">
        <f>H70-'April''20 Financial Position'!J62</f>
        <v>-0.27000000001862645</v>
      </c>
      <c r="I74" s="234"/>
      <c r="J74" s="234">
        <f>J70-'April''20 Financial Position'!L62</f>
        <v>0.11000000010244548</v>
      </c>
      <c r="K74" s="370"/>
      <c r="L74" s="413"/>
      <c r="M74" s="413"/>
      <c r="N74" s="537"/>
    </row>
    <row r="75" spans="1:14" s="77" customFormat="1" ht="20.25" x14ac:dyDescent="0.2">
      <c r="A75" s="80"/>
      <c r="B75" s="400"/>
      <c r="C75" s="80"/>
      <c r="D75" s="80"/>
      <c r="F75" s="80"/>
      <c r="G75" s="248"/>
      <c r="H75" s="234"/>
      <c r="I75" s="234"/>
      <c r="J75" s="234"/>
      <c r="K75" s="372"/>
      <c r="L75" s="413"/>
      <c r="M75" s="413"/>
      <c r="N75" s="537"/>
    </row>
    <row r="76" spans="1:14" s="77" customFormat="1" ht="20.25" x14ac:dyDescent="0.2">
      <c r="A76" s="80"/>
      <c r="B76" s="400"/>
      <c r="C76" s="80"/>
      <c r="D76" s="80"/>
      <c r="F76" s="80"/>
      <c r="G76" s="234"/>
      <c r="H76" s="234"/>
      <c r="I76" s="234"/>
      <c r="J76" s="234"/>
      <c r="K76" s="372"/>
      <c r="L76" s="413"/>
      <c r="M76" s="413"/>
      <c r="N76" s="537"/>
    </row>
    <row r="77" spans="1:14" s="77" customFormat="1" ht="20.25" x14ac:dyDescent="0.2">
      <c r="A77" s="80"/>
      <c r="B77" s="400"/>
      <c r="C77" s="80"/>
      <c r="D77" s="80"/>
      <c r="F77" s="80"/>
      <c r="G77" s="234"/>
      <c r="H77" s="234"/>
      <c r="I77" s="234"/>
      <c r="J77" s="234"/>
      <c r="K77" s="372"/>
      <c r="L77" s="413"/>
      <c r="M77" s="413"/>
      <c r="N77" s="537"/>
    </row>
    <row r="78" spans="1:14" s="77" customFormat="1" ht="20.25" x14ac:dyDescent="0.2">
      <c r="A78" s="80"/>
      <c r="B78" s="80"/>
      <c r="C78" s="80"/>
      <c r="D78" s="80"/>
      <c r="F78" s="80"/>
      <c r="G78" s="234"/>
      <c r="H78" s="234"/>
      <c r="I78" s="234"/>
      <c r="J78" s="234"/>
      <c r="K78" s="372"/>
      <c r="L78" s="413"/>
      <c r="M78" s="413"/>
      <c r="N78" s="537"/>
    </row>
    <row r="79" spans="1:14" s="77" customFormat="1" ht="20.25" x14ac:dyDescent="0.2">
      <c r="A79" s="80"/>
      <c r="B79" s="80"/>
      <c r="C79" s="80"/>
      <c r="D79" s="80"/>
      <c r="F79" s="80"/>
      <c r="G79" s="234"/>
      <c r="H79" s="234"/>
      <c r="I79" s="234"/>
      <c r="J79" s="234"/>
      <c r="K79" s="372"/>
      <c r="L79" s="413"/>
      <c r="M79" s="413"/>
      <c r="N79" s="537"/>
    </row>
    <row r="80" spans="1:14" s="77" customFormat="1" ht="20.25" x14ac:dyDescent="0.2">
      <c r="A80" s="80"/>
      <c r="B80" s="80"/>
      <c r="C80" s="80"/>
      <c r="D80" s="80"/>
      <c r="F80" s="80"/>
      <c r="G80" s="234"/>
      <c r="H80" s="234"/>
      <c r="I80" s="234"/>
      <c r="J80" s="234"/>
      <c r="K80" s="372"/>
      <c r="L80" s="413"/>
      <c r="M80" s="413"/>
      <c r="N80" s="537"/>
    </row>
    <row r="81" spans="1:14" s="77" customFormat="1" ht="20.25" x14ac:dyDescent="0.2">
      <c r="A81" s="80"/>
      <c r="B81" s="80"/>
      <c r="C81" s="68"/>
      <c r="D81" s="80"/>
      <c r="F81" s="80"/>
      <c r="G81" s="234"/>
      <c r="H81" s="234"/>
      <c r="I81" s="234"/>
      <c r="J81" s="234"/>
      <c r="K81" s="372"/>
      <c r="L81" s="413"/>
      <c r="M81" s="413"/>
      <c r="N81" s="537"/>
    </row>
    <row r="82" spans="1:14" s="77" customFormat="1" ht="20.25" x14ac:dyDescent="0.2">
      <c r="A82" s="80"/>
      <c r="B82" s="80"/>
      <c r="C82" s="80"/>
      <c r="D82" s="80"/>
      <c r="E82" s="80"/>
      <c r="F82" s="80"/>
      <c r="G82" s="234"/>
      <c r="H82" s="234"/>
      <c r="I82" s="234"/>
      <c r="J82" s="234"/>
      <c r="K82" s="372"/>
      <c r="L82" s="413"/>
      <c r="M82" s="413"/>
      <c r="N82" s="537"/>
    </row>
    <row r="83" spans="1:14" s="77" customFormat="1" ht="20.25" x14ac:dyDescent="0.2">
      <c r="A83" s="80"/>
      <c r="B83" s="80"/>
      <c r="C83" s="68"/>
      <c r="D83" s="68"/>
      <c r="G83" s="234"/>
      <c r="H83" s="234"/>
      <c r="I83" s="234"/>
      <c r="J83" s="234"/>
      <c r="K83" s="372"/>
      <c r="L83" s="413"/>
      <c r="M83" s="413"/>
      <c r="N83" s="537"/>
    </row>
    <row r="84" spans="1:14" s="77" customFormat="1" ht="20.25" x14ac:dyDescent="0.2">
      <c r="A84" s="80"/>
      <c r="B84" s="80"/>
      <c r="C84" s="80"/>
      <c r="D84" s="80"/>
      <c r="E84" s="80"/>
      <c r="F84" s="80"/>
      <c r="G84" s="234"/>
      <c r="H84" s="234"/>
      <c r="I84" s="234"/>
      <c r="J84" s="234"/>
      <c r="K84" s="372"/>
      <c r="L84" s="413"/>
      <c r="M84" s="413"/>
      <c r="N84" s="537"/>
    </row>
    <row r="85" spans="1:14" s="77" customFormat="1" ht="20.25" x14ac:dyDescent="0.2">
      <c r="A85" s="80"/>
      <c r="B85" s="80"/>
      <c r="C85" s="80"/>
      <c r="D85" s="80"/>
      <c r="E85" s="80"/>
      <c r="F85" s="80"/>
      <c r="G85" s="234"/>
      <c r="H85" s="234"/>
      <c r="I85" s="234"/>
      <c r="J85" s="234"/>
      <c r="K85" s="372"/>
      <c r="L85" s="413"/>
      <c r="M85" s="413"/>
      <c r="N85" s="537"/>
    </row>
    <row r="86" spans="1:14" s="77" customFormat="1" ht="20.25" x14ac:dyDescent="0.2">
      <c r="A86" s="80"/>
      <c r="B86" s="80"/>
      <c r="C86" s="80"/>
      <c r="D86" s="80"/>
      <c r="E86" s="80"/>
      <c r="F86" s="80"/>
      <c r="G86" s="234"/>
      <c r="H86" s="234"/>
      <c r="I86" s="234"/>
      <c r="J86" s="234"/>
      <c r="K86" s="372"/>
      <c r="L86" s="413"/>
      <c r="M86" s="413"/>
      <c r="N86" s="537"/>
    </row>
    <row r="87" spans="1:14" s="77" customFormat="1" ht="20.25" x14ac:dyDescent="0.2">
      <c r="A87" s="80"/>
      <c r="B87" s="80"/>
      <c r="C87" s="80"/>
      <c r="D87" s="80"/>
      <c r="E87" s="80"/>
      <c r="F87" s="80"/>
      <c r="G87" s="234"/>
      <c r="H87" s="234"/>
      <c r="I87" s="234"/>
      <c r="J87" s="234"/>
      <c r="K87" s="372"/>
      <c r="L87" s="413"/>
      <c r="M87" s="413"/>
      <c r="N87" s="537"/>
    </row>
    <row r="88" spans="1:14" s="77" customFormat="1" ht="20.25" x14ac:dyDescent="0.2">
      <c r="A88" s="80"/>
      <c r="B88" s="80"/>
      <c r="C88" s="68"/>
      <c r="D88" s="80"/>
      <c r="F88" s="80"/>
      <c r="G88" s="234"/>
      <c r="H88" s="234"/>
      <c r="I88" s="234"/>
      <c r="J88" s="234"/>
      <c r="K88" s="372"/>
      <c r="L88" s="413"/>
      <c r="M88" s="413"/>
      <c r="N88" s="537"/>
    </row>
    <row r="89" spans="1:14" s="77" customFormat="1" ht="20.25" x14ac:dyDescent="0.2">
      <c r="A89" s="80"/>
      <c r="B89" s="80"/>
      <c r="C89" s="80"/>
      <c r="D89" s="80"/>
      <c r="E89" s="80"/>
      <c r="F89" s="80"/>
      <c r="G89" s="234"/>
      <c r="H89" s="234"/>
      <c r="I89" s="234"/>
      <c r="J89" s="234"/>
      <c r="K89" s="372"/>
      <c r="L89" s="413"/>
      <c r="M89" s="413"/>
      <c r="N89" s="537"/>
    </row>
    <row r="90" spans="1:14" s="69" customFormat="1" ht="20.25" x14ac:dyDescent="0.2">
      <c r="A90" s="68"/>
      <c r="B90" s="68"/>
      <c r="C90" s="68"/>
      <c r="D90" s="68"/>
      <c r="E90" s="68"/>
      <c r="F90" s="68"/>
      <c r="G90" s="239"/>
      <c r="H90" s="239"/>
      <c r="I90" s="239"/>
      <c r="J90" s="239"/>
      <c r="K90" s="370"/>
      <c r="N90" s="537"/>
    </row>
    <row r="91" spans="1:14" s="69" customFormat="1" ht="20.25" x14ac:dyDescent="0.2">
      <c r="A91" s="68"/>
      <c r="B91" s="68"/>
      <c r="C91" s="68"/>
      <c r="D91" s="68"/>
      <c r="E91" s="68"/>
      <c r="F91" s="68"/>
      <c r="G91" s="239"/>
      <c r="H91" s="239"/>
      <c r="I91" s="239"/>
      <c r="J91" s="239"/>
      <c r="K91" s="370"/>
      <c r="N91" s="537"/>
    </row>
    <row r="92" spans="1:14" s="69" customFormat="1" ht="23.25" x14ac:dyDescent="0.2">
      <c r="A92" s="68"/>
      <c r="B92" s="274"/>
      <c r="C92" s="68"/>
      <c r="D92" s="68"/>
      <c r="E92" s="68"/>
      <c r="F92" s="68"/>
      <c r="G92" s="234"/>
      <c r="H92" s="234"/>
      <c r="I92" s="234"/>
      <c r="J92" s="234"/>
      <c r="K92" s="370"/>
      <c r="N92" s="537"/>
    </row>
    <row r="93" spans="1:14" s="77" customFormat="1" ht="20.25" x14ac:dyDescent="0.2">
      <c r="A93" s="80"/>
      <c r="B93" s="80"/>
      <c r="D93" s="80"/>
      <c r="E93" s="80"/>
      <c r="F93" s="80"/>
      <c r="G93" s="234"/>
      <c r="H93" s="234"/>
      <c r="I93" s="234"/>
      <c r="J93" s="234"/>
      <c r="K93" s="372"/>
      <c r="N93" s="537"/>
    </row>
    <row r="94" spans="1:14" s="77" customFormat="1" ht="20.25" x14ac:dyDescent="0.2">
      <c r="A94" s="80"/>
      <c r="B94" s="80"/>
      <c r="D94" s="80"/>
      <c r="E94" s="80"/>
      <c r="F94" s="80"/>
      <c r="G94" s="234"/>
      <c r="H94" s="234"/>
      <c r="I94" s="234"/>
      <c r="J94" s="234"/>
      <c r="K94" s="372"/>
      <c r="N94" s="537"/>
    </row>
    <row r="95" spans="1:14" s="69" customFormat="1" ht="20.25" x14ac:dyDescent="0.2">
      <c r="A95" s="68"/>
      <c r="B95" s="68"/>
      <c r="D95" s="80"/>
      <c r="E95" s="68"/>
      <c r="F95" s="68"/>
      <c r="G95" s="234"/>
      <c r="H95" s="234"/>
      <c r="I95" s="234"/>
      <c r="J95" s="234"/>
      <c r="K95" s="370"/>
      <c r="N95" s="537"/>
    </row>
    <row r="96" spans="1:14" s="69" customFormat="1" ht="23.25" x14ac:dyDescent="0.2">
      <c r="A96" s="68"/>
      <c r="B96" s="274"/>
      <c r="C96" s="68"/>
      <c r="D96" s="68"/>
      <c r="E96" s="68"/>
      <c r="F96" s="68"/>
      <c r="G96" s="239"/>
      <c r="H96" s="239"/>
      <c r="I96" s="239"/>
      <c r="J96" s="239"/>
      <c r="K96" s="370"/>
      <c r="N96" s="537"/>
    </row>
    <row r="97" spans="1:14" s="69" customFormat="1" ht="20.25" x14ac:dyDescent="0.2">
      <c r="A97" s="68"/>
      <c r="B97" s="68"/>
      <c r="C97" s="68"/>
      <c r="D97" s="68"/>
      <c r="E97" s="68"/>
      <c r="F97" s="68"/>
      <c r="G97" s="234"/>
      <c r="H97" s="234"/>
      <c r="I97" s="234"/>
      <c r="J97" s="234"/>
      <c r="K97" s="370"/>
      <c r="N97" s="537"/>
    </row>
    <row r="98" spans="1:14" s="83" customFormat="1" ht="26.25" x14ac:dyDescent="0.2">
      <c r="A98" s="271"/>
      <c r="B98" s="271"/>
      <c r="C98" s="271"/>
      <c r="D98" s="271"/>
      <c r="E98" s="271"/>
      <c r="F98" s="271"/>
      <c r="G98" s="272"/>
      <c r="H98" s="239"/>
      <c r="I98" s="239"/>
      <c r="J98" s="239"/>
      <c r="K98" s="373"/>
      <c r="N98" s="542"/>
    </row>
    <row r="99" spans="1:14" s="18" customFormat="1" ht="20.25" x14ac:dyDescent="0.3">
      <c r="A99" s="123"/>
      <c r="B99" s="123"/>
      <c r="C99" s="123"/>
      <c r="D99" s="123"/>
      <c r="E99" s="123"/>
      <c r="F99" s="123"/>
      <c r="G99" s="275"/>
      <c r="H99" s="280"/>
      <c r="I99" s="280"/>
      <c r="J99" s="280"/>
      <c r="K99" s="375"/>
      <c r="N99" s="543"/>
    </row>
    <row r="100" spans="1:14" ht="20.25" x14ac:dyDescent="0.3">
      <c r="H100" s="280"/>
      <c r="I100" s="280"/>
      <c r="J100" s="280"/>
    </row>
    <row r="101" spans="1:14" ht="20.25" x14ac:dyDescent="0.3">
      <c r="H101" s="280"/>
      <c r="I101" s="280"/>
      <c r="J101" s="280"/>
    </row>
    <row r="102" spans="1:14" ht="20.25" x14ac:dyDescent="0.3">
      <c r="H102" s="277"/>
      <c r="I102" s="277"/>
      <c r="J102" s="277"/>
    </row>
  </sheetData>
  <mergeCells count="3">
    <mergeCell ref="L8:M8"/>
    <mergeCell ref="G6:J6"/>
    <mergeCell ref="C43:F43"/>
  </mergeCells>
  <pageMargins left="0.65" right="0.15" top="0.25" bottom="0.25" header="0.3" footer="0.3"/>
  <pageSetup scale="44"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2"/>
      <c r="H1" s="60"/>
      <c r="I1" s="60"/>
      <c r="J1" s="60"/>
      <c r="K1" s="60"/>
      <c r="L1" s="47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223</v>
      </c>
      <c r="B2" s="60"/>
      <c r="C2" s="61"/>
      <c r="D2" s="61"/>
      <c r="E2" s="61"/>
      <c r="F2" s="60"/>
      <c r="G2" s="232"/>
      <c r="H2" s="60"/>
      <c r="I2" s="60"/>
      <c r="J2" s="60"/>
      <c r="K2" s="60"/>
      <c r="L2" s="476"/>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'April''20 State of Activities'!A3</f>
        <v>Four Months Ended April 30, 2020 and 2019</v>
      </c>
      <c r="B3" s="60"/>
      <c r="C3" s="61"/>
      <c r="D3" s="61"/>
      <c r="E3" s="61"/>
      <c r="F3" s="60"/>
      <c r="G3" s="232"/>
      <c r="H3" s="60"/>
      <c r="I3" s="60"/>
      <c r="J3" s="60"/>
      <c r="K3" s="60"/>
      <c r="L3" s="476"/>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'April''20 State of Activities'!A4</f>
        <v xml:space="preserve">For the Year Ended December 31, 2019 </v>
      </c>
      <c r="B4" s="60"/>
      <c r="C4" s="61"/>
      <c r="D4" s="61"/>
      <c r="E4" s="61"/>
      <c r="F4" s="60"/>
      <c r="G4" s="232"/>
      <c r="H4" s="60"/>
      <c r="I4" s="60"/>
      <c r="J4" s="60"/>
      <c r="K4" s="60"/>
      <c r="L4" s="476"/>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517"/>
      <c r="H6" s="242" t="s">
        <v>54</v>
      </c>
      <c r="I6" s="242"/>
      <c r="J6" s="826" t="s">
        <v>54</v>
      </c>
      <c r="K6" s="826"/>
      <c r="L6" s="826"/>
      <c r="M6" s="826"/>
      <c r="N6" s="66"/>
      <c r="O6" s="426" t="s">
        <v>189</v>
      </c>
      <c r="P6" s="423" t="s">
        <v>202</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106</v>
      </c>
      <c r="C8" s="154"/>
      <c r="D8" s="154"/>
      <c r="E8" s="154"/>
      <c r="F8" s="154"/>
      <c r="G8" s="285">
        <v>41090</v>
      </c>
      <c r="H8" s="285">
        <v>41274</v>
      </c>
      <c r="I8" s="330"/>
      <c r="J8" s="692">
        <f>'April''20 State of Activities'!G8</f>
        <v>43951</v>
      </c>
      <c r="K8" s="693">
        <f>'April''20 State of Activities'!H8</f>
        <v>43830</v>
      </c>
      <c r="L8" s="694"/>
      <c r="M8" s="693">
        <f>'April''20 State of Activities'!J8</f>
        <v>43585</v>
      </c>
      <c r="N8" s="72"/>
      <c r="O8" s="827" t="s">
        <v>420</v>
      </c>
      <c r="P8" s="827"/>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1" t="s">
        <v>157</v>
      </c>
      <c r="D9" s="431"/>
      <c r="E9" s="431"/>
      <c r="F9" s="74"/>
      <c r="G9" s="267">
        <v>127719</v>
      </c>
      <c r="H9" s="267">
        <v>67566.5</v>
      </c>
      <c r="I9" s="329"/>
      <c r="J9" s="333">
        <f>'April''20 State of Activities'!G10</f>
        <v>35885.589999999997</v>
      </c>
      <c r="K9" s="333">
        <v>158721</v>
      </c>
      <c r="L9" s="333"/>
      <c r="M9" s="333">
        <f>'April''20 State of Activities'!J10</f>
        <v>50375.83</v>
      </c>
      <c r="N9" s="69"/>
      <c r="O9" s="388">
        <f>J9-M9</f>
        <v>-14490.240000000005</v>
      </c>
      <c r="P9" s="424">
        <f>O9/M9</f>
        <v>-0.28764270484476395</v>
      </c>
      <c r="Q9" s="69"/>
      <c r="R9" s="398"/>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31" t="s">
        <v>224</v>
      </c>
      <c r="D10" s="431"/>
      <c r="E10" s="431"/>
      <c r="F10" s="74"/>
      <c r="G10" s="266">
        <v>875436</v>
      </c>
      <c r="H10" s="266">
        <v>372424.1</v>
      </c>
      <c r="I10" s="333"/>
      <c r="J10" s="329"/>
      <c r="K10" s="329">
        <v>12278.42</v>
      </c>
      <c r="L10" s="333"/>
      <c r="M10" s="329"/>
      <c r="N10" s="69"/>
      <c r="O10" s="520">
        <f>J10-M10</f>
        <v>0</v>
      </c>
      <c r="P10" s="449" t="e">
        <f>O10/M10</f>
        <v>#DIV/0!</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1" t="s">
        <v>419</v>
      </c>
      <c r="D11" s="431"/>
      <c r="E11" s="431"/>
      <c r="F11" s="74"/>
      <c r="G11" s="266"/>
      <c r="H11" s="266"/>
      <c r="I11" s="333"/>
      <c r="J11" s="329">
        <f>'April 20 Revenues &amp; Expenses'!I8-K11-5010</f>
        <v>3260</v>
      </c>
      <c r="K11" s="329">
        <v>10616</v>
      </c>
      <c r="L11" s="333"/>
      <c r="M11" s="329"/>
      <c r="N11" s="69"/>
      <c r="O11" s="520">
        <f>J11-M11</f>
        <v>3260</v>
      </c>
      <c r="P11" s="44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31" t="s">
        <v>108</v>
      </c>
      <c r="D12" s="431"/>
      <c r="E12" s="431"/>
      <c r="F12" s="74"/>
      <c r="G12" s="267"/>
      <c r="H12" s="267"/>
      <c r="I12" s="329"/>
      <c r="J12" s="329"/>
      <c r="K12" s="329"/>
      <c r="L12" s="329"/>
      <c r="M12" s="329"/>
      <c r="N12" s="69"/>
      <c r="O12" s="520"/>
      <c r="P12" s="436"/>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1" t="s">
        <v>225</v>
      </c>
      <c r="E13" s="431"/>
      <c r="F13" s="74"/>
      <c r="G13" s="267">
        <v>94235.25</v>
      </c>
      <c r="H13" s="267">
        <v>37190.379999999997</v>
      </c>
      <c r="I13" s="329"/>
      <c r="J13" s="329">
        <f>3750*4</f>
        <v>15000</v>
      </c>
      <c r="K13" s="329">
        <f>3708.33*12</f>
        <v>44499.96</v>
      </c>
      <c r="L13" s="329"/>
      <c r="M13" s="329">
        <f>3708.33*4</f>
        <v>14833.32</v>
      </c>
      <c r="N13" s="69"/>
      <c r="O13" s="520">
        <f t="shared" ref="O13:O18" si="0">J13-M13</f>
        <v>166.68000000000029</v>
      </c>
      <c r="P13" s="449">
        <f>O13/M13</f>
        <v>1.1236864033136229E-2</v>
      </c>
      <c r="Q13" s="69"/>
      <c r="R13" s="482"/>
      <c r="S13" s="483"/>
      <c r="T13" s="482"/>
      <c r="U13" s="482"/>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31" t="s">
        <v>166</v>
      </c>
      <c r="E14" s="431"/>
      <c r="F14" s="74"/>
      <c r="G14" s="267"/>
      <c r="H14" s="267"/>
      <c r="I14" s="329"/>
      <c r="J14" s="329">
        <f>'April''20 State of Activities'!G15</f>
        <v>6000</v>
      </c>
      <c r="K14" s="329">
        <v>13000</v>
      </c>
      <c r="L14" s="329"/>
      <c r="M14" s="329">
        <v>4333.33</v>
      </c>
      <c r="N14" s="69"/>
      <c r="O14" s="520">
        <f t="shared" si="0"/>
        <v>1666.67</v>
      </c>
      <c r="P14" s="449">
        <f>O14/M14</f>
        <v>0.38461644970496134</v>
      </c>
      <c r="Q14" s="69"/>
      <c r="R14" s="69"/>
      <c r="S14" s="397"/>
      <c r="T14" s="484"/>
      <c r="U14" s="370"/>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1" t="s">
        <v>109</v>
      </c>
      <c r="D15" s="431"/>
      <c r="E15" s="431"/>
      <c r="F15" s="74"/>
      <c r="G15" s="267">
        <v>0</v>
      </c>
      <c r="H15" s="267">
        <v>3517</v>
      </c>
      <c r="I15" s="329"/>
      <c r="J15" s="329">
        <f>'April''20 State of Activities'!G17</f>
        <v>3319.5</v>
      </c>
      <c r="K15" s="329">
        <f>'April''20 State of Activities'!H17</f>
        <v>13071.46</v>
      </c>
      <c r="L15" s="329"/>
      <c r="M15" s="329">
        <f>'April''20 State of Activities'!J17</f>
        <v>3772</v>
      </c>
      <c r="N15" s="69"/>
      <c r="O15" s="520">
        <f t="shared" si="0"/>
        <v>-452.5</v>
      </c>
      <c r="P15" s="449">
        <f>O15/M15</f>
        <v>-0.11996288441145281</v>
      </c>
      <c r="Q15" s="69"/>
      <c r="R15" s="69"/>
      <c r="S15" s="397"/>
      <c r="T15" s="484"/>
      <c r="U15" s="370"/>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1" t="s">
        <v>226</v>
      </c>
      <c r="D16" s="431"/>
      <c r="E16" s="431"/>
      <c r="F16" s="74"/>
      <c r="G16" s="267">
        <v>31459</v>
      </c>
      <c r="H16" s="267">
        <v>13920.35</v>
      </c>
      <c r="I16" s="329"/>
      <c r="J16" s="329">
        <f>'April 20 Revenues &amp; Expenses'!H37</f>
        <v>7979.94</v>
      </c>
      <c r="K16" s="329">
        <v>25000</v>
      </c>
      <c r="L16" s="329"/>
      <c r="M16" s="329">
        <v>8153.81</v>
      </c>
      <c r="N16" s="69"/>
      <c r="O16" s="520">
        <f t="shared" si="0"/>
        <v>-173.8700000000008</v>
      </c>
      <c r="P16" s="449">
        <f>O16/M16</f>
        <v>-2.132377379409145E-2</v>
      </c>
      <c r="Q16" s="69"/>
      <c r="R16" s="69"/>
      <c r="S16" s="397"/>
      <c r="T16" s="484"/>
      <c r="U16" s="370"/>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1" t="s">
        <v>395</v>
      </c>
      <c r="D17" s="431"/>
      <c r="E17" s="431"/>
      <c r="F17" s="74"/>
      <c r="G17" s="267"/>
      <c r="H17" s="267"/>
      <c r="I17" s="329"/>
      <c r="J17" s="329"/>
      <c r="K17" s="329">
        <v>22918.98</v>
      </c>
      <c r="L17" s="329"/>
      <c r="M17" s="329"/>
      <c r="N17" s="69"/>
      <c r="O17" s="520">
        <f t="shared" si="0"/>
        <v>0</v>
      </c>
      <c r="P17" s="449"/>
      <c r="Q17" s="69"/>
      <c r="R17" s="69"/>
      <c r="S17" s="397"/>
      <c r="T17" s="484"/>
      <c r="U17" s="370"/>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431" t="s">
        <v>421</v>
      </c>
      <c r="D18" s="431"/>
      <c r="E18" s="431"/>
      <c r="F18" s="74"/>
      <c r="G18" s="267"/>
      <c r="H18" s="267"/>
      <c r="I18" s="329"/>
      <c r="J18" s="329">
        <f>'April 20 Revenues &amp; Expenses'!H44</f>
        <v>2804.25</v>
      </c>
      <c r="K18" s="329">
        <v>23967.15</v>
      </c>
      <c r="L18" s="329"/>
      <c r="M18" s="329"/>
      <c r="N18" s="69"/>
      <c r="O18" s="520">
        <f t="shared" si="0"/>
        <v>2804.25</v>
      </c>
      <c r="P18" s="449"/>
      <c r="Q18" s="69"/>
      <c r="R18" s="69"/>
      <c r="S18" s="397"/>
      <c r="T18" s="484"/>
      <c r="U18" s="370"/>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1" t="s">
        <v>348</v>
      </c>
      <c r="D19" s="431"/>
      <c r="E19" s="431"/>
      <c r="F19" s="74"/>
      <c r="G19" s="267"/>
      <c r="H19" s="267"/>
      <c r="I19" s="329"/>
      <c r="J19" s="329">
        <f>'April''20 State of Activities'!G11</f>
        <v>121.17</v>
      </c>
      <c r="K19" s="329">
        <v>1968.5</v>
      </c>
      <c r="L19" s="329"/>
      <c r="M19" s="329">
        <f>2100.03-1250</f>
        <v>850.0300000000002</v>
      </c>
      <c r="N19" s="69"/>
      <c r="O19" s="520">
        <f t="shared" ref="O19:O20" si="1">J19-M19</f>
        <v>-728.86000000000024</v>
      </c>
      <c r="P19" s="449"/>
      <c r="Q19" s="69"/>
      <c r="R19" s="69"/>
      <c r="S19" s="397"/>
      <c r="T19" s="484"/>
      <c r="U19" s="370"/>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29" t="s">
        <v>350</v>
      </c>
      <c r="D20" s="829"/>
      <c r="E20" s="829"/>
      <c r="F20" s="829"/>
      <c r="G20" s="267"/>
      <c r="H20" s="267"/>
      <c r="I20" s="329"/>
      <c r="J20" s="329">
        <v>0</v>
      </c>
      <c r="K20" s="329">
        <v>1127.23</v>
      </c>
      <c r="L20" s="329"/>
      <c r="M20" s="329">
        <v>177.19</v>
      </c>
      <c r="N20" s="69"/>
      <c r="O20" s="520">
        <f t="shared" si="1"/>
        <v>-177.19</v>
      </c>
      <c r="P20" s="449"/>
      <c r="Q20" s="69"/>
      <c r="R20" s="69"/>
      <c r="S20" s="397"/>
      <c r="T20" s="484"/>
      <c r="U20" s="370"/>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0.25" x14ac:dyDescent="0.2">
      <c r="A21" s="74"/>
      <c r="B21" s="74"/>
      <c r="C21" s="431" t="s">
        <v>360</v>
      </c>
      <c r="D21" s="431"/>
      <c r="E21" s="431"/>
      <c r="F21" s="74"/>
      <c r="G21" s="267">
        <v>1125</v>
      </c>
      <c r="H21" s="267">
        <v>6050</v>
      </c>
      <c r="I21" s="329"/>
      <c r="J21" s="329">
        <f>'April''20 State of Activities'!G24</f>
        <v>0</v>
      </c>
      <c r="K21" s="329">
        <f>'April''20 State of Activities'!H24</f>
        <v>4850</v>
      </c>
      <c r="L21" s="329"/>
      <c r="M21" s="329">
        <f>'April''20 State of Activities'!J24</f>
        <v>2300</v>
      </c>
      <c r="N21" s="69"/>
      <c r="O21" s="520">
        <f>J21-M21</f>
        <v>-2300</v>
      </c>
      <c r="P21" s="44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1" thickBot="1" x14ac:dyDescent="0.25">
      <c r="A22" s="74"/>
      <c r="B22" s="74"/>
      <c r="C22" s="431" t="s">
        <v>227</v>
      </c>
      <c r="D22" s="431"/>
      <c r="E22" s="431"/>
      <c r="F22" s="74"/>
      <c r="G22" s="268">
        <v>31250</v>
      </c>
      <c r="H22" s="268">
        <v>15624.98</v>
      </c>
      <c r="I22" s="329"/>
      <c r="J22" s="268">
        <f>'April''20 State of Activities'!G25*0.2</f>
        <v>3105</v>
      </c>
      <c r="K22" s="268">
        <f>'April''20 State of Activities'!H25*0.2</f>
        <v>9315</v>
      </c>
      <c r="L22" s="329"/>
      <c r="M22" s="268">
        <f>'April''20 State of Activities'!J25*0.2</f>
        <v>3105</v>
      </c>
      <c r="N22" s="69"/>
      <c r="O22" s="521">
        <f>J22-M22</f>
        <v>0</v>
      </c>
      <c r="P22" s="425">
        <v>0</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0.25" x14ac:dyDescent="0.2">
      <c r="A23" s="74"/>
      <c r="B23" s="74"/>
      <c r="C23" s="431"/>
      <c r="D23" s="74" t="s">
        <v>111</v>
      </c>
      <c r="E23" s="431"/>
      <c r="F23" s="74"/>
      <c r="G23" s="236">
        <v>1161224.25</v>
      </c>
      <c r="H23" s="236">
        <v>516293.30999999994</v>
      </c>
      <c r="I23" s="234"/>
      <c r="J23" s="267">
        <f>SUM(J9:J22)</f>
        <v>77475.45</v>
      </c>
      <c r="K23" s="267">
        <f>SUM(K9:K22)</f>
        <v>341333.69999999995</v>
      </c>
      <c r="L23" s="329"/>
      <c r="M23" s="267">
        <f>SUM(M9:M22)</f>
        <v>87900.51</v>
      </c>
      <c r="N23" s="69"/>
      <c r="O23" s="278">
        <f>SUM(O9:O22)</f>
        <v>-10425.060000000005</v>
      </c>
      <c r="P23" s="449">
        <f>O23/M23</f>
        <v>-0.11860067706091813</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228</v>
      </c>
      <c r="D24" s="431"/>
      <c r="E24" s="431"/>
      <c r="F24" s="74"/>
      <c r="G24" s="243">
        <v>150176</v>
      </c>
      <c r="H24" s="243">
        <v>47700.27</v>
      </c>
      <c r="I24" s="234"/>
      <c r="J24" s="329">
        <f>19000/12*4</f>
        <v>6333.333333333333</v>
      </c>
      <c r="K24" s="329">
        <v>19000</v>
      </c>
      <c r="L24" s="329"/>
      <c r="M24" s="329">
        <v>6333</v>
      </c>
      <c r="N24" s="69"/>
      <c r="O24" s="520">
        <f>J24-M24</f>
        <v>0.33333333333303017</v>
      </c>
      <c r="P24" s="424">
        <f>O24/M24</f>
        <v>5.2634349176224567E-5</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74"/>
      <c r="C25" s="74" t="s">
        <v>229</v>
      </c>
      <c r="D25" s="431"/>
      <c r="E25" s="431"/>
      <c r="F25" s="74"/>
      <c r="G25" s="234"/>
      <c r="H25" s="234"/>
      <c r="I25" s="234"/>
      <c r="J25" s="268">
        <v>13545.94</v>
      </c>
      <c r="K25" s="268">
        <v>37834.400000000001</v>
      </c>
      <c r="L25" s="329"/>
      <c r="M25" s="268">
        <v>14484</v>
      </c>
      <c r="N25" s="69"/>
      <c r="O25" s="387">
        <f>J25-M25</f>
        <v>-938.05999999999949</v>
      </c>
      <c r="P25" s="477">
        <f>O25/M25</f>
        <v>-6.4765258215962407E-2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1"/>
      <c r="D26" s="74" t="s">
        <v>113</v>
      </c>
      <c r="E26" s="431"/>
      <c r="F26" s="74"/>
      <c r="G26" s="236">
        <v>1311400.25</v>
      </c>
      <c r="H26" s="236">
        <v>563993.57999999996</v>
      </c>
      <c r="I26" s="234"/>
      <c r="J26" s="267">
        <f>SUM(J23:J25)</f>
        <v>97354.723333333328</v>
      </c>
      <c r="K26" s="267">
        <f>SUM(K23:K25)</f>
        <v>398168.1</v>
      </c>
      <c r="L26" s="329"/>
      <c r="M26" s="267">
        <f>SUM(M23:M25)</f>
        <v>108717.51</v>
      </c>
      <c r="N26" s="69"/>
      <c r="O26" s="278">
        <f>J26-M26</f>
        <v>-11362.786666666667</v>
      </c>
      <c r="P26" s="449">
        <f>O26/M26</f>
        <v>-0.10451661987720899</v>
      </c>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0.25" x14ac:dyDescent="0.2">
      <c r="A27" s="74"/>
      <c r="B27" s="74"/>
      <c r="C27" s="431"/>
      <c r="D27" s="74"/>
      <c r="E27" s="431"/>
      <c r="F27" s="74"/>
      <c r="G27" s="236"/>
      <c r="H27" s="236"/>
      <c r="I27" s="234"/>
      <c r="J27" s="329"/>
      <c r="K27" s="606"/>
      <c r="L27" s="329"/>
      <c r="M27" s="32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1" thickBot="1" x14ac:dyDescent="0.25">
      <c r="A28" s="74"/>
      <c r="B28" s="88" t="s">
        <v>117</v>
      </c>
      <c r="C28" s="88"/>
      <c r="D28" s="88"/>
      <c r="E28" s="88"/>
      <c r="F28" s="88"/>
      <c r="G28" s="243"/>
      <c r="H28" s="69"/>
      <c r="I28" s="69"/>
      <c r="J28" s="329"/>
      <c r="K28" s="377"/>
      <c r="L28" s="377"/>
      <c r="M28" s="377"/>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69" customFormat="1" ht="20.25" x14ac:dyDescent="0.2">
      <c r="A29" s="68"/>
      <c r="B29" s="68"/>
      <c r="C29" s="80" t="s">
        <v>230</v>
      </c>
      <c r="D29" s="80"/>
      <c r="E29" s="80"/>
      <c r="F29" s="80"/>
      <c r="G29" s="234">
        <v>733747.79999999993</v>
      </c>
      <c r="H29" s="278">
        <v>361976</v>
      </c>
      <c r="I29" s="278"/>
      <c r="J29" s="329"/>
      <c r="K29" s="409"/>
      <c r="L29" s="409"/>
      <c r="M29" s="409"/>
    </row>
    <row r="30" spans="1:61" s="69" customFormat="1" ht="20.25" x14ac:dyDescent="0.2">
      <c r="A30" s="68"/>
      <c r="B30" s="68"/>
      <c r="C30" s="80"/>
      <c r="D30" s="828" t="s">
        <v>231</v>
      </c>
      <c r="E30" s="828"/>
      <c r="F30" s="828"/>
      <c r="G30" s="234"/>
      <c r="H30" s="278"/>
      <c r="I30" s="278"/>
      <c r="J30" s="329">
        <v>46523.87</v>
      </c>
      <c r="K30" s="329">
        <v>162253.75</v>
      </c>
      <c r="L30" s="409"/>
      <c r="M30" s="329">
        <v>54004.88</v>
      </c>
      <c r="O30" s="278">
        <f t="shared" ref="O30:O50" si="2">J30-M30</f>
        <v>-7481.0099999999948</v>
      </c>
      <c r="P30" s="449">
        <f>O30/M30</f>
        <v>-0.13852470369344391</v>
      </c>
    </row>
    <row r="31" spans="1:61" s="69" customFormat="1" ht="20.25" x14ac:dyDescent="0.2">
      <c r="A31" s="68"/>
      <c r="B31" s="68"/>
      <c r="C31" s="80"/>
      <c r="D31" s="828" t="s">
        <v>232</v>
      </c>
      <c r="E31" s="828"/>
      <c r="F31" s="828"/>
      <c r="G31" s="234"/>
      <c r="H31" s="278"/>
      <c r="I31" s="278"/>
      <c r="J31" s="329">
        <f>14963.46+7406.6</f>
        <v>22370.059999999998</v>
      </c>
      <c r="K31" s="329">
        <f>37966.12+23862.63+605.03+106.59</f>
        <v>62540.369999999995</v>
      </c>
      <c r="L31" s="409"/>
      <c r="M31" s="329">
        <f>201.84+106.59+12231.6+8004.18</f>
        <v>20544.21</v>
      </c>
      <c r="O31" s="278">
        <f t="shared" si="2"/>
        <v>1825.8499999999985</v>
      </c>
      <c r="P31" s="449">
        <f>O31/M31</f>
        <v>8.8874188883388494E-2</v>
      </c>
      <c r="R31" s="265"/>
    </row>
    <row r="32" spans="1:61" s="69" customFormat="1" ht="20.25" x14ac:dyDescent="0.2">
      <c r="A32" s="68"/>
      <c r="B32" s="68"/>
      <c r="C32" s="80"/>
      <c r="D32" s="828" t="s">
        <v>119</v>
      </c>
      <c r="E32" s="828"/>
      <c r="F32" s="828"/>
      <c r="G32" s="234"/>
      <c r="H32" s="278"/>
      <c r="I32" s="278"/>
      <c r="J32" s="329">
        <v>10888.03</v>
      </c>
      <c r="K32" s="329">
        <v>42279.58</v>
      </c>
      <c r="L32" s="409"/>
      <c r="M32" s="329">
        <f>(M30+M31)*0.18</f>
        <v>13418.8362</v>
      </c>
      <c r="O32" s="278">
        <f t="shared" si="2"/>
        <v>-2530.8061999999991</v>
      </c>
      <c r="P32" s="449">
        <f>O32/M32</f>
        <v>-0.18860102040741797</v>
      </c>
    </row>
    <row r="33" spans="1:16" s="69" customFormat="1" ht="20.25" x14ac:dyDescent="0.2">
      <c r="A33" s="68"/>
      <c r="B33" s="68"/>
      <c r="C33" s="80" t="s">
        <v>280</v>
      </c>
      <c r="D33" s="80"/>
      <c r="E33" s="80"/>
      <c r="F33" s="80"/>
      <c r="G33" s="234">
        <v>44745.18</v>
      </c>
      <c r="H33" s="234">
        <v>20974.21</v>
      </c>
      <c r="I33" s="234"/>
      <c r="J33" s="329"/>
      <c r="K33" s="606"/>
      <c r="L33" s="329"/>
      <c r="M33" s="606"/>
      <c r="O33" s="278">
        <f t="shared" si="2"/>
        <v>0</v>
      </c>
      <c r="P33" s="449"/>
    </row>
    <row r="34" spans="1:16" s="69" customFormat="1" ht="20.25" x14ac:dyDescent="0.2">
      <c r="A34" s="68"/>
      <c r="B34" s="68"/>
      <c r="C34" s="80"/>
      <c r="D34" s="828" t="s">
        <v>233</v>
      </c>
      <c r="E34" s="828"/>
      <c r="F34" s="828"/>
      <c r="G34" s="234"/>
      <c r="H34" s="234"/>
      <c r="I34" s="234"/>
      <c r="J34" s="329">
        <v>6268.63</v>
      </c>
      <c r="K34" s="329">
        <v>25472.83</v>
      </c>
      <c r="L34" s="329"/>
      <c r="M34" s="329">
        <v>8106.06</v>
      </c>
      <c r="O34" s="278">
        <f t="shared" si="2"/>
        <v>-1837.4300000000003</v>
      </c>
      <c r="P34" s="449">
        <f t="shared" ref="P34:P41" si="3">O34/M34</f>
        <v>-0.22667362442419625</v>
      </c>
    </row>
    <row r="35" spans="1:16" s="69" customFormat="1" ht="20.25" x14ac:dyDescent="0.2">
      <c r="A35" s="68"/>
      <c r="B35" s="68"/>
      <c r="C35" s="80"/>
      <c r="D35" s="828" t="s">
        <v>234</v>
      </c>
      <c r="E35" s="828"/>
      <c r="F35" s="828"/>
      <c r="G35" s="234"/>
      <c r="H35" s="234"/>
      <c r="I35" s="234"/>
      <c r="J35" s="329">
        <v>7505.34</v>
      </c>
      <c r="K35" s="329">
        <v>17989.87</v>
      </c>
      <c r="L35" s="329"/>
      <c r="M35" s="329">
        <v>5932.49</v>
      </c>
      <c r="O35" s="278">
        <f t="shared" si="2"/>
        <v>1572.8500000000004</v>
      </c>
      <c r="P35" s="449">
        <f t="shared" si="3"/>
        <v>0.26512476211506475</v>
      </c>
    </row>
    <row r="36" spans="1:16" s="69" customFormat="1" ht="20.25" x14ac:dyDescent="0.2">
      <c r="A36" s="68"/>
      <c r="B36" s="68"/>
      <c r="C36" s="80"/>
      <c r="D36" s="828" t="s">
        <v>305</v>
      </c>
      <c r="E36" s="828"/>
      <c r="F36" s="828"/>
      <c r="G36" s="234"/>
      <c r="H36" s="234"/>
      <c r="I36" s="234"/>
      <c r="J36" s="329">
        <v>10574.92</v>
      </c>
      <c r="K36" s="329">
        <v>16090.9</v>
      </c>
      <c r="L36" s="329"/>
      <c r="M36" s="329">
        <v>7105.84</v>
      </c>
      <c r="O36" s="278">
        <f t="shared" si="2"/>
        <v>3469.08</v>
      </c>
      <c r="P36" s="449">
        <f t="shared" si="3"/>
        <v>0.48820125417966065</v>
      </c>
    </row>
    <row r="37" spans="1:16" s="69" customFormat="1" ht="20.25" x14ac:dyDescent="0.2">
      <c r="A37" s="68"/>
      <c r="B37" s="68"/>
      <c r="C37" s="80"/>
      <c r="D37" s="828" t="s">
        <v>235</v>
      </c>
      <c r="E37" s="828"/>
      <c r="F37" s="828"/>
      <c r="G37" s="234"/>
      <c r="H37" s="234"/>
      <c r="I37" s="234"/>
      <c r="J37" s="329">
        <v>307</v>
      </c>
      <c r="K37" s="329">
        <v>1427.75</v>
      </c>
      <c r="L37" s="329"/>
      <c r="M37" s="329">
        <v>79</v>
      </c>
      <c r="O37" s="278">
        <f t="shared" si="2"/>
        <v>228</v>
      </c>
      <c r="P37" s="449">
        <f t="shared" si="3"/>
        <v>2.8860759493670884</v>
      </c>
    </row>
    <row r="38" spans="1:16" s="69" customFormat="1" ht="20.25" x14ac:dyDescent="0.2">
      <c r="A38" s="68"/>
      <c r="B38" s="68"/>
      <c r="C38" s="80" t="s">
        <v>236</v>
      </c>
      <c r="D38" s="80"/>
      <c r="E38" s="80"/>
      <c r="F38" s="80"/>
      <c r="G38" s="234">
        <v>27200</v>
      </c>
      <c r="H38" s="234">
        <v>11327</v>
      </c>
      <c r="I38" s="234"/>
      <c r="J38" s="329">
        <f>620+9500</f>
        <v>10120</v>
      </c>
      <c r="K38" s="329">
        <f>22438.68+1591</f>
        <v>24029.68</v>
      </c>
      <c r="L38" s="329"/>
      <c r="M38" s="329">
        <f>530.32+7060.24</f>
        <v>7590.5599999999995</v>
      </c>
      <c r="O38" s="278">
        <f t="shared" si="2"/>
        <v>2529.4400000000005</v>
      </c>
      <c r="P38" s="449">
        <f t="shared" si="3"/>
        <v>0.33323496553613974</v>
      </c>
    </row>
    <row r="39" spans="1:16" s="69" customFormat="1" ht="20.25" x14ac:dyDescent="0.2">
      <c r="A39" s="68"/>
      <c r="B39" s="68"/>
      <c r="C39" s="80" t="s">
        <v>110</v>
      </c>
      <c r="D39" s="80"/>
      <c r="E39" s="80"/>
      <c r="F39" s="80"/>
      <c r="G39" s="234">
        <v>150176</v>
      </c>
      <c r="H39" s="278">
        <v>47700.27</v>
      </c>
      <c r="I39" s="278"/>
      <c r="J39" s="329">
        <f>J22</f>
        <v>3105</v>
      </c>
      <c r="K39" s="329">
        <f>K22</f>
        <v>9315</v>
      </c>
      <c r="L39" s="409"/>
      <c r="M39" s="329">
        <f>M22</f>
        <v>3105</v>
      </c>
      <c r="O39" s="278">
        <f t="shared" si="2"/>
        <v>0</v>
      </c>
      <c r="P39" s="449">
        <f t="shared" si="3"/>
        <v>0</v>
      </c>
    </row>
    <row r="40" spans="1:16" s="69" customFormat="1" ht="20.25" x14ac:dyDescent="0.2">
      <c r="A40" s="68"/>
      <c r="B40" s="68"/>
      <c r="C40" s="80" t="s">
        <v>317</v>
      </c>
      <c r="D40" s="80"/>
      <c r="E40" s="80"/>
      <c r="F40" s="80"/>
      <c r="G40" s="234"/>
      <c r="H40" s="278"/>
      <c r="I40" s="278"/>
      <c r="J40" s="329">
        <f>74.01+120+1073.99+350</f>
        <v>1618</v>
      </c>
      <c r="K40" s="329">
        <v>4497</v>
      </c>
      <c r="L40" s="409"/>
      <c r="M40" s="329">
        <v>1388</v>
      </c>
      <c r="O40" s="278">
        <f t="shared" si="2"/>
        <v>230</v>
      </c>
      <c r="P40" s="449">
        <f t="shared" si="3"/>
        <v>0.16570605187319884</v>
      </c>
    </row>
    <row r="41" spans="1:16" s="69" customFormat="1" ht="20.25" x14ac:dyDescent="0.2">
      <c r="A41" s="68"/>
      <c r="B41" s="68"/>
      <c r="C41" s="80" t="s">
        <v>237</v>
      </c>
      <c r="D41" s="80"/>
      <c r="E41" s="80"/>
      <c r="F41" s="80"/>
      <c r="G41" s="234"/>
      <c r="H41" s="278"/>
      <c r="I41" s="278"/>
      <c r="J41" s="329">
        <v>954</v>
      </c>
      <c r="K41" s="329">
        <f>75+874</f>
        <v>949</v>
      </c>
      <c r="L41" s="409"/>
      <c r="M41" s="329">
        <f>393+75</f>
        <v>468</v>
      </c>
      <c r="O41" s="278">
        <f t="shared" si="2"/>
        <v>486</v>
      </c>
      <c r="P41" s="449">
        <f t="shared" si="3"/>
        <v>1.0384615384615385</v>
      </c>
    </row>
    <row r="42" spans="1:16" s="69" customFormat="1" ht="20.25" x14ac:dyDescent="0.2">
      <c r="A42" s="68"/>
      <c r="B42" s="68"/>
      <c r="C42" s="80" t="s">
        <v>398</v>
      </c>
      <c r="D42" s="80"/>
      <c r="E42" s="80"/>
      <c r="F42" s="80"/>
      <c r="G42" s="234">
        <v>10993.12</v>
      </c>
      <c r="H42" s="278">
        <v>4904.57</v>
      </c>
      <c r="I42" s="278"/>
      <c r="J42" s="329">
        <f>15.6+1972.25+200.9</f>
        <v>2188.75</v>
      </c>
      <c r="K42" s="329">
        <v>4436.1400000000003</v>
      </c>
      <c r="L42" s="409"/>
      <c r="M42" s="329">
        <f>18.18+1152.17</f>
        <v>1170.3500000000001</v>
      </c>
      <c r="O42" s="278">
        <f t="shared" si="2"/>
        <v>1018.3999999999999</v>
      </c>
      <c r="P42" s="449">
        <f>O42/M42</f>
        <v>0.87016704404665246</v>
      </c>
    </row>
    <row r="43" spans="1:16" s="69" customFormat="1" ht="20.25" x14ac:dyDescent="0.2">
      <c r="A43" s="68"/>
      <c r="B43" s="68"/>
      <c r="C43" s="80" t="s">
        <v>238</v>
      </c>
      <c r="D43" s="80"/>
      <c r="E43" s="80"/>
      <c r="F43" s="80"/>
      <c r="G43" s="234">
        <v>10250.949999999999</v>
      </c>
      <c r="H43" s="278">
        <v>3982.99</v>
      </c>
      <c r="I43" s="278"/>
      <c r="J43" s="329">
        <f>41.5+63.36</f>
        <v>104.86</v>
      </c>
      <c r="K43" s="329">
        <f>223.01+568.51</f>
        <v>791.52</v>
      </c>
      <c r="L43" s="409"/>
      <c r="M43" s="329">
        <f>11.58+94.37+34.1+4.4</f>
        <v>144.45000000000002</v>
      </c>
      <c r="O43" s="278">
        <f t="shared" si="2"/>
        <v>-39.590000000000018</v>
      </c>
      <c r="P43" s="449">
        <f>O43/M43</f>
        <v>-0.27407407407407414</v>
      </c>
    </row>
    <row r="44" spans="1:16" s="69" customFormat="1" ht="20.25" x14ac:dyDescent="0.2">
      <c r="A44" s="68"/>
      <c r="B44" s="68"/>
      <c r="C44" s="80" t="s">
        <v>128</v>
      </c>
      <c r="D44" s="80"/>
      <c r="E44" s="80"/>
      <c r="F44" s="80"/>
      <c r="G44" s="234">
        <v>4412.53</v>
      </c>
      <c r="H44" s="279">
        <v>5667</v>
      </c>
      <c r="I44" s="279"/>
      <c r="J44" s="329">
        <v>1039.4000000000001</v>
      </c>
      <c r="K44" s="329">
        <v>1826.56</v>
      </c>
      <c r="L44" s="410"/>
      <c r="M44" s="329">
        <f>72.06+953.27</f>
        <v>1025.33</v>
      </c>
      <c r="O44" s="278">
        <f t="shared" si="2"/>
        <v>14.070000000000164</v>
      </c>
      <c r="P44" s="449">
        <f>O44/M44</f>
        <v>1.3722411321233325E-2</v>
      </c>
    </row>
    <row r="45" spans="1:16" s="69" customFormat="1" ht="20.25" x14ac:dyDescent="0.2">
      <c r="A45" s="68"/>
      <c r="B45" s="68"/>
      <c r="C45" s="80" t="s">
        <v>126</v>
      </c>
      <c r="D45" s="80"/>
      <c r="E45" s="80"/>
      <c r="F45" s="80"/>
      <c r="G45" s="234">
        <v>7901</v>
      </c>
      <c r="H45" s="278">
        <v>4149.6000000000004</v>
      </c>
      <c r="I45" s="278"/>
      <c r="J45" s="329">
        <v>84.69</v>
      </c>
      <c r="K45" s="329">
        <v>396.82</v>
      </c>
      <c r="L45" s="409"/>
      <c r="M45" s="329">
        <f>150.1</f>
        <v>150.1</v>
      </c>
      <c r="O45" s="278">
        <f t="shared" si="2"/>
        <v>-65.41</v>
      </c>
      <c r="P45" s="449">
        <f>O45/M45</f>
        <v>-0.43577614923384411</v>
      </c>
    </row>
    <row r="46" spans="1:16" s="69" customFormat="1" ht="20.25" hidden="1" x14ac:dyDescent="0.2">
      <c r="A46" s="68"/>
      <c r="B46" s="68"/>
      <c r="C46" s="80" t="s">
        <v>239</v>
      </c>
      <c r="D46" s="80"/>
      <c r="E46" s="80"/>
      <c r="F46" s="80"/>
      <c r="G46" s="234"/>
      <c r="H46" s="278"/>
      <c r="I46" s="278"/>
      <c r="J46" s="329"/>
      <c r="K46" s="329"/>
      <c r="L46" s="409"/>
      <c r="M46" s="329"/>
      <c r="O46" s="278">
        <f t="shared" si="2"/>
        <v>0</v>
      </c>
      <c r="P46" s="449"/>
    </row>
    <row r="47" spans="1:16" s="77" customFormat="1" ht="20.25" x14ac:dyDescent="0.2">
      <c r="A47" s="80"/>
      <c r="B47" s="80"/>
      <c r="C47" s="80" t="s">
        <v>122</v>
      </c>
      <c r="D47" s="80"/>
      <c r="E47" s="80"/>
      <c r="F47" s="80"/>
      <c r="G47" s="234">
        <v>5428.37</v>
      </c>
      <c r="H47" s="278">
        <v>2024.52</v>
      </c>
      <c r="I47" s="278"/>
      <c r="J47" s="329">
        <v>178.41</v>
      </c>
      <c r="K47" s="329">
        <v>422.62</v>
      </c>
      <c r="L47" s="409"/>
      <c r="M47" s="329">
        <v>151.52000000000001</v>
      </c>
      <c r="O47" s="278">
        <f t="shared" si="2"/>
        <v>26.889999999999986</v>
      </c>
      <c r="P47" s="449">
        <f>O47/M47</f>
        <v>0.17746832101372745</v>
      </c>
    </row>
    <row r="48" spans="1:16" s="77" customFormat="1" ht="20.25" x14ac:dyDescent="0.2">
      <c r="A48" s="80"/>
      <c r="B48" s="80"/>
      <c r="C48" s="80" t="s">
        <v>240</v>
      </c>
      <c r="D48" s="80"/>
      <c r="E48" s="80"/>
      <c r="F48" s="80"/>
      <c r="G48" s="234">
        <v>83462.91</v>
      </c>
      <c r="H48" s="234">
        <v>18995.71</v>
      </c>
      <c r="I48" s="234"/>
      <c r="J48" s="408">
        <f>43.18+110</f>
        <v>153.18</v>
      </c>
      <c r="K48" s="408">
        <f>248.22+18.56+28.25+5</f>
        <v>300.02999999999997</v>
      </c>
      <c r="L48" s="329"/>
      <c r="M48" s="408">
        <v>58.6</v>
      </c>
      <c r="O48" s="523">
        <f t="shared" si="2"/>
        <v>94.580000000000013</v>
      </c>
      <c r="P48" s="522">
        <f>O48/M48</f>
        <v>1.6139931740614337</v>
      </c>
    </row>
    <row r="49" spans="1:16" s="69" customFormat="1" ht="21" thickBot="1" x14ac:dyDescent="0.25">
      <c r="A49" s="68"/>
      <c r="B49" s="68"/>
      <c r="C49" s="68"/>
      <c r="D49" s="74" t="s">
        <v>134</v>
      </c>
      <c r="E49" s="68"/>
      <c r="F49" s="68"/>
      <c r="G49" s="243">
        <v>1078317.8599999999</v>
      </c>
      <c r="H49" s="243">
        <v>481701.87000000005</v>
      </c>
      <c r="I49" s="234"/>
      <c r="J49" s="479">
        <f>SUM(J30:J48)</f>
        <v>123984.13999999998</v>
      </c>
      <c r="K49" s="479">
        <f>SUM(K30:K48)</f>
        <v>375019.4200000001</v>
      </c>
      <c r="L49" s="329"/>
      <c r="M49" s="479">
        <f>SUM(M30:M48)</f>
        <v>124443.22620000002</v>
      </c>
      <c r="O49" s="479">
        <f t="shared" si="2"/>
        <v>-459.0862000000343</v>
      </c>
      <c r="P49" s="477">
        <f>O49/M49</f>
        <v>-3.6891216502392015E-3</v>
      </c>
    </row>
    <row r="50" spans="1:16" s="69" customFormat="1" ht="21" thickBot="1" x14ac:dyDescent="0.25">
      <c r="A50" s="68"/>
      <c r="B50" s="68"/>
      <c r="C50" s="68"/>
      <c r="D50" s="68" t="s">
        <v>135</v>
      </c>
      <c r="E50" s="68"/>
      <c r="F50" s="68"/>
      <c r="G50" s="243">
        <v>233082.39000000013</v>
      </c>
      <c r="H50" s="243">
        <v>82291.709999999905</v>
      </c>
      <c r="I50" s="234"/>
      <c r="J50" s="480">
        <f>J26-J49</f>
        <v>-26629.416666666657</v>
      </c>
      <c r="K50" s="480">
        <f>K26-K49</f>
        <v>23148.679999999877</v>
      </c>
      <c r="L50" s="329"/>
      <c r="M50" s="480">
        <f>M26-M49</f>
        <v>-15725.716200000024</v>
      </c>
      <c r="O50" s="387">
        <f t="shared" si="2"/>
        <v>-10903.700466666633</v>
      </c>
      <c r="P50" s="477">
        <f>O50/M50</f>
        <v>0.69336749614409399</v>
      </c>
    </row>
    <row r="51" spans="1:16" s="69" customFormat="1" ht="20.25" x14ac:dyDescent="0.2">
      <c r="A51" s="68"/>
      <c r="B51" s="68"/>
      <c r="C51" s="68"/>
      <c r="D51" s="68"/>
      <c r="E51" s="68"/>
      <c r="F51" s="68"/>
      <c r="G51" s="234"/>
      <c r="H51" s="234"/>
      <c r="I51" s="234"/>
      <c r="J51" s="329"/>
      <c r="K51" s="329"/>
      <c r="L51" s="329"/>
      <c r="M51" s="329"/>
    </row>
    <row r="52" spans="1:16" s="66" customFormat="1" ht="26.25" x14ac:dyDescent="0.2">
      <c r="A52" s="271"/>
      <c r="B52" s="271"/>
      <c r="C52" s="80" t="s">
        <v>264</v>
      </c>
      <c r="E52" s="80"/>
      <c r="F52" s="80"/>
      <c r="G52" s="273"/>
      <c r="H52" s="234"/>
      <c r="I52" s="234"/>
      <c r="J52" s="329"/>
      <c r="K52" s="329">
        <v>-69500</v>
      </c>
      <c r="L52" s="329"/>
      <c r="M52" s="329"/>
      <c r="O52" s="278">
        <f>J52-M52</f>
        <v>0</v>
      </c>
      <c r="P52" s="424"/>
    </row>
    <row r="53" spans="1:16" s="69" customFormat="1" ht="20.25" x14ac:dyDescent="0.2">
      <c r="A53" s="68"/>
      <c r="B53" s="68"/>
      <c r="C53" s="80" t="s">
        <v>241</v>
      </c>
      <c r="E53" s="68"/>
      <c r="G53" s="234"/>
      <c r="H53" s="234"/>
      <c r="I53" s="234"/>
      <c r="J53" s="329">
        <f>J38</f>
        <v>10120</v>
      </c>
      <c r="K53" s="329">
        <f>K38</f>
        <v>24029.68</v>
      </c>
      <c r="L53" s="329"/>
      <c r="M53" s="329">
        <f>M38</f>
        <v>7590.5599999999995</v>
      </c>
      <c r="O53" s="278">
        <f>J53-M53</f>
        <v>2529.4400000000005</v>
      </c>
      <c r="P53" s="424">
        <v>3.5414486921529216E-2</v>
      </c>
    </row>
    <row r="54" spans="1:16" s="69" customFormat="1" ht="24" thickBot="1" x14ac:dyDescent="0.25">
      <c r="A54" s="68"/>
      <c r="B54" s="406"/>
      <c r="C54" s="68"/>
      <c r="D54" s="830" t="s">
        <v>242</v>
      </c>
      <c r="E54" s="830"/>
      <c r="F54" s="830"/>
      <c r="G54" s="234"/>
      <c r="H54" s="234"/>
      <c r="I54" s="234"/>
      <c r="J54" s="481">
        <f>J50+J52+J53</f>
        <v>-16509.416666666657</v>
      </c>
      <c r="K54" s="481">
        <f>K50+K52+K53</f>
        <v>-22321.640000000123</v>
      </c>
      <c r="L54" s="333"/>
      <c r="M54" s="481">
        <f>M50+M52+M53</f>
        <v>-8135.1562000000249</v>
      </c>
      <c r="N54" s="397"/>
      <c r="O54" s="478">
        <f>J54-M54</f>
        <v>-8374.2604666666321</v>
      </c>
      <c r="P54" s="512">
        <v>2.1062768618503362E-2</v>
      </c>
    </row>
    <row r="55" spans="1:16" s="69" customFormat="1" ht="42" customHeight="1" thickTop="1" x14ac:dyDescent="0.2">
      <c r="A55" s="68"/>
      <c r="B55" s="68"/>
      <c r="C55" s="68"/>
      <c r="D55" s="68"/>
      <c r="E55" s="68"/>
      <c r="F55" s="68"/>
      <c r="G55" s="234"/>
      <c r="H55" s="234"/>
      <c r="I55" s="234"/>
      <c r="J55" s="329"/>
      <c r="K55" s="329"/>
      <c r="L55" s="329"/>
      <c r="M55" s="329"/>
    </row>
    <row r="56" spans="1:16" s="77" customFormat="1" ht="20.25" x14ac:dyDescent="0.2">
      <c r="A56" s="80"/>
      <c r="B56" s="80"/>
      <c r="C56" s="80"/>
      <c r="D56" s="80"/>
      <c r="F56" s="80" t="s">
        <v>312</v>
      </c>
      <c r="G56" s="248"/>
      <c r="H56" s="234"/>
      <c r="I56" s="234"/>
      <c r="J56" s="329">
        <v>62742</v>
      </c>
      <c r="K56" s="329">
        <v>227723</v>
      </c>
      <c r="L56" s="329"/>
      <c r="M56" s="329">
        <v>74506</v>
      </c>
      <c r="O56" s="249"/>
    </row>
    <row r="57" spans="1:16" s="77" customFormat="1" ht="21" thickBot="1" x14ac:dyDescent="0.25">
      <c r="A57" s="80"/>
      <c r="B57" s="80"/>
      <c r="C57" s="80"/>
      <c r="D57" s="80"/>
      <c r="F57" s="80" t="s">
        <v>318</v>
      </c>
      <c r="G57" s="234"/>
      <c r="H57" s="234"/>
      <c r="I57" s="234"/>
      <c r="J57" s="618">
        <f>(J49-J38-J39)/J56</f>
        <v>1.7653109559784512</v>
      </c>
      <c r="K57" s="618">
        <f>(K49-K38-K39)/K56</f>
        <v>1.5003962709080774</v>
      </c>
      <c r="L57" s="619"/>
      <c r="M57" s="618">
        <f>(M49-M38-M39)/M56</f>
        <v>1.5266913564008271</v>
      </c>
    </row>
    <row r="58" spans="1:16" s="77" customFormat="1" ht="20.25" x14ac:dyDescent="0.2">
      <c r="A58" s="80"/>
      <c r="B58" s="80"/>
      <c r="C58" s="80"/>
      <c r="D58" s="80"/>
      <c r="F58" s="80"/>
      <c r="G58" s="234"/>
      <c r="H58" s="234"/>
      <c r="I58" s="234"/>
      <c r="J58" s="329"/>
      <c r="K58" s="329"/>
      <c r="L58" s="329"/>
      <c r="M58" s="329"/>
    </row>
    <row r="59" spans="1:16" s="77" customFormat="1" ht="20.25" x14ac:dyDescent="0.2">
      <c r="A59" s="80"/>
      <c r="B59" s="80"/>
      <c r="C59" s="80"/>
      <c r="D59" s="80"/>
      <c r="F59" s="80" t="s">
        <v>313</v>
      </c>
      <c r="G59" s="234"/>
      <c r="H59" s="234"/>
      <c r="I59" s="234"/>
      <c r="J59" s="329">
        <v>4125</v>
      </c>
      <c r="K59" s="329">
        <v>16457</v>
      </c>
      <c r="L59" s="329"/>
      <c r="M59" s="329">
        <v>5516</v>
      </c>
      <c r="P59" s="249"/>
    </row>
    <row r="60" spans="1:16" s="77" customFormat="1" ht="21" thickBot="1" x14ac:dyDescent="0.25">
      <c r="A60" s="80"/>
      <c r="B60" s="80"/>
      <c r="C60" s="80"/>
      <c r="D60" s="80"/>
      <c r="F60" s="80" t="s">
        <v>385</v>
      </c>
      <c r="G60" s="234"/>
      <c r="H60" s="234"/>
      <c r="I60" s="234"/>
      <c r="J60" s="618">
        <f>(J49-J38-J39)/J59</f>
        <v>26.850700606060602</v>
      </c>
      <c r="K60" s="618">
        <f>(K49-K38-K39)/K59</f>
        <v>20.761666160296535</v>
      </c>
      <c r="L60" s="329"/>
      <c r="M60" s="618">
        <f>(M49-M38-M39)/M59</f>
        <v>20.621404314720817</v>
      </c>
    </row>
    <row r="61" spans="1:16" s="77" customFormat="1" ht="20.25" x14ac:dyDescent="0.2">
      <c r="A61" s="80"/>
      <c r="B61" s="80"/>
      <c r="C61" s="80"/>
      <c r="D61" s="80"/>
      <c r="F61" s="80"/>
      <c r="G61" s="234"/>
      <c r="H61" s="234"/>
      <c r="I61" s="234"/>
      <c r="J61" s="329"/>
      <c r="K61" s="329"/>
      <c r="L61" s="329"/>
      <c r="M61" s="329"/>
    </row>
    <row r="62" spans="1:16" s="77" customFormat="1" ht="20.25" x14ac:dyDescent="0.2">
      <c r="A62" s="80"/>
      <c r="B62" s="80"/>
      <c r="C62" s="68"/>
      <c r="D62" s="80"/>
      <c r="F62" s="80" t="s">
        <v>314</v>
      </c>
      <c r="G62" s="234"/>
      <c r="H62" s="234"/>
      <c r="I62" s="234"/>
      <c r="J62" s="329">
        <v>1517</v>
      </c>
      <c r="K62" s="329">
        <v>7208</v>
      </c>
      <c r="L62" s="329"/>
      <c r="M62" s="329">
        <v>2389</v>
      </c>
    </row>
    <row r="63" spans="1:16" s="77" customFormat="1" ht="21" thickBot="1" x14ac:dyDescent="0.25">
      <c r="A63" s="80"/>
      <c r="B63" s="80"/>
      <c r="C63" s="80"/>
      <c r="D63" s="80"/>
      <c r="E63" s="80"/>
      <c r="F63" s="80" t="s">
        <v>388</v>
      </c>
      <c r="G63" s="234"/>
      <c r="H63" s="234"/>
      <c r="I63" s="234"/>
      <c r="J63" s="618">
        <f>J9/J62</f>
        <v>23.655629531970995</v>
      </c>
      <c r="K63" s="618">
        <f>K9/K62</f>
        <v>22.020116537180911</v>
      </c>
      <c r="L63" s="329"/>
      <c r="M63" s="618">
        <f>M9/M62</f>
        <v>21.08657597321055</v>
      </c>
    </row>
    <row r="64" spans="1:16" s="77" customFormat="1" ht="20.25" x14ac:dyDescent="0.2">
      <c r="A64" s="80"/>
      <c r="B64" s="80"/>
      <c r="C64" s="68"/>
      <c r="D64" s="68"/>
      <c r="G64" s="234"/>
      <c r="H64" s="234"/>
      <c r="I64" s="234"/>
      <c r="J64" s="329"/>
      <c r="K64" s="329"/>
      <c r="L64" s="329"/>
      <c r="M64" s="329"/>
    </row>
    <row r="65" spans="1:13" s="77" customFormat="1" ht="20.25" x14ac:dyDescent="0.2">
      <c r="A65" s="80"/>
      <c r="B65" s="80"/>
      <c r="C65" s="80"/>
      <c r="D65" s="80"/>
      <c r="E65" s="80"/>
      <c r="F65" s="80"/>
      <c r="G65" s="234"/>
      <c r="H65" s="234"/>
      <c r="I65" s="234"/>
      <c r="J65" s="234"/>
      <c r="K65" s="234"/>
      <c r="L65" s="234"/>
      <c r="M65" s="234"/>
    </row>
    <row r="66" spans="1:13" s="77" customFormat="1" ht="20.25" x14ac:dyDescent="0.2">
      <c r="A66" s="80"/>
      <c r="B66" s="80"/>
      <c r="C66" s="80"/>
      <c r="D66" s="80"/>
      <c r="E66" s="80"/>
      <c r="F66" s="80"/>
      <c r="G66" s="234"/>
      <c r="H66" s="234"/>
      <c r="I66" s="234"/>
      <c r="J66" s="234"/>
      <c r="K66" s="234"/>
      <c r="L66" s="234"/>
      <c r="M66" s="234"/>
    </row>
    <row r="67" spans="1:13" s="77" customFormat="1" ht="20.25" x14ac:dyDescent="0.2">
      <c r="A67" s="80"/>
      <c r="B67" s="80"/>
      <c r="C67" s="68"/>
      <c r="D67" s="80"/>
      <c r="F67" s="80"/>
      <c r="G67" s="234"/>
      <c r="H67" s="234"/>
      <c r="I67" s="234"/>
      <c r="J67" s="234"/>
      <c r="K67" s="234"/>
      <c r="L67" s="234"/>
      <c r="M67" s="234"/>
    </row>
    <row r="68" spans="1:13" s="77" customFormat="1" ht="20.25" x14ac:dyDescent="0.2">
      <c r="A68" s="80"/>
      <c r="B68" s="80"/>
      <c r="C68" s="80"/>
      <c r="D68" s="80"/>
      <c r="E68" s="80"/>
      <c r="F68" s="80"/>
      <c r="G68" s="234"/>
      <c r="H68" s="234"/>
      <c r="I68" s="234"/>
      <c r="J68" s="234"/>
      <c r="K68" s="234"/>
      <c r="L68" s="234"/>
      <c r="M68" s="234"/>
    </row>
    <row r="69" spans="1:13" s="69" customFormat="1" ht="20.25" x14ac:dyDescent="0.2">
      <c r="A69" s="68"/>
      <c r="B69" s="68"/>
      <c r="C69" s="68"/>
      <c r="D69" s="68"/>
      <c r="E69" s="68"/>
      <c r="F69" s="68"/>
      <c r="G69" s="239"/>
      <c r="H69" s="239"/>
      <c r="I69" s="239"/>
      <c r="J69" s="239"/>
      <c r="K69" s="239"/>
      <c r="L69" s="239"/>
      <c r="M69" s="239"/>
    </row>
    <row r="70" spans="1:13" s="69" customFormat="1" ht="20.25" x14ac:dyDescent="0.2">
      <c r="A70" s="68"/>
      <c r="B70" s="68"/>
      <c r="C70" s="68"/>
      <c r="D70" s="68"/>
      <c r="E70" s="68"/>
      <c r="F70" s="68"/>
      <c r="G70" s="239"/>
      <c r="H70" s="239"/>
      <c r="I70" s="239"/>
      <c r="J70" s="239"/>
      <c r="K70" s="239"/>
      <c r="L70" s="239"/>
      <c r="M70" s="239"/>
    </row>
    <row r="71" spans="1:13" s="69" customFormat="1" ht="23.25" x14ac:dyDescent="0.2">
      <c r="A71" s="68"/>
      <c r="B71" s="274"/>
      <c r="C71" s="68"/>
      <c r="D71" s="68"/>
      <c r="E71" s="68"/>
      <c r="F71" s="68"/>
      <c r="G71" s="234"/>
      <c r="H71" s="234"/>
      <c r="I71" s="234"/>
      <c r="J71" s="234"/>
      <c r="K71" s="234"/>
      <c r="L71" s="234"/>
      <c r="M71" s="234"/>
    </row>
    <row r="72" spans="1:13" s="77" customFormat="1" ht="20.25" x14ac:dyDescent="0.2">
      <c r="A72" s="80"/>
      <c r="B72" s="80"/>
      <c r="D72" s="80"/>
      <c r="E72" s="80"/>
      <c r="F72" s="80"/>
      <c r="G72" s="234"/>
      <c r="H72" s="234"/>
      <c r="I72" s="234"/>
      <c r="J72" s="234"/>
      <c r="K72" s="234"/>
      <c r="L72" s="234"/>
      <c r="M72" s="234"/>
    </row>
    <row r="73" spans="1:13" s="77" customFormat="1" ht="20.25" x14ac:dyDescent="0.2">
      <c r="A73" s="80"/>
      <c r="B73" s="80"/>
      <c r="D73" s="80"/>
      <c r="E73" s="80"/>
      <c r="F73" s="80"/>
      <c r="G73" s="234"/>
      <c r="H73" s="234"/>
      <c r="I73" s="234"/>
      <c r="J73" s="234"/>
      <c r="K73" s="234"/>
      <c r="L73" s="234"/>
      <c r="M73" s="234"/>
    </row>
    <row r="74" spans="1:13" s="69" customFormat="1" ht="20.25" x14ac:dyDescent="0.2">
      <c r="A74" s="68"/>
      <c r="B74" s="68"/>
      <c r="D74" s="80"/>
      <c r="E74" s="68"/>
      <c r="F74" s="68"/>
      <c r="G74" s="234"/>
      <c r="H74" s="234"/>
      <c r="I74" s="234"/>
      <c r="J74" s="234"/>
      <c r="K74" s="234"/>
      <c r="L74" s="234"/>
      <c r="M74" s="234"/>
    </row>
    <row r="75" spans="1:13" s="69" customFormat="1" ht="23.25" x14ac:dyDescent="0.2">
      <c r="A75" s="68"/>
      <c r="B75" s="274"/>
      <c r="C75" s="68"/>
      <c r="D75" s="68"/>
      <c r="E75" s="68"/>
      <c r="F75" s="68"/>
      <c r="G75" s="239"/>
      <c r="H75" s="239"/>
      <c r="I75" s="239"/>
      <c r="J75" s="239"/>
      <c r="K75" s="239"/>
      <c r="L75" s="239"/>
      <c r="M75" s="239"/>
    </row>
    <row r="76" spans="1:13" s="69" customFormat="1" ht="20.25" x14ac:dyDescent="0.2">
      <c r="A76" s="68"/>
      <c r="B76" s="68"/>
      <c r="C76" s="68"/>
      <c r="D76" s="68"/>
      <c r="E76" s="68"/>
      <c r="F76" s="68"/>
      <c r="G76" s="234"/>
      <c r="H76" s="234"/>
      <c r="I76" s="234"/>
      <c r="J76" s="234"/>
      <c r="K76" s="234"/>
      <c r="L76" s="234"/>
      <c r="M76" s="234"/>
    </row>
    <row r="77" spans="1:13" s="83" customFormat="1" ht="26.25" x14ac:dyDescent="0.2">
      <c r="A77" s="271"/>
      <c r="B77" s="271"/>
      <c r="C77" s="271"/>
      <c r="D77" s="271"/>
      <c r="E77" s="271"/>
      <c r="F77" s="271"/>
      <c r="G77" s="272"/>
      <c r="H77" s="239"/>
      <c r="I77" s="239"/>
      <c r="J77" s="239"/>
      <c r="K77" s="239"/>
      <c r="L77" s="239"/>
      <c r="M77" s="239"/>
    </row>
    <row r="78" spans="1:13" s="18" customFormat="1" ht="20.25" x14ac:dyDescent="0.3">
      <c r="A78" s="123"/>
      <c r="B78" s="123"/>
      <c r="C78" s="123"/>
      <c r="D78" s="123"/>
      <c r="E78" s="123"/>
      <c r="F78" s="123"/>
      <c r="G78" s="275"/>
      <c r="H78" s="280"/>
      <c r="I78" s="280"/>
      <c r="J78" s="280"/>
      <c r="K78" s="280"/>
      <c r="L78" s="280"/>
      <c r="M78" s="280"/>
    </row>
    <row r="79" spans="1:13" ht="20.25" x14ac:dyDescent="0.3">
      <c r="H79" s="280"/>
      <c r="I79" s="280"/>
      <c r="J79" s="280"/>
      <c r="K79" s="280"/>
      <c r="L79" s="280"/>
      <c r="M79" s="280"/>
    </row>
    <row r="80" spans="1:13" ht="20.25" x14ac:dyDescent="0.3">
      <c r="H80" s="280"/>
      <c r="I80" s="280"/>
      <c r="J80" s="280"/>
      <c r="K80" s="280"/>
      <c r="L80" s="280"/>
      <c r="M80" s="280"/>
    </row>
    <row r="81" spans="8:13" ht="20.25" x14ac:dyDescent="0.3">
      <c r="H81" s="277"/>
      <c r="I81" s="277"/>
      <c r="J81" s="277"/>
      <c r="K81" s="277"/>
      <c r="L81" s="277"/>
      <c r="M81" s="277"/>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100</v>
      </c>
      <c r="B1" s="60"/>
      <c r="C1" s="61"/>
      <c r="D1" s="61"/>
      <c r="E1" s="61"/>
      <c r="F1" s="60"/>
      <c r="G1" s="232"/>
      <c r="H1" s="60"/>
      <c r="I1" s="60"/>
      <c r="J1" s="60"/>
      <c r="K1" s="60"/>
      <c r="L1" s="47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223</v>
      </c>
      <c r="B2" s="60"/>
      <c r="C2" s="61"/>
      <c r="D2" s="61"/>
      <c r="E2" s="61"/>
      <c r="F2" s="60"/>
      <c r="G2" s="232"/>
      <c r="H2" s="60"/>
      <c r="I2" s="60"/>
      <c r="J2" s="60"/>
      <c r="K2" s="60"/>
      <c r="L2" s="476"/>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393</v>
      </c>
      <c r="B3" s="60"/>
      <c r="C3" s="61"/>
      <c r="D3" s="61"/>
      <c r="E3" s="61"/>
      <c r="F3" s="60"/>
      <c r="G3" s="232"/>
      <c r="H3" s="60"/>
      <c r="I3" s="60"/>
      <c r="J3" s="60"/>
      <c r="K3" s="60"/>
      <c r="L3" s="476"/>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2"/>
      <c r="H4" s="60"/>
      <c r="I4" s="60"/>
      <c r="J4" s="60"/>
      <c r="K4" s="60"/>
      <c r="L4" s="476"/>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114</v>
      </c>
      <c r="B6" s="65"/>
      <c r="C6" s="65"/>
      <c r="D6" s="65"/>
      <c r="E6" s="65"/>
      <c r="F6" s="65"/>
      <c r="G6" s="713"/>
      <c r="H6" s="242" t="s">
        <v>54</v>
      </c>
      <c r="I6" s="242"/>
      <c r="J6" s="826" t="s">
        <v>54</v>
      </c>
      <c r="K6" s="826"/>
      <c r="L6" s="826"/>
      <c r="M6" s="826"/>
      <c r="N6" s="66"/>
      <c r="O6" s="426" t="s">
        <v>189</v>
      </c>
      <c r="P6" s="423" t="s">
        <v>202</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106</v>
      </c>
      <c r="C8" s="154"/>
      <c r="D8" s="154"/>
      <c r="E8" s="154"/>
      <c r="F8" s="154"/>
      <c r="G8" s="285">
        <v>41090</v>
      </c>
      <c r="H8" s="285">
        <v>41274</v>
      </c>
      <c r="I8" s="330"/>
      <c r="J8" s="692">
        <v>43830</v>
      </c>
      <c r="K8" s="693">
        <f>'April''20 State of Activities'!H8</f>
        <v>43830</v>
      </c>
      <c r="L8" s="694"/>
      <c r="M8" s="692">
        <v>44196</v>
      </c>
      <c r="N8" s="72"/>
      <c r="O8" s="827" t="s">
        <v>396</v>
      </c>
      <c r="P8" s="827"/>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31" t="s">
        <v>157</v>
      </c>
      <c r="D9" s="431"/>
      <c r="E9" s="431"/>
      <c r="F9" s="74"/>
      <c r="G9" s="267">
        <v>127719</v>
      </c>
      <c r="H9" s="267">
        <v>67566.5</v>
      </c>
      <c r="I9" s="329"/>
      <c r="J9" s="333">
        <v>160000</v>
      </c>
      <c r="K9" s="333">
        <f>'April''20 State of Activities'!H10</f>
        <v>158339.01999999999</v>
      </c>
      <c r="L9" s="333"/>
      <c r="M9" s="333">
        <v>160000</v>
      </c>
      <c r="N9" s="69"/>
      <c r="O9" s="388">
        <f>M9-J9</f>
        <v>0</v>
      </c>
      <c r="P9" s="424">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31" t="s">
        <v>224</v>
      </c>
      <c r="D10" s="431"/>
      <c r="E10" s="431"/>
      <c r="F10" s="74"/>
      <c r="G10" s="266">
        <v>875436</v>
      </c>
      <c r="H10" s="266">
        <v>372424.1</v>
      </c>
      <c r="I10" s="333"/>
      <c r="J10" s="329">
        <v>5000</v>
      </c>
      <c r="K10" s="329">
        <f>10471.96+(5268.48+3381.01)*1.14</f>
        <v>20332.378599999996</v>
      </c>
      <c r="L10" s="333"/>
      <c r="M10" s="329">
        <v>10000</v>
      </c>
      <c r="N10" s="69"/>
      <c r="O10" s="520">
        <f>M10-J10</f>
        <v>5000</v>
      </c>
      <c r="P10" s="449">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31" t="s">
        <v>108</v>
      </c>
      <c r="D11" s="431"/>
      <c r="E11" s="431"/>
      <c r="F11" s="74"/>
      <c r="G11" s="267"/>
      <c r="H11" s="267"/>
      <c r="I11" s="329"/>
      <c r="J11" s="329"/>
      <c r="K11" s="329"/>
      <c r="L11" s="329"/>
      <c r="M11" s="329"/>
      <c r="N11" s="69"/>
      <c r="O11" s="520"/>
      <c r="P11" s="436"/>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31" t="s">
        <v>225</v>
      </c>
      <c r="E12" s="431"/>
      <c r="F12" s="74"/>
      <c r="G12" s="267">
        <v>94235.25</v>
      </c>
      <c r="H12" s="267">
        <v>37190.379999999997</v>
      </c>
      <c r="I12" s="329"/>
      <c r="J12" s="329">
        <f>3708.33*12</f>
        <v>44499.96</v>
      </c>
      <c r="K12" s="329">
        <f>3541.67*12</f>
        <v>42500.04</v>
      </c>
      <c r="L12" s="329"/>
      <c r="M12" s="329">
        <v>44500</v>
      </c>
      <c r="N12" s="69"/>
      <c r="O12" s="520">
        <f t="shared" ref="O12:O19" si="0">M12-J12</f>
        <v>4.0000000000873115E-2</v>
      </c>
      <c r="P12" s="449">
        <f t="shared" ref="P12:P18" si="1">O12/M12</f>
        <v>8.9887640451400261E-7</v>
      </c>
      <c r="Q12" s="69"/>
      <c r="R12" s="482"/>
      <c r="S12" s="483"/>
      <c r="T12" s="482"/>
      <c r="U12" s="482"/>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31" t="s">
        <v>166</v>
      </c>
      <c r="E13" s="431"/>
      <c r="F13" s="74"/>
      <c r="G13" s="267"/>
      <c r="H13" s="267"/>
      <c r="I13" s="329"/>
      <c r="J13" s="329">
        <v>13000</v>
      </c>
      <c r="K13" s="329">
        <f>750*12</f>
        <v>9000</v>
      </c>
      <c r="L13" s="329"/>
      <c r="M13" s="329">
        <v>18000</v>
      </c>
      <c r="N13" s="69"/>
      <c r="O13" s="520">
        <f t="shared" si="0"/>
        <v>5000</v>
      </c>
      <c r="P13" s="449">
        <f t="shared" si="1"/>
        <v>0.27777777777777779</v>
      </c>
      <c r="Q13" s="69"/>
      <c r="R13" s="69"/>
      <c r="S13" s="397"/>
      <c r="T13" s="484"/>
      <c r="U13" s="370"/>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31" t="s">
        <v>109</v>
      </c>
      <c r="D14" s="431"/>
      <c r="E14" s="431"/>
      <c r="F14" s="74"/>
      <c r="G14" s="267">
        <v>0</v>
      </c>
      <c r="H14" s="267">
        <v>3517</v>
      </c>
      <c r="I14" s="329"/>
      <c r="J14" s="329">
        <v>15000</v>
      </c>
      <c r="K14" s="329">
        <f>'April''20 State of Activities'!H17</f>
        <v>13071.46</v>
      </c>
      <c r="L14" s="329"/>
      <c r="M14" s="329">
        <v>20000</v>
      </c>
      <c r="N14" s="69"/>
      <c r="O14" s="520">
        <f t="shared" si="0"/>
        <v>5000</v>
      </c>
      <c r="P14" s="449">
        <f t="shared" si="1"/>
        <v>0.25</v>
      </c>
      <c r="Q14" s="69"/>
      <c r="R14" s="69"/>
      <c r="S14" s="397"/>
      <c r="T14" s="484"/>
      <c r="U14" s="370"/>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31" t="s">
        <v>394</v>
      </c>
      <c r="D15" s="431"/>
      <c r="E15" s="431"/>
      <c r="F15" s="74"/>
      <c r="G15" s="267">
        <v>31459</v>
      </c>
      <c r="H15" s="267">
        <v>13920.35</v>
      </c>
      <c r="I15" s="329"/>
      <c r="J15" s="329">
        <v>25000</v>
      </c>
      <c r="K15" s="329">
        <v>25000</v>
      </c>
      <c r="L15" s="329"/>
      <c r="M15" s="329">
        <v>25000</v>
      </c>
      <c r="N15" s="69"/>
      <c r="O15" s="520">
        <f t="shared" si="0"/>
        <v>0</v>
      </c>
      <c r="P15" s="449">
        <f t="shared" si="1"/>
        <v>0</v>
      </c>
      <c r="Q15" s="69"/>
      <c r="R15" s="69"/>
      <c r="S15" s="397"/>
      <c r="T15" s="484"/>
      <c r="U15" s="370"/>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31" t="s">
        <v>395</v>
      </c>
      <c r="D16" s="431"/>
      <c r="E16" s="431"/>
      <c r="F16" s="74"/>
      <c r="G16" s="267"/>
      <c r="H16" s="267"/>
      <c r="I16" s="329"/>
      <c r="J16" s="329">
        <v>20000</v>
      </c>
      <c r="K16" s="329"/>
      <c r="L16" s="329"/>
      <c r="M16" s="329">
        <v>15000</v>
      </c>
      <c r="N16" s="69"/>
      <c r="O16" s="520">
        <f t="shared" si="0"/>
        <v>-5000</v>
      </c>
      <c r="P16" s="449">
        <f t="shared" si="1"/>
        <v>-0.33333333333333331</v>
      </c>
      <c r="Q16" s="69"/>
      <c r="R16" s="69"/>
      <c r="S16" s="397"/>
      <c r="T16" s="484"/>
      <c r="U16" s="370"/>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31" t="s">
        <v>348</v>
      </c>
      <c r="D17" s="431"/>
      <c r="E17" s="431"/>
      <c r="F17" s="74"/>
      <c r="G17" s="267"/>
      <c r="H17" s="267"/>
      <c r="I17" s="329"/>
      <c r="J17" s="329">
        <v>2000</v>
      </c>
      <c r="K17" s="329"/>
      <c r="L17" s="329"/>
      <c r="M17" s="329">
        <v>1000</v>
      </c>
      <c r="N17" s="69"/>
      <c r="O17" s="520">
        <f t="shared" si="0"/>
        <v>-1000</v>
      </c>
      <c r="P17" s="449">
        <f t="shared" si="1"/>
        <v>-1</v>
      </c>
      <c r="Q17" s="69"/>
      <c r="R17" s="69"/>
      <c r="S17" s="397"/>
      <c r="T17" s="484"/>
      <c r="U17" s="370"/>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829" t="s">
        <v>350</v>
      </c>
      <c r="D18" s="829"/>
      <c r="E18" s="829"/>
      <c r="F18" s="829"/>
      <c r="G18" s="267"/>
      <c r="H18" s="267"/>
      <c r="I18" s="329"/>
      <c r="J18" s="329">
        <v>2000</v>
      </c>
      <c r="K18" s="329"/>
      <c r="L18" s="329"/>
      <c r="M18" s="329">
        <v>3000</v>
      </c>
      <c r="N18" s="69"/>
      <c r="O18" s="520">
        <f t="shared" si="0"/>
        <v>1000</v>
      </c>
      <c r="P18" s="449">
        <f t="shared" si="1"/>
        <v>0.33333333333333331</v>
      </c>
      <c r="Q18" s="69"/>
      <c r="R18" s="69"/>
      <c r="S18" s="397"/>
      <c r="T18" s="484"/>
      <c r="U18" s="370"/>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31" t="s">
        <v>397</v>
      </c>
      <c r="D19" s="431"/>
      <c r="E19" s="431"/>
      <c r="F19" s="74"/>
      <c r="G19" s="267">
        <v>1125</v>
      </c>
      <c r="H19" s="267">
        <v>6050</v>
      </c>
      <c r="I19" s="329"/>
      <c r="J19" s="329">
        <v>2000</v>
      </c>
      <c r="K19" s="329">
        <f>'April''20 State of Activities'!H24</f>
        <v>4850</v>
      </c>
      <c r="L19" s="329"/>
      <c r="M19" s="329">
        <f>'April''20 State of Activities'!J24</f>
        <v>2300</v>
      </c>
      <c r="N19" s="69"/>
      <c r="O19" s="520">
        <f t="shared" si="0"/>
        <v>300</v>
      </c>
      <c r="P19" s="44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829" t="s">
        <v>349</v>
      </c>
      <c r="D20" s="829"/>
      <c r="E20" s="829"/>
      <c r="F20" s="829"/>
      <c r="G20" s="267"/>
      <c r="H20" s="267"/>
      <c r="I20" s="329"/>
      <c r="J20" s="329"/>
      <c r="K20" s="329">
        <v>659.25</v>
      </c>
      <c r="L20" s="329"/>
      <c r="M20" s="329"/>
      <c r="N20" s="69"/>
      <c r="O20" s="520">
        <f>J20-M20</f>
        <v>0</v>
      </c>
      <c r="P20" s="44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31" t="s">
        <v>227</v>
      </c>
      <c r="D21" s="431"/>
      <c r="E21" s="431"/>
      <c r="F21" s="74"/>
      <c r="G21" s="268">
        <v>31250</v>
      </c>
      <c r="H21" s="268">
        <v>15624.98</v>
      </c>
      <c r="I21" s="329"/>
      <c r="J21" s="268">
        <v>9315</v>
      </c>
      <c r="K21" s="268">
        <f>'April''20 State of Activities'!H25*0.2</f>
        <v>9315</v>
      </c>
      <c r="L21" s="329"/>
      <c r="M21" s="268">
        <v>9315</v>
      </c>
      <c r="N21" s="69"/>
      <c r="O21" s="521">
        <f>J21-M21</f>
        <v>0</v>
      </c>
      <c r="P21" s="425">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31"/>
      <c r="D22" s="74" t="s">
        <v>111</v>
      </c>
      <c r="E22" s="431"/>
      <c r="F22" s="74"/>
      <c r="G22" s="236">
        <v>1161224.25</v>
      </c>
      <c r="H22" s="236">
        <v>516293.30999999994</v>
      </c>
      <c r="I22" s="234"/>
      <c r="J22" s="267">
        <f>SUM(J9:J21)</f>
        <v>297814.95999999996</v>
      </c>
      <c r="K22" s="267">
        <f>SUM(K9:K21)</f>
        <v>283067.14859999996</v>
      </c>
      <c r="L22" s="329"/>
      <c r="M22" s="267">
        <f>SUM(M9:M21)</f>
        <v>308115</v>
      </c>
      <c r="N22" s="69"/>
      <c r="O22" s="278">
        <f>SUM(O9:O21)</f>
        <v>10300.040000000001</v>
      </c>
      <c r="P22" s="449">
        <f>O22/M22</f>
        <v>3.3429206627395618E-2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228</v>
      </c>
      <c r="D23" s="431"/>
      <c r="E23" s="431"/>
      <c r="F23" s="74"/>
      <c r="G23" s="243">
        <v>150176</v>
      </c>
      <c r="H23" s="243">
        <v>47700.27</v>
      </c>
      <c r="I23" s="234"/>
      <c r="J23" s="329">
        <v>19000</v>
      </c>
      <c r="K23" s="329">
        <v>19000</v>
      </c>
      <c r="L23" s="329"/>
      <c r="M23" s="329">
        <v>19000</v>
      </c>
      <c r="N23" s="69"/>
      <c r="O23" s="520">
        <f>J23-M23</f>
        <v>0</v>
      </c>
      <c r="P23" s="424">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229</v>
      </c>
      <c r="D24" s="431"/>
      <c r="E24" s="431"/>
      <c r="F24" s="74"/>
      <c r="G24" s="234"/>
      <c r="H24" s="234"/>
      <c r="I24" s="234"/>
      <c r="J24" s="268">
        <v>40000</v>
      </c>
      <c r="K24" s="268">
        <v>37641.19</v>
      </c>
      <c r="L24" s="329"/>
      <c r="M24" s="268">
        <v>38000</v>
      </c>
      <c r="N24" s="69"/>
      <c r="O24" s="387">
        <f>M24-J24</f>
        <v>-2000</v>
      </c>
      <c r="P24" s="477">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31"/>
      <c r="D25" s="74" t="s">
        <v>113</v>
      </c>
      <c r="E25" s="431"/>
      <c r="F25" s="74"/>
      <c r="G25" s="236">
        <v>1311400.25</v>
      </c>
      <c r="H25" s="236">
        <v>563993.57999999996</v>
      </c>
      <c r="I25" s="234"/>
      <c r="J25" s="267">
        <f>SUM(J22:J24)</f>
        <v>356814.95999999996</v>
      </c>
      <c r="K25" s="267">
        <f>SUM(K22:K24)</f>
        <v>339708.33859999996</v>
      </c>
      <c r="L25" s="329"/>
      <c r="M25" s="267">
        <f>SUM(M22:M24)</f>
        <v>365115</v>
      </c>
      <c r="N25" s="69"/>
      <c r="O25" s="278">
        <f>M25-J25</f>
        <v>8300.0400000000373</v>
      </c>
      <c r="P25" s="449">
        <f>O25/M25</f>
        <v>2.2732673267326836E-2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31"/>
      <c r="D26" s="74"/>
      <c r="E26" s="431"/>
      <c r="F26" s="74"/>
      <c r="G26" s="236"/>
      <c r="H26" s="236"/>
      <c r="I26" s="234"/>
      <c r="J26" s="329"/>
      <c r="K26" s="329"/>
      <c r="L26" s="329"/>
      <c r="M26" s="32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117</v>
      </c>
      <c r="C27" s="88"/>
      <c r="D27" s="88"/>
      <c r="E27" s="88"/>
      <c r="F27" s="88"/>
      <c r="G27" s="243"/>
      <c r="H27" s="69"/>
      <c r="I27" s="69"/>
      <c r="J27" s="329"/>
      <c r="K27" s="377"/>
      <c r="L27" s="377"/>
      <c r="M27" s="377"/>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230</v>
      </c>
      <c r="D28" s="80"/>
      <c r="E28" s="80"/>
      <c r="F28" s="80"/>
      <c r="G28" s="234">
        <v>733747.79999999993</v>
      </c>
      <c r="H28" s="278">
        <v>361976</v>
      </c>
      <c r="I28" s="278"/>
      <c r="J28" s="329"/>
      <c r="K28" s="409"/>
      <c r="L28" s="409"/>
      <c r="M28" s="409"/>
    </row>
    <row r="29" spans="1:61" s="69" customFormat="1" ht="20.25" x14ac:dyDescent="0.2">
      <c r="A29" s="68"/>
      <c r="B29" s="68"/>
      <c r="C29" s="80"/>
      <c r="D29" s="828" t="s">
        <v>231</v>
      </c>
      <c r="E29" s="828"/>
      <c r="F29" s="828"/>
      <c r="G29" s="234"/>
      <c r="H29" s="278"/>
      <c r="I29" s="278"/>
      <c r="J29" s="717">
        <f>110984.34+54648</f>
        <v>165632.34</v>
      </c>
      <c r="K29" s="717">
        <v>146508.01999999999</v>
      </c>
      <c r="L29" s="717"/>
      <c r="M29" s="717">
        <v>170000</v>
      </c>
      <c r="O29" s="520">
        <f t="shared" ref="O29:O47" si="2">M29-J29</f>
        <v>4367.6600000000035</v>
      </c>
      <c r="P29" s="449">
        <f>O29/M29</f>
        <v>2.5692117647058844E-2</v>
      </c>
    </row>
    <row r="30" spans="1:61" s="69" customFormat="1" ht="20.25" x14ac:dyDescent="0.2">
      <c r="A30" s="68"/>
      <c r="B30" s="68"/>
      <c r="C30" s="80"/>
      <c r="D30" s="828" t="s">
        <v>232</v>
      </c>
      <c r="E30" s="828"/>
      <c r="F30" s="828"/>
      <c r="G30" s="234"/>
      <c r="H30" s="278"/>
      <c r="I30" s="278"/>
      <c r="J30" s="717">
        <v>63684</v>
      </c>
      <c r="K30" s="717">
        <f>35778.69+23251.49+605.09+292.95</f>
        <v>59928.22</v>
      </c>
      <c r="L30" s="717"/>
      <c r="M30" s="717">
        <f>(22.5*(64*26+100))+(19.06*(50*26+100))</f>
        <v>66374</v>
      </c>
      <c r="O30" s="520">
        <f t="shared" si="2"/>
        <v>2690</v>
      </c>
      <c r="P30" s="449">
        <f>O30/M30</f>
        <v>4.0527917558079968E-2</v>
      </c>
      <c r="R30" s="265"/>
    </row>
    <row r="31" spans="1:61" s="69" customFormat="1" ht="20.25" x14ac:dyDescent="0.2">
      <c r="A31" s="68"/>
      <c r="B31" s="68"/>
      <c r="C31" s="80"/>
      <c r="D31" s="828" t="s">
        <v>119</v>
      </c>
      <c r="E31" s="828"/>
      <c r="F31" s="828"/>
      <c r="G31" s="234"/>
      <c r="H31" s="278"/>
      <c r="I31" s="278"/>
      <c r="J31" s="717">
        <f>(J29+J30)*0.185</f>
        <v>42423.522899999996</v>
      </c>
      <c r="K31" s="717">
        <f>(K29+K30)*0.192</f>
        <v>39635.75808</v>
      </c>
      <c r="L31" s="717"/>
      <c r="M31" s="717">
        <f>(M29+M30)*0.185</f>
        <v>43729.19</v>
      </c>
      <c r="O31" s="520">
        <f t="shared" si="2"/>
        <v>1305.667100000006</v>
      </c>
      <c r="P31" s="449">
        <f>O31/M31</f>
        <v>2.9858021609821858E-2</v>
      </c>
    </row>
    <row r="32" spans="1:61" s="69" customFormat="1" ht="20.25" x14ac:dyDescent="0.2">
      <c r="A32" s="68"/>
      <c r="B32" s="68"/>
      <c r="C32" s="80" t="s">
        <v>280</v>
      </c>
      <c r="D32" s="80"/>
      <c r="E32" s="80"/>
      <c r="F32" s="80"/>
      <c r="G32" s="234">
        <v>44745.18</v>
      </c>
      <c r="H32" s="234">
        <v>20974.21</v>
      </c>
      <c r="I32" s="234"/>
      <c r="J32" s="717"/>
      <c r="K32" s="718"/>
      <c r="L32" s="717"/>
      <c r="M32" s="717"/>
      <c r="O32" s="520">
        <f t="shared" si="2"/>
        <v>0</v>
      </c>
      <c r="P32" s="449"/>
    </row>
    <row r="33" spans="1:16" s="69" customFormat="1" ht="20.25" x14ac:dyDescent="0.2">
      <c r="A33" s="68"/>
      <c r="B33" s="68"/>
      <c r="C33" s="80"/>
      <c r="D33" s="828" t="s">
        <v>233</v>
      </c>
      <c r="E33" s="828"/>
      <c r="F33" s="828"/>
      <c r="G33" s="234"/>
      <c r="H33" s="234"/>
      <c r="I33" s="234"/>
      <c r="J33" s="717">
        <f>17368.36/8*12</f>
        <v>26052.54</v>
      </c>
      <c r="K33" s="717">
        <v>27183.82</v>
      </c>
      <c r="L33" s="717"/>
      <c r="M33" s="717">
        <v>27500</v>
      </c>
      <c r="O33" s="520">
        <f t="shared" si="2"/>
        <v>1447.4599999999991</v>
      </c>
      <c r="P33" s="449">
        <f t="shared" ref="P33:P40" si="3">O33/M33</f>
        <v>5.2634909090909059E-2</v>
      </c>
    </row>
    <row r="34" spans="1:16" s="69" customFormat="1" ht="20.25" x14ac:dyDescent="0.2">
      <c r="A34" s="68"/>
      <c r="B34" s="68"/>
      <c r="C34" s="80"/>
      <c r="D34" s="828" t="s">
        <v>234</v>
      </c>
      <c r="E34" s="828"/>
      <c r="F34" s="828"/>
      <c r="G34" s="234"/>
      <c r="H34" s="234"/>
      <c r="I34" s="234"/>
      <c r="J34" s="717">
        <f>12089.81/8*12+800-400</f>
        <v>18534.715</v>
      </c>
      <c r="K34" s="717">
        <v>15510.83</v>
      </c>
      <c r="L34" s="717"/>
      <c r="M34" s="717">
        <v>19374</v>
      </c>
      <c r="O34" s="520">
        <f t="shared" si="2"/>
        <v>839.28499999999985</v>
      </c>
      <c r="P34" s="449">
        <f t="shared" si="3"/>
        <v>4.3320171363683282E-2</v>
      </c>
    </row>
    <row r="35" spans="1:16" s="69" customFormat="1" ht="20.25" x14ac:dyDescent="0.2">
      <c r="A35" s="68"/>
      <c r="B35" s="68"/>
      <c r="C35" s="80"/>
      <c r="D35" s="828" t="s">
        <v>305</v>
      </c>
      <c r="E35" s="828"/>
      <c r="F35" s="828"/>
      <c r="G35" s="234"/>
      <c r="H35" s="234"/>
      <c r="I35" s="234"/>
      <c r="J35" s="717">
        <f>10143.6/8*12</f>
        <v>15215.400000000001</v>
      </c>
      <c r="K35" s="717">
        <v>12450.36</v>
      </c>
      <c r="L35" s="717"/>
      <c r="M35" s="717">
        <v>15000</v>
      </c>
      <c r="O35" s="520">
        <f t="shared" si="2"/>
        <v>-215.40000000000146</v>
      </c>
      <c r="P35" s="449">
        <f t="shared" si="3"/>
        <v>-1.4360000000000097E-2</v>
      </c>
    </row>
    <row r="36" spans="1:16" s="69" customFormat="1" ht="20.25" x14ac:dyDescent="0.2">
      <c r="A36" s="68"/>
      <c r="B36" s="68"/>
      <c r="C36" s="80"/>
      <c r="D36" s="828" t="s">
        <v>235</v>
      </c>
      <c r="E36" s="828"/>
      <c r="F36" s="828"/>
      <c r="G36" s="234"/>
      <c r="H36" s="234"/>
      <c r="I36" s="234"/>
      <c r="J36" s="717">
        <v>513.5</v>
      </c>
      <c r="K36" s="717">
        <v>377</v>
      </c>
      <c r="L36" s="717"/>
      <c r="M36" s="717">
        <v>250</v>
      </c>
      <c r="O36" s="520">
        <f t="shared" si="2"/>
        <v>-263.5</v>
      </c>
      <c r="P36" s="449">
        <f t="shared" si="3"/>
        <v>-1.054</v>
      </c>
    </row>
    <row r="37" spans="1:16" s="69" customFormat="1" ht="20.25" x14ac:dyDescent="0.2">
      <c r="A37" s="68"/>
      <c r="B37" s="68"/>
      <c r="C37" s="80" t="s">
        <v>236</v>
      </c>
      <c r="D37" s="80"/>
      <c r="E37" s="80"/>
      <c r="F37" s="80"/>
      <c r="G37" s="234">
        <v>27200</v>
      </c>
      <c r="H37" s="234">
        <v>11327</v>
      </c>
      <c r="I37" s="234"/>
      <c r="J37" s="717">
        <f>22772+1411</f>
        <v>24183</v>
      </c>
      <c r="K37" s="717">
        <v>25080</v>
      </c>
      <c r="L37" s="717"/>
      <c r="M37" s="717">
        <f>20430+6774</f>
        <v>27204</v>
      </c>
      <c r="O37" s="520">
        <f t="shared" si="2"/>
        <v>3021</v>
      </c>
      <c r="P37" s="449">
        <f t="shared" si="3"/>
        <v>0.11104984561093957</v>
      </c>
    </row>
    <row r="38" spans="1:16" s="69" customFormat="1" ht="20.25" x14ac:dyDescent="0.2">
      <c r="A38" s="68"/>
      <c r="B38" s="68"/>
      <c r="C38" s="80" t="s">
        <v>110</v>
      </c>
      <c r="D38" s="80"/>
      <c r="E38" s="80"/>
      <c r="F38" s="80"/>
      <c r="G38" s="234">
        <v>150176</v>
      </c>
      <c r="H38" s="278">
        <v>47700.27</v>
      </c>
      <c r="I38" s="278"/>
      <c r="J38" s="717">
        <f>J21</f>
        <v>9315</v>
      </c>
      <c r="K38" s="717">
        <f>K21</f>
        <v>9315</v>
      </c>
      <c r="L38" s="717"/>
      <c r="M38" s="717">
        <f>M21</f>
        <v>9315</v>
      </c>
      <c r="O38" s="520">
        <f t="shared" si="2"/>
        <v>0</v>
      </c>
      <c r="P38" s="449">
        <f t="shared" si="3"/>
        <v>0</v>
      </c>
    </row>
    <row r="39" spans="1:16" s="69" customFormat="1" ht="20.25" x14ac:dyDescent="0.2">
      <c r="A39" s="68"/>
      <c r="B39" s="68"/>
      <c r="C39" s="80" t="s">
        <v>317</v>
      </c>
      <c r="D39" s="80"/>
      <c r="E39" s="80"/>
      <c r="F39" s="80"/>
      <c r="G39" s="234"/>
      <c r="H39" s="278"/>
      <c r="I39" s="278"/>
      <c r="J39" s="717">
        <f>2845+(332.08+24.92)*4</f>
        <v>4273</v>
      </c>
      <c r="K39" s="717">
        <v>4075</v>
      </c>
      <c r="L39" s="717"/>
      <c r="M39" s="717">
        <f>360*12</f>
        <v>4320</v>
      </c>
      <c r="O39" s="520">
        <f t="shared" si="2"/>
        <v>47</v>
      </c>
      <c r="P39" s="449">
        <f t="shared" si="3"/>
        <v>1.087962962962963E-2</v>
      </c>
    </row>
    <row r="40" spans="1:16" s="69" customFormat="1" ht="20.25" x14ac:dyDescent="0.2">
      <c r="A40" s="68"/>
      <c r="B40" s="68"/>
      <c r="C40" s="80" t="s">
        <v>237</v>
      </c>
      <c r="D40" s="80"/>
      <c r="E40" s="80"/>
      <c r="F40" s="80"/>
      <c r="G40" s="234"/>
      <c r="H40" s="278"/>
      <c r="I40" s="278"/>
      <c r="J40" s="717">
        <f>393+75</f>
        <v>468</v>
      </c>
      <c r="K40" s="717">
        <v>1496.32</v>
      </c>
      <c r="L40" s="717"/>
      <c r="M40" s="717">
        <v>500</v>
      </c>
      <c r="O40" s="520">
        <f t="shared" si="2"/>
        <v>32</v>
      </c>
      <c r="P40" s="449">
        <f t="shared" si="3"/>
        <v>6.4000000000000001E-2</v>
      </c>
    </row>
    <row r="41" spans="1:16" s="69" customFormat="1" ht="20.25" x14ac:dyDescent="0.2">
      <c r="A41" s="68"/>
      <c r="B41" s="68"/>
      <c r="C41" s="80" t="s">
        <v>398</v>
      </c>
      <c r="D41" s="80"/>
      <c r="E41" s="80"/>
      <c r="F41" s="80"/>
      <c r="G41" s="234">
        <v>10993.12</v>
      </c>
      <c r="H41" s="278">
        <v>4904.57</v>
      </c>
      <c r="I41" s="278"/>
      <c r="J41" s="717">
        <f>2414+307*4</f>
        <v>3642</v>
      </c>
      <c r="K41" s="717">
        <v>3429.9</v>
      </c>
      <c r="L41" s="717"/>
      <c r="M41" s="717">
        <f>307*12</f>
        <v>3684</v>
      </c>
      <c r="O41" s="520">
        <f t="shared" si="2"/>
        <v>42</v>
      </c>
      <c r="P41" s="449">
        <f>O41/M41</f>
        <v>1.1400651465798045E-2</v>
      </c>
    </row>
    <row r="42" spans="1:16" s="69" customFormat="1" ht="20.25" x14ac:dyDescent="0.2">
      <c r="A42" s="68"/>
      <c r="B42" s="68"/>
      <c r="C42" s="80" t="s">
        <v>238</v>
      </c>
      <c r="D42" s="80"/>
      <c r="E42" s="80"/>
      <c r="F42" s="80"/>
      <c r="G42" s="234">
        <v>10250.949999999999</v>
      </c>
      <c r="H42" s="278">
        <v>3982.99</v>
      </c>
      <c r="I42" s="278"/>
      <c r="J42" s="717">
        <v>600</v>
      </c>
      <c r="K42" s="717">
        <f>56.6+402.81</f>
        <v>459.41</v>
      </c>
      <c r="L42" s="717"/>
      <c r="M42" s="717">
        <v>600</v>
      </c>
      <c r="O42" s="520">
        <f t="shared" si="2"/>
        <v>0</v>
      </c>
      <c r="P42" s="449">
        <f>O42/M42</f>
        <v>0</v>
      </c>
    </row>
    <row r="43" spans="1:16" s="69" customFormat="1" ht="20.25" x14ac:dyDescent="0.2">
      <c r="A43" s="68"/>
      <c r="B43" s="68"/>
      <c r="C43" s="80" t="s">
        <v>128</v>
      </c>
      <c r="D43" s="80"/>
      <c r="E43" s="80"/>
      <c r="F43" s="80"/>
      <c r="G43" s="234">
        <v>4412.53</v>
      </c>
      <c r="H43" s="279">
        <v>5667</v>
      </c>
      <c r="I43" s="279"/>
      <c r="J43" s="717">
        <f>122.96+1237.38+391.65</f>
        <v>1751.9900000000002</v>
      </c>
      <c r="K43" s="717">
        <v>1040.8800000000001</v>
      </c>
      <c r="L43" s="719"/>
      <c r="M43" s="719">
        <f>394*4</f>
        <v>1576</v>
      </c>
      <c r="O43" s="520">
        <f t="shared" si="2"/>
        <v>-175.99000000000024</v>
      </c>
      <c r="P43" s="449">
        <f>O43/M43</f>
        <v>-0.11166878172588847</v>
      </c>
    </row>
    <row r="44" spans="1:16" s="69" customFormat="1" ht="20.25" x14ac:dyDescent="0.2">
      <c r="A44" s="68"/>
      <c r="B44" s="68"/>
      <c r="C44" s="80" t="s">
        <v>126</v>
      </c>
      <c r="D44" s="80"/>
      <c r="E44" s="80"/>
      <c r="F44" s="80"/>
      <c r="G44" s="234">
        <v>7901</v>
      </c>
      <c r="H44" s="278">
        <v>4149.6000000000004</v>
      </c>
      <c r="I44" s="278"/>
      <c r="J44" s="717">
        <f>367.55/8*12</f>
        <v>551.32500000000005</v>
      </c>
      <c r="K44" s="717">
        <v>436.35</v>
      </c>
      <c r="L44" s="717"/>
      <c r="M44" s="717">
        <v>600</v>
      </c>
      <c r="O44" s="520">
        <f t="shared" si="2"/>
        <v>48.674999999999955</v>
      </c>
      <c r="P44" s="449">
        <f>O44/M44</f>
        <v>8.1124999999999919E-2</v>
      </c>
    </row>
    <row r="45" spans="1:16" s="69" customFormat="1" ht="20.25" hidden="1" x14ac:dyDescent="0.2">
      <c r="A45" s="68"/>
      <c r="B45" s="68"/>
      <c r="C45" s="80" t="s">
        <v>239</v>
      </c>
      <c r="D45" s="80"/>
      <c r="E45" s="80"/>
      <c r="F45" s="80"/>
      <c r="G45" s="234"/>
      <c r="H45" s="278"/>
      <c r="I45" s="278"/>
      <c r="J45" s="717"/>
      <c r="K45" s="717"/>
      <c r="L45" s="717"/>
      <c r="M45" s="717">
        <v>0</v>
      </c>
      <c r="O45" s="520">
        <f t="shared" si="2"/>
        <v>0</v>
      </c>
      <c r="P45" s="449"/>
    </row>
    <row r="46" spans="1:16" s="77" customFormat="1" ht="20.25" x14ac:dyDescent="0.2">
      <c r="A46" s="80"/>
      <c r="B46" s="80"/>
      <c r="C46" s="80" t="s">
        <v>122</v>
      </c>
      <c r="D46" s="80"/>
      <c r="E46" s="80"/>
      <c r="F46" s="80"/>
      <c r="G46" s="234">
        <v>5428.37</v>
      </c>
      <c r="H46" s="278">
        <v>2024.52</v>
      </c>
      <c r="I46" s="278"/>
      <c r="J46" s="717">
        <f>208.6/8*12</f>
        <v>312.89999999999998</v>
      </c>
      <c r="K46" s="717">
        <v>205.44</v>
      </c>
      <c r="L46" s="717"/>
      <c r="M46" s="717">
        <v>320</v>
      </c>
      <c r="O46" s="520">
        <f t="shared" si="2"/>
        <v>7.1000000000000227</v>
      </c>
      <c r="P46" s="449">
        <f>O46/M46</f>
        <v>2.2187500000000072E-2</v>
      </c>
    </row>
    <row r="47" spans="1:16" s="77" customFormat="1" ht="20.25" x14ac:dyDescent="0.2">
      <c r="A47" s="80"/>
      <c r="B47" s="80"/>
      <c r="C47" s="80" t="s">
        <v>240</v>
      </c>
      <c r="D47" s="80"/>
      <c r="E47" s="80"/>
      <c r="F47" s="80"/>
      <c r="G47" s="234">
        <v>83462.91</v>
      </c>
      <c r="H47" s="234">
        <v>18995.71</v>
      </c>
      <c r="I47" s="234"/>
      <c r="J47" s="720">
        <v>200</v>
      </c>
      <c r="K47" s="720">
        <f>201.52+30+216.21+94.56</f>
        <v>542.29</v>
      </c>
      <c r="L47" s="717"/>
      <c r="M47" s="717">
        <v>225</v>
      </c>
      <c r="O47" s="520">
        <f t="shared" si="2"/>
        <v>25</v>
      </c>
      <c r="P47" s="522">
        <f>O47/M47</f>
        <v>0.1111111111111111</v>
      </c>
    </row>
    <row r="48" spans="1:16" s="69" customFormat="1" ht="21" thickBot="1" x14ac:dyDescent="0.25">
      <c r="A48" s="68"/>
      <c r="B48" s="68"/>
      <c r="C48" s="68"/>
      <c r="D48" s="74" t="s">
        <v>134</v>
      </c>
      <c r="E48" s="68"/>
      <c r="F48" s="68"/>
      <c r="G48" s="243">
        <v>1078317.8599999999</v>
      </c>
      <c r="H48" s="243">
        <v>481701.87000000005</v>
      </c>
      <c r="I48" s="234"/>
      <c r="J48" s="479">
        <f>SUM(J29:J47)</f>
        <v>377353.23290000006</v>
      </c>
      <c r="K48" s="479">
        <f>SUM(K29:K47)</f>
        <v>347674.59807999997</v>
      </c>
      <c r="L48" s="329"/>
      <c r="M48" s="479">
        <f>SUM(M29:M47)</f>
        <v>390571.19</v>
      </c>
      <c r="O48" s="479">
        <f>J48-M48</f>
        <v>-13217.957099999941</v>
      </c>
      <c r="P48" s="477">
        <f>O48/M48</f>
        <v>-3.384263212040791E-2</v>
      </c>
    </row>
    <row r="49" spans="1:19" s="69" customFormat="1" ht="21" thickBot="1" x14ac:dyDescent="0.25">
      <c r="A49" s="68"/>
      <c r="B49" s="68"/>
      <c r="C49" s="68"/>
      <c r="D49" s="68" t="s">
        <v>135</v>
      </c>
      <c r="E49" s="68"/>
      <c r="F49" s="68"/>
      <c r="G49" s="243">
        <v>233082.39000000013</v>
      </c>
      <c r="H49" s="243">
        <v>82291.709999999905</v>
      </c>
      <c r="I49" s="234"/>
      <c r="J49" s="480">
        <f>J25-J48</f>
        <v>-20538.272900000098</v>
      </c>
      <c r="K49" s="480">
        <f>K25-K48</f>
        <v>-7966.2594800000079</v>
      </c>
      <c r="L49" s="329"/>
      <c r="M49" s="480">
        <f>M25-M48</f>
        <v>-25456.190000000002</v>
      </c>
      <c r="O49" s="387">
        <f>M49-J49</f>
        <v>-4917.9170999999042</v>
      </c>
      <c r="P49" s="477">
        <f>O49/M49</f>
        <v>0.19319140452675376</v>
      </c>
    </row>
    <row r="50" spans="1:19" s="69" customFormat="1" ht="20.25" x14ac:dyDescent="0.2">
      <c r="A50" s="68"/>
      <c r="B50" s="68"/>
      <c r="C50" s="68"/>
      <c r="D50" s="68"/>
      <c r="E50" s="68"/>
      <c r="F50" s="68"/>
      <c r="G50" s="234"/>
      <c r="H50" s="234"/>
      <c r="I50" s="234"/>
      <c r="J50" s="329"/>
      <c r="K50" s="329"/>
      <c r="L50" s="329"/>
      <c r="M50" s="329"/>
    </row>
    <row r="51" spans="1:19" s="66" customFormat="1" ht="26.25" x14ac:dyDescent="0.2">
      <c r="A51" s="271"/>
      <c r="B51" s="271"/>
      <c r="C51" s="80" t="s">
        <v>264</v>
      </c>
      <c r="E51" s="80"/>
      <c r="F51" s="80"/>
      <c r="G51" s="273"/>
      <c r="H51" s="234"/>
      <c r="I51" s="234"/>
      <c r="J51" s="329">
        <f>-23415.22-24000</f>
        <v>-47415.22</v>
      </c>
      <c r="K51" s="329">
        <v>-44886</v>
      </c>
      <c r="L51" s="329"/>
      <c r="M51" s="329"/>
      <c r="O51" s="278">
        <f>M51-J51</f>
        <v>47415.22</v>
      </c>
      <c r="P51" s="424"/>
      <c r="S51" s="716"/>
    </row>
    <row r="52" spans="1:19" s="69" customFormat="1" ht="20.25" x14ac:dyDescent="0.2">
      <c r="A52" s="68"/>
      <c r="B52" s="68"/>
      <c r="C52" s="80" t="s">
        <v>241</v>
      </c>
      <c r="E52" s="68"/>
      <c r="G52" s="234"/>
      <c r="H52" s="234"/>
      <c r="I52" s="234"/>
      <c r="J52" s="329">
        <f>J37</f>
        <v>24183</v>
      </c>
      <c r="K52" s="329">
        <f>K37</f>
        <v>25080</v>
      </c>
      <c r="L52" s="329"/>
      <c r="M52" s="329">
        <f>M37</f>
        <v>27204</v>
      </c>
      <c r="O52" s="278">
        <f>M52-J52</f>
        <v>3021</v>
      </c>
      <c r="P52" s="424">
        <v>3.5414486921529216E-2</v>
      </c>
    </row>
    <row r="53" spans="1:19" s="69" customFormat="1" ht="24" thickBot="1" x14ac:dyDescent="0.25">
      <c r="A53" s="68"/>
      <c r="B53" s="406"/>
      <c r="C53" s="68"/>
      <c r="D53" s="830" t="s">
        <v>242</v>
      </c>
      <c r="E53" s="830"/>
      <c r="F53" s="830"/>
      <c r="G53" s="234"/>
      <c r="H53" s="234"/>
      <c r="I53" s="234"/>
      <c r="J53" s="481">
        <f>J49+J51+J52</f>
        <v>-43770.492900000099</v>
      </c>
      <c r="K53" s="481">
        <f>K49+K51+K52</f>
        <v>-27772.259480000008</v>
      </c>
      <c r="L53" s="333"/>
      <c r="M53" s="481">
        <f>M49+M51+M52</f>
        <v>1747.8099999999977</v>
      </c>
      <c r="N53" s="397"/>
      <c r="O53" s="478">
        <f>M53-J53</f>
        <v>45518.302900000097</v>
      </c>
      <c r="P53" s="512">
        <v>2.1062768618503362E-2</v>
      </c>
    </row>
    <row r="54" spans="1:19" s="69" customFormat="1" ht="42" customHeight="1" thickTop="1" x14ac:dyDescent="0.2">
      <c r="A54" s="68"/>
      <c r="B54" s="68"/>
      <c r="C54" s="68"/>
      <c r="D54" s="68"/>
      <c r="E54" s="68"/>
      <c r="F54" s="68"/>
      <c r="G54" s="234"/>
      <c r="H54" s="234"/>
      <c r="I54" s="234"/>
      <c r="J54" s="329"/>
      <c r="K54" s="329"/>
      <c r="L54" s="329"/>
      <c r="M54" s="329"/>
    </row>
    <row r="55" spans="1:19" s="77" customFormat="1" ht="20.25" x14ac:dyDescent="0.2">
      <c r="A55" s="80"/>
      <c r="B55" s="80"/>
      <c r="C55" s="80"/>
      <c r="D55" s="80"/>
      <c r="E55" s="80"/>
      <c r="F55" s="80"/>
      <c r="G55" s="234"/>
      <c r="H55" s="234"/>
      <c r="I55" s="234"/>
      <c r="J55" s="234"/>
      <c r="K55" s="234"/>
      <c r="L55" s="234"/>
      <c r="M55" s="234"/>
    </row>
    <row r="56" spans="1:19" s="77" customFormat="1" ht="20.25" x14ac:dyDescent="0.2">
      <c r="A56" s="80"/>
      <c r="B56" s="80"/>
      <c r="C56" s="80"/>
      <c r="D56" s="80"/>
      <c r="E56" s="80"/>
      <c r="F56" s="80"/>
      <c r="G56" s="234"/>
      <c r="H56" s="234"/>
      <c r="I56" s="234"/>
      <c r="J56" s="234"/>
      <c r="K56" s="234"/>
      <c r="L56" s="234"/>
      <c r="M56" s="234"/>
    </row>
    <row r="57" spans="1:19" s="77" customFormat="1" ht="20.25" x14ac:dyDescent="0.2">
      <c r="A57" s="80"/>
      <c r="B57" s="80"/>
      <c r="C57" s="68"/>
      <c r="D57" s="80"/>
      <c r="F57" s="80"/>
      <c r="G57" s="234"/>
      <c r="H57" s="234"/>
      <c r="I57" s="234"/>
      <c r="J57" s="234"/>
      <c r="K57" s="234"/>
      <c r="L57" s="234"/>
      <c r="M57" s="234"/>
    </row>
    <row r="58" spans="1:19" s="77" customFormat="1" ht="20.25" x14ac:dyDescent="0.2">
      <c r="A58" s="80"/>
      <c r="B58" s="80"/>
      <c r="C58" s="80"/>
      <c r="D58" s="80"/>
      <c r="E58" s="80"/>
      <c r="F58" s="80"/>
      <c r="G58" s="234"/>
      <c r="H58" s="234"/>
      <c r="I58" s="234"/>
      <c r="J58" s="234"/>
      <c r="K58" s="234"/>
      <c r="L58" s="234"/>
      <c r="M58" s="234"/>
    </row>
    <row r="59" spans="1:19" s="69" customFormat="1" ht="20.25" x14ac:dyDescent="0.2">
      <c r="A59" s="68"/>
      <c r="B59" s="68"/>
      <c r="C59" s="68"/>
      <c r="D59" s="68"/>
      <c r="E59" s="68"/>
      <c r="F59" s="68"/>
      <c r="G59" s="239"/>
      <c r="H59" s="239"/>
      <c r="I59" s="239"/>
      <c r="J59" s="239"/>
      <c r="K59" s="239"/>
      <c r="L59" s="239"/>
      <c r="M59" s="239"/>
    </row>
    <row r="60" spans="1:19" s="69" customFormat="1" ht="20.25" x14ac:dyDescent="0.2">
      <c r="A60" s="68"/>
      <c r="B60" s="68"/>
      <c r="C60" s="68"/>
      <c r="D60" s="68"/>
      <c r="E60" s="68"/>
      <c r="F60" s="68"/>
      <c r="G60" s="239"/>
      <c r="H60" s="239"/>
      <c r="I60" s="239"/>
      <c r="J60" s="239"/>
      <c r="K60" s="239"/>
      <c r="L60" s="239"/>
      <c r="M60" s="239"/>
    </row>
    <row r="61" spans="1:19" s="69" customFormat="1" ht="23.25" x14ac:dyDescent="0.2">
      <c r="A61" s="68"/>
      <c r="B61" s="274"/>
      <c r="C61" s="68"/>
      <c r="D61" s="68"/>
      <c r="E61" s="68"/>
      <c r="F61" s="68"/>
      <c r="G61" s="234"/>
      <c r="H61" s="234"/>
      <c r="I61" s="234"/>
      <c r="J61" s="234"/>
      <c r="K61" s="234"/>
      <c r="L61" s="234"/>
      <c r="M61" s="234"/>
    </row>
    <row r="62" spans="1:19" s="77" customFormat="1" ht="20.25" x14ac:dyDescent="0.2">
      <c r="A62" s="80"/>
      <c r="B62" s="80"/>
      <c r="D62" s="80"/>
      <c r="E62" s="80"/>
      <c r="F62" s="80"/>
      <c r="G62" s="234"/>
      <c r="H62" s="234"/>
      <c r="I62" s="234"/>
      <c r="J62" s="234"/>
      <c r="K62" s="234"/>
      <c r="L62" s="234"/>
      <c r="M62" s="234"/>
    </row>
    <row r="63" spans="1:19" s="77" customFormat="1" ht="20.25" x14ac:dyDescent="0.2">
      <c r="A63" s="80"/>
      <c r="B63" s="80"/>
      <c r="D63" s="80"/>
      <c r="E63" s="80"/>
      <c r="F63" s="80"/>
      <c r="G63" s="234"/>
      <c r="H63" s="234"/>
      <c r="I63" s="234"/>
      <c r="J63" s="234"/>
      <c r="K63" s="234"/>
      <c r="L63" s="234"/>
      <c r="M63" s="234"/>
    </row>
    <row r="64" spans="1:19" s="69" customFormat="1" ht="20.25" x14ac:dyDescent="0.2">
      <c r="A64" s="68"/>
      <c r="B64" s="68"/>
      <c r="D64" s="80"/>
      <c r="E64" s="68"/>
      <c r="F64" s="68"/>
      <c r="G64" s="234"/>
      <c r="H64" s="234"/>
      <c r="I64" s="234"/>
      <c r="J64" s="234"/>
      <c r="K64" s="234"/>
      <c r="L64" s="234"/>
      <c r="M64" s="234"/>
    </row>
    <row r="65" spans="1:13" s="69" customFormat="1" ht="23.25" x14ac:dyDescent="0.2">
      <c r="A65" s="68"/>
      <c r="B65" s="274"/>
      <c r="C65" s="68"/>
      <c r="D65" s="68"/>
      <c r="E65" s="68"/>
      <c r="F65" s="68"/>
      <c r="G65" s="239"/>
      <c r="H65" s="239"/>
      <c r="I65" s="239"/>
      <c r="J65" s="239"/>
      <c r="K65" s="239"/>
      <c r="L65" s="239"/>
      <c r="M65" s="239"/>
    </row>
    <row r="66" spans="1:13" s="69" customFormat="1" ht="20.25" x14ac:dyDescent="0.2">
      <c r="A66" s="68"/>
      <c r="B66" s="68"/>
      <c r="C66" s="68"/>
      <c r="D66" s="68"/>
      <c r="E66" s="68"/>
      <c r="F66" s="68"/>
      <c r="G66" s="234"/>
      <c r="H66" s="234"/>
      <c r="I66" s="234"/>
      <c r="J66" s="234"/>
      <c r="K66" s="234"/>
      <c r="L66" s="234"/>
      <c r="M66" s="234"/>
    </row>
    <row r="67" spans="1:13" s="83" customFormat="1" ht="26.25" x14ac:dyDescent="0.2">
      <c r="A67" s="271"/>
      <c r="B67" s="271"/>
      <c r="C67" s="271"/>
      <c r="D67" s="271"/>
      <c r="E67" s="271"/>
      <c r="F67" s="271"/>
      <c r="G67" s="272"/>
      <c r="H67" s="239"/>
      <c r="I67" s="239"/>
      <c r="J67" s="239"/>
      <c r="K67" s="239"/>
      <c r="L67" s="239"/>
      <c r="M67" s="239"/>
    </row>
    <row r="68" spans="1:13" s="18" customFormat="1" ht="20.25" x14ac:dyDescent="0.3">
      <c r="A68" s="123"/>
      <c r="B68" s="123"/>
      <c r="C68" s="123"/>
      <c r="D68" s="123"/>
      <c r="E68" s="123"/>
      <c r="F68" s="123"/>
      <c r="G68" s="275"/>
      <c r="H68" s="280"/>
      <c r="I68" s="280"/>
      <c r="J68" s="280"/>
      <c r="K68" s="280"/>
      <c r="L68" s="280"/>
      <c r="M68" s="280"/>
    </row>
    <row r="69" spans="1:13" ht="20.25" x14ac:dyDescent="0.3">
      <c r="H69" s="280"/>
      <c r="I69" s="280"/>
      <c r="J69" s="280"/>
      <c r="K69" s="280"/>
      <c r="L69" s="280"/>
      <c r="M69" s="280"/>
    </row>
    <row r="70" spans="1:13" ht="20.25" x14ac:dyDescent="0.3">
      <c r="H70" s="280"/>
      <c r="I70" s="280"/>
      <c r="J70" s="280"/>
      <c r="K70" s="280"/>
      <c r="L70" s="280"/>
      <c r="M70" s="280"/>
    </row>
    <row r="71" spans="1:13" ht="20.25" x14ac:dyDescent="0.3">
      <c r="H71" s="277"/>
      <c r="I71" s="277"/>
      <c r="J71" s="277"/>
      <c r="K71" s="277"/>
      <c r="L71" s="277"/>
      <c r="M71" s="277"/>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100</v>
      </c>
      <c r="B1" s="60"/>
      <c r="C1" s="61"/>
      <c r="D1" s="61"/>
      <c r="E1" s="61"/>
      <c r="F1" s="60"/>
      <c r="G1" s="232"/>
    </row>
    <row r="2" spans="1:9" ht="26.25" x14ac:dyDescent="0.4">
      <c r="A2" s="59" t="s">
        <v>262</v>
      </c>
      <c r="B2" s="60"/>
      <c r="C2" s="61"/>
      <c r="D2" s="61"/>
      <c r="E2" s="61"/>
      <c r="F2" s="60"/>
      <c r="G2" s="232"/>
    </row>
    <row r="3" spans="1:9" ht="26.25" x14ac:dyDescent="0.4">
      <c r="A3" s="59" t="s">
        <v>322</v>
      </c>
      <c r="B3" s="60"/>
      <c r="C3" s="61"/>
      <c r="D3" s="61"/>
      <c r="E3" s="61"/>
      <c r="F3" s="60"/>
      <c r="G3" s="232"/>
    </row>
    <row r="4" spans="1:9" ht="21" thickBot="1" x14ac:dyDescent="0.25">
      <c r="A4" s="62"/>
      <c r="B4" s="62"/>
      <c r="C4" s="62"/>
      <c r="D4" s="62"/>
      <c r="E4" s="62"/>
      <c r="F4" s="62"/>
      <c r="G4" s="233"/>
    </row>
    <row r="5" spans="1:9" ht="27.75" thickTop="1" thickBot="1" x14ac:dyDescent="0.25">
      <c r="A5" s="65"/>
      <c r="B5" s="65"/>
      <c r="C5" s="65"/>
      <c r="D5" s="65"/>
      <c r="E5" s="65"/>
      <c r="F5" s="65"/>
      <c r="G5" s="620" t="s">
        <v>54</v>
      </c>
    </row>
    <row r="6" spans="1:9" ht="21" thickTop="1" x14ac:dyDescent="0.2">
      <c r="A6" s="68"/>
      <c r="B6" s="68"/>
      <c r="C6" s="68"/>
      <c r="D6" s="68"/>
      <c r="E6" s="68"/>
      <c r="F6" s="68"/>
      <c r="G6" s="234"/>
    </row>
    <row r="7" spans="1:9" ht="21" thickBot="1" x14ac:dyDescent="0.35">
      <c r="A7" s="70"/>
      <c r="B7" s="154" t="s">
        <v>106</v>
      </c>
      <c r="C7" s="154"/>
      <c r="D7" s="154"/>
      <c r="E7" s="154"/>
      <c r="F7" s="154"/>
      <c r="G7" s="285"/>
    </row>
    <row r="8" spans="1:9" ht="20.25" x14ac:dyDescent="0.2">
      <c r="A8" s="74"/>
      <c r="B8" s="74"/>
      <c r="C8" s="431" t="s">
        <v>107</v>
      </c>
      <c r="D8" s="431"/>
      <c r="E8" s="431"/>
      <c r="F8" s="74"/>
      <c r="G8" s="266">
        <v>791718</v>
      </c>
    </row>
    <row r="9" spans="1:9" ht="20.25" x14ac:dyDescent="0.2">
      <c r="A9" s="74"/>
      <c r="B9" s="74"/>
      <c r="C9" s="431" t="s">
        <v>323</v>
      </c>
      <c r="D9" s="431"/>
      <c r="E9" s="431"/>
      <c r="F9" s="74"/>
      <c r="G9" s="267">
        <v>25000</v>
      </c>
    </row>
    <row r="10" spans="1:9" ht="20.25" x14ac:dyDescent="0.2">
      <c r="A10" s="74"/>
      <c r="B10" s="402"/>
      <c r="C10" s="431" t="s">
        <v>157</v>
      </c>
      <c r="D10" s="431"/>
      <c r="E10" s="431"/>
      <c r="F10" s="74"/>
      <c r="G10" s="267">
        <v>147000</v>
      </c>
    </row>
    <row r="11" spans="1:9" ht="20.25" x14ac:dyDescent="0.2">
      <c r="A11" s="74"/>
      <c r="B11" s="402"/>
      <c r="C11" s="431" t="s">
        <v>187</v>
      </c>
      <c r="D11" s="431"/>
      <c r="E11" s="431"/>
      <c r="F11" s="74"/>
      <c r="G11" s="267">
        <v>43322</v>
      </c>
      <c r="I11" s="245"/>
    </row>
    <row r="12" spans="1:9" ht="20.25" x14ac:dyDescent="0.2">
      <c r="A12" s="74"/>
      <c r="B12" s="402"/>
      <c r="C12" s="431" t="s">
        <v>108</v>
      </c>
      <c r="D12" s="431"/>
      <c r="E12" s="431"/>
      <c r="F12" s="74"/>
      <c r="G12" s="267"/>
    </row>
    <row r="13" spans="1:9" ht="20.25" x14ac:dyDescent="0.2">
      <c r="A13" s="74"/>
      <c r="B13" s="402"/>
      <c r="C13" s="78"/>
      <c r="D13" s="431" t="s">
        <v>146</v>
      </c>
      <c r="E13" s="431"/>
      <c r="F13" s="74"/>
      <c r="G13" s="267">
        <f>43500+158022</f>
        <v>201522</v>
      </c>
    </row>
    <row r="14" spans="1:9" ht="20.25" x14ac:dyDescent="0.2">
      <c r="A14" s="74"/>
      <c r="B14" s="402"/>
      <c r="C14" s="78"/>
      <c r="D14" s="431" t="s">
        <v>166</v>
      </c>
      <c r="E14" s="431"/>
      <c r="F14" s="74"/>
      <c r="G14" s="267">
        <v>13000</v>
      </c>
    </row>
    <row r="15" spans="1:9" ht="20.25" x14ac:dyDescent="0.2">
      <c r="A15" s="74"/>
      <c r="B15" s="402"/>
      <c r="C15" s="431" t="s">
        <v>109</v>
      </c>
      <c r="D15" s="431"/>
      <c r="E15" s="431"/>
      <c r="F15" s="74"/>
      <c r="G15" s="267">
        <v>12500</v>
      </c>
    </row>
    <row r="16" spans="1:9" ht="20.25" x14ac:dyDescent="0.2">
      <c r="A16" s="74"/>
      <c r="B16" s="402"/>
      <c r="C16" s="431" t="s">
        <v>116</v>
      </c>
      <c r="D16" s="431"/>
      <c r="E16" s="431"/>
      <c r="F16" s="74"/>
      <c r="G16" s="267">
        <v>1200</v>
      </c>
    </row>
    <row r="17" spans="1:9" ht="20.25" x14ac:dyDescent="0.2">
      <c r="A17" s="74"/>
      <c r="B17" s="402"/>
      <c r="C17" s="431" t="s">
        <v>249</v>
      </c>
      <c r="D17" s="431"/>
      <c r="E17" s="431"/>
      <c r="F17" s="74"/>
      <c r="G17" s="267">
        <v>4200</v>
      </c>
    </row>
    <row r="18" spans="1:9" ht="20.25" x14ac:dyDescent="0.2">
      <c r="A18" s="74"/>
      <c r="B18" s="402"/>
      <c r="C18" s="431" t="s">
        <v>325</v>
      </c>
      <c r="D18" s="431"/>
      <c r="E18" s="431"/>
      <c r="F18" s="74"/>
      <c r="G18" s="267">
        <v>1500</v>
      </c>
    </row>
    <row r="19" spans="1:9" ht="20.25" x14ac:dyDescent="0.2">
      <c r="A19" s="74"/>
      <c r="B19" s="402"/>
      <c r="C19" s="431" t="s">
        <v>250</v>
      </c>
      <c r="D19" s="431"/>
      <c r="E19" s="431"/>
      <c r="F19" s="74"/>
      <c r="G19" s="267"/>
    </row>
    <row r="20" spans="1:9" ht="20.25" x14ac:dyDescent="0.2">
      <c r="A20" s="74"/>
      <c r="B20" s="402"/>
      <c r="C20" s="431"/>
      <c r="D20" s="431" t="s">
        <v>11</v>
      </c>
      <c r="E20" s="431"/>
      <c r="F20" s="74"/>
      <c r="G20" s="267">
        <f>73338-45000</f>
        <v>28338</v>
      </c>
    </row>
    <row r="21" spans="1:9" ht="20.25" x14ac:dyDescent="0.2">
      <c r="A21" s="74"/>
      <c r="B21" s="402"/>
      <c r="C21" s="431"/>
      <c r="D21" s="431" t="s">
        <v>17</v>
      </c>
      <c r="E21" s="431"/>
      <c r="F21" s="74"/>
      <c r="G21" s="267">
        <v>45000</v>
      </c>
    </row>
    <row r="22" spans="1:9" ht="20.25" x14ac:dyDescent="0.2">
      <c r="A22" s="74"/>
      <c r="B22" s="402"/>
      <c r="C22" s="431" t="s">
        <v>327</v>
      </c>
      <c r="D22" s="431"/>
      <c r="E22" s="431"/>
      <c r="F22" s="74"/>
      <c r="G22" s="267">
        <v>2500</v>
      </c>
    </row>
    <row r="23" spans="1:9" ht="20.25" x14ac:dyDescent="0.2">
      <c r="A23" s="74"/>
      <c r="B23" s="402"/>
      <c r="C23" s="431" t="s">
        <v>115</v>
      </c>
      <c r="D23" s="431"/>
      <c r="E23" s="431"/>
      <c r="F23" s="74"/>
      <c r="G23" s="329">
        <v>46575</v>
      </c>
    </row>
    <row r="24" spans="1:9" ht="20.25" x14ac:dyDescent="0.2">
      <c r="A24" s="74"/>
      <c r="B24" s="402"/>
      <c r="C24" s="431" t="s">
        <v>328</v>
      </c>
      <c r="D24" s="431"/>
      <c r="E24" s="431"/>
      <c r="F24" s="74"/>
      <c r="G24" s="329">
        <v>1531</v>
      </c>
    </row>
    <row r="25" spans="1:9" ht="20.25" x14ac:dyDescent="0.2">
      <c r="A25" s="74"/>
      <c r="B25" s="402"/>
      <c r="C25" s="431" t="s">
        <v>108</v>
      </c>
      <c r="D25" s="431"/>
      <c r="E25" s="431"/>
      <c r="F25" s="74"/>
      <c r="G25" s="329">
        <v>19000</v>
      </c>
    </row>
    <row r="26" spans="1:9" ht="20.25" x14ac:dyDescent="0.2">
      <c r="A26" s="74"/>
      <c r="B26" s="402"/>
      <c r="C26" s="431" t="s">
        <v>324</v>
      </c>
      <c r="D26" s="431"/>
      <c r="E26" s="431"/>
      <c r="F26" s="74"/>
      <c r="G26" s="329">
        <v>51000</v>
      </c>
    </row>
    <row r="27" spans="1:9" ht="20.25" x14ac:dyDescent="0.2">
      <c r="A27" s="74"/>
      <c r="B27" s="402"/>
      <c r="C27" s="431" t="s">
        <v>326</v>
      </c>
      <c r="D27" s="431"/>
      <c r="E27" s="431"/>
      <c r="F27" s="74"/>
      <c r="G27" s="329">
        <v>20655</v>
      </c>
    </row>
    <row r="28" spans="1:9" ht="20.25" x14ac:dyDescent="0.2">
      <c r="A28" s="74"/>
      <c r="B28" s="402"/>
      <c r="C28" s="431"/>
      <c r="D28" s="74" t="s">
        <v>111</v>
      </c>
      <c r="E28" s="431"/>
      <c r="F28" s="74"/>
      <c r="G28" s="244">
        <f>SUM(G8:G27)</f>
        <v>1455561</v>
      </c>
      <c r="I28" s="245"/>
    </row>
    <row r="29" spans="1:9" ht="20.25" x14ac:dyDescent="0.2">
      <c r="A29" s="74"/>
      <c r="B29" s="402"/>
      <c r="C29" s="431"/>
      <c r="D29" s="74"/>
      <c r="E29" s="431"/>
      <c r="F29" s="74"/>
      <c r="G29" s="236"/>
    </row>
    <row r="30" spans="1:9" ht="21" thickBot="1" x14ac:dyDescent="0.25">
      <c r="A30" s="74"/>
      <c r="B30" s="403" t="s">
        <v>117</v>
      </c>
      <c r="C30" s="88"/>
      <c r="D30" s="88"/>
      <c r="E30" s="88"/>
      <c r="F30" s="88"/>
      <c r="G30" s="243"/>
    </row>
    <row r="31" spans="1:9" ht="20.25" x14ac:dyDescent="0.2">
      <c r="A31" s="68"/>
      <c r="B31" s="404"/>
      <c r="C31" s="80" t="s">
        <v>118</v>
      </c>
      <c r="D31" s="80"/>
      <c r="E31" s="80"/>
      <c r="F31" s="80"/>
      <c r="G31" s="234">
        <v>889720</v>
      </c>
    </row>
    <row r="32" spans="1:9" ht="20.25" x14ac:dyDescent="0.2">
      <c r="A32" s="68"/>
      <c r="B32" s="404"/>
      <c r="C32" s="80" t="s">
        <v>119</v>
      </c>
      <c r="D32" s="80"/>
      <c r="E32" s="80"/>
      <c r="F32" s="80"/>
      <c r="G32" s="234">
        <v>192602</v>
      </c>
    </row>
    <row r="33" spans="1:7" ht="20.25" x14ac:dyDescent="0.2">
      <c r="A33" s="68"/>
      <c r="B33" s="404"/>
      <c r="C33" s="80" t="s">
        <v>120</v>
      </c>
      <c r="D33" s="80"/>
      <c r="E33" s="80"/>
      <c r="F33" s="80"/>
      <c r="G33" s="234">
        <v>3600</v>
      </c>
    </row>
    <row r="34" spans="1:7" ht="20.25" x14ac:dyDescent="0.2">
      <c r="A34" s="68"/>
      <c r="B34" s="404"/>
      <c r="C34" s="80" t="s">
        <v>110</v>
      </c>
      <c r="D34" s="80"/>
      <c r="E34" s="80"/>
      <c r="F34" s="80"/>
      <c r="G34" s="234">
        <f>G23</f>
        <v>46575</v>
      </c>
    </row>
    <row r="35" spans="1:7" ht="20.25" x14ac:dyDescent="0.2">
      <c r="A35" s="68"/>
      <c r="B35" s="404"/>
      <c r="C35" s="80" t="s">
        <v>121</v>
      </c>
      <c r="D35" s="80"/>
      <c r="E35" s="80"/>
      <c r="F35" s="80"/>
      <c r="G35" s="234">
        <v>17595</v>
      </c>
    </row>
    <row r="36" spans="1:7" ht="20.25" x14ac:dyDescent="0.2">
      <c r="A36" s="68"/>
      <c r="B36" s="404"/>
      <c r="C36" s="80" t="s">
        <v>122</v>
      </c>
      <c r="D36" s="80"/>
      <c r="E36" s="80"/>
      <c r="F36" s="80"/>
      <c r="G36" s="234">
        <v>2821</v>
      </c>
    </row>
    <row r="37" spans="1:7" ht="20.25" x14ac:dyDescent="0.2">
      <c r="A37" s="68"/>
      <c r="B37" s="404"/>
      <c r="C37" s="80" t="s">
        <v>123</v>
      </c>
      <c r="D37" s="80"/>
      <c r="E37" s="80"/>
      <c r="F37" s="80"/>
      <c r="G37" s="234">
        <v>5032</v>
      </c>
    </row>
    <row r="38" spans="1:7" ht="20.25" x14ac:dyDescent="0.2">
      <c r="A38" s="68"/>
      <c r="B38" s="404"/>
      <c r="C38" s="80" t="s">
        <v>124</v>
      </c>
      <c r="D38" s="80"/>
      <c r="E38" s="80"/>
      <c r="F38" s="80"/>
      <c r="G38" s="234">
        <v>12216</v>
      </c>
    </row>
    <row r="39" spans="1:7" ht="20.25" x14ac:dyDescent="0.2">
      <c r="A39" s="68"/>
      <c r="B39" s="404"/>
      <c r="C39" s="80" t="s">
        <v>125</v>
      </c>
      <c r="D39" s="80"/>
      <c r="E39" s="80"/>
      <c r="F39" s="80"/>
      <c r="G39" s="234">
        <v>39500</v>
      </c>
    </row>
    <row r="40" spans="1:7" ht="20.25" x14ac:dyDescent="0.2">
      <c r="A40" s="68"/>
      <c r="B40" s="404"/>
      <c r="C40" s="80" t="s">
        <v>126</v>
      </c>
      <c r="D40" s="80"/>
      <c r="E40" s="80"/>
      <c r="F40" s="80"/>
      <c r="G40" s="234">
        <v>4840</v>
      </c>
    </row>
    <row r="41" spans="1:7" ht="20.25" x14ac:dyDescent="0.2">
      <c r="A41" s="68"/>
      <c r="B41" s="404"/>
      <c r="C41" s="80" t="s">
        <v>127</v>
      </c>
      <c r="D41" s="80"/>
      <c r="E41" s="80"/>
      <c r="F41" s="80"/>
      <c r="G41" s="234">
        <v>1735</v>
      </c>
    </row>
    <row r="42" spans="1:7" ht="20.25" x14ac:dyDescent="0.2">
      <c r="A42" s="68"/>
      <c r="B42" s="404"/>
      <c r="C42" s="80" t="s">
        <v>174</v>
      </c>
      <c r="D42" s="80"/>
      <c r="E42" s="80"/>
      <c r="F42" s="80"/>
      <c r="G42" s="234">
        <v>12125</v>
      </c>
    </row>
    <row r="43" spans="1:7" ht="20.25" x14ac:dyDescent="0.2">
      <c r="A43" s="80"/>
      <c r="B43" s="400"/>
      <c r="C43" s="80" t="s">
        <v>128</v>
      </c>
      <c r="D43" s="80"/>
      <c r="E43" s="80"/>
      <c r="F43" s="80"/>
      <c r="G43" s="329">
        <v>12252</v>
      </c>
    </row>
    <row r="44" spans="1:7" ht="20.25" x14ac:dyDescent="0.2">
      <c r="A44" s="80"/>
      <c r="B44" s="400"/>
      <c r="C44" s="80" t="s">
        <v>129</v>
      </c>
      <c r="D44" s="80"/>
      <c r="E44" s="80"/>
      <c r="F44" s="80"/>
      <c r="G44" s="234">
        <v>13564</v>
      </c>
    </row>
    <row r="45" spans="1:7" ht="20.25" x14ac:dyDescent="0.2">
      <c r="A45" s="80"/>
      <c r="B45" s="400"/>
      <c r="C45" s="80" t="s">
        <v>136</v>
      </c>
      <c r="D45" s="80"/>
      <c r="E45" s="80"/>
      <c r="F45" s="80"/>
      <c r="G45" s="234">
        <v>875</v>
      </c>
    </row>
    <row r="46" spans="1:7" ht="20.25" x14ac:dyDescent="0.2">
      <c r="A46" s="80"/>
      <c r="B46" s="400"/>
      <c r="C46" s="80" t="s">
        <v>130</v>
      </c>
      <c r="D46" s="80"/>
      <c r="E46" s="80"/>
      <c r="F46" s="80"/>
      <c r="G46" s="329">
        <f>10039+1500</f>
        <v>11539</v>
      </c>
    </row>
    <row r="47" spans="1:7" ht="20.25" x14ac:dyDescent="0.2">
      <c r="A47" s="68"/>
      <c r="B47" s="404"/>
      <c r="C47" s="80" t="s">
        <v>209</v>
      </c>
      <c r="D47" s="80"/>
      <c r="E47" s="80"/>
      <c r="F47" s="80"/>
      <c r="G47" s="234">
        <f>12623+2660</f>
        <v>15283</v>
      </c>
    </row>
    <row r="48" spans="1:7" ht="20.25" x14ac:dyDescent="0.2">
      <c r="A48" s="80"/>
      <c r="B48" s="400"/>
      <c r="C48" s="80" t="s">
        <v>131</v>
      </c>
      <c r="D48" s="80"/>
      <c r="E48" s="80"/>
      <c r="F48" s="80"/>
      <c r="G48" s="329">
        <v>39977</v>
      </c>
    </row>
    <row r="49" spans="1:7" ht="20.25" x14ac:dyDescent="0.2">
      <c r="A49" s="80"/>
      <c r="B49" s="400"/>
      <c r="C49" s="80" t="s">
        <v>132</v>
      </c>
      <c r="D49" s="80"/>
      <c r="E49" s="80"/>
      <c r="F49" s="80"/>
      <c r="G49" s="329">
        <v>19556</v>
      </c>
    </row>
    <row r="50" spans="1:7" ht="20.25" x14ac:dyDescent="0.2">
      <c r="A50" s="80"/>
      <c r="B50" s="400"/>
      <c r="C50" s="80" t="s">
        <v>173</v>
      </c>
      <c r="D50" s="80"/>
      <c r="E50" s="80"/>
      <c r="F50" s="80"/>
      <c r="G50" s="234">
        <v>56100</v>
      </c>
    </row>
    <row r="51" spans="1:7" ht="20.25" x14ac:dyDescent="0.2">
      <c r="A51" s="80"/>
      <c r="B51" s="400"/>
      <c r="C51" s="80" t="s">
        <v>133</v>
      </c>
      <c r="D51" s="80"/>
      <c r="E51" s="80"/>
      <c r="F51" s="80"/>
      <c r="G51" s="234">
        <f>750+86095</f>
        <v>86845</v>
      </c>
    </row>
    <row r="52" spans="1:7" ht="21" thickBot="1" x14ac:dyDescent="0.25">
      <c r="A52" s="80"/>
      <c r="B52" s="400"/>
      <c r="C52" s="80"/>
      <c r="D52" s="80"/>
      <c r="E52" s="80"/>
      <c r="F52" s="80"/>
      <c r="G52" s="243"/>
    </row>
    <row r="53" spans="1:7" ht="20.25" x14ac:dyDescent="0.2">
      <c r="A53" s="68"/>
      <c r="B53" s="404"/>
      <c r="C53" s="68"/>
      <c r="D53" s="74" t="s">
        <v>134</v>
      </c>
      <c r="E53" s="68"/>
      <c r="F53" s="68"/>
      <c r="G53" s="239">
        <f>SUM(G31:G51)</f>
        <v>1484352</v>
      </c>
    </row>
    <row r="54" spans="1:7" ht="21" thickBot="1" x14ac:dyDescent="0.25">
      <c r="A54" s="68"/>
      <c r="B54" s="404"/>
      <c r="C54" s="68"/>
      <c r="D54" s="74"/>
      <c r="E54" s="68"/>
      <c r="F54" s="68"/>
      <c r="G54" s="243"/>
    </row>
    <row r="55" spans="1:7" ht="21" thickBot="1" x14ac:dyDescent="0.25">
      <c r="A55" s="68"/>
      <c r="B55" s="404"/>
      <c r="C55" s="68"/>
      <c r="D55" s="68" t="s">
        <v>135</v>
      </c>
      <c r="E55" s="68"/>
      <c r="F55" s="68"/>
      <c r="G55" s="243">
        <f>G28-G53</f>
        <v>-28791</v>
      </c>
    </row>
    <row r="56" spans="1:7" ht="20.25" x14ac:dyDescent="0.2">
      <c r="A56" s="68"/>
      <c r="B56" s="404"/>
      <c r="C56" s="68"/>
      <c r="D56" s="68"/>
      <c r="E56" s="68"/>
      <c r="F56" s="68"/>
      <c r="G56" s="234"/>
    </row>
  </sheetData>
  <pageMargins left="1.2" right="0" top="0.5" bottom="0.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68" hidden="1" customWidth="1"/>
    <col min="4" max="7" width="15" customWidth="1"/>
    <col min="8" max="8" width="14.625" customWidth="1"/>
  </cols>
  <sheetData>
    <row r="1" spans="1:130" ht="21" x14ac:dyDescent="0.35">
      <c r="A1" s="603" t="s">
        <v>100</v>
      </c>
      <c r="B1" s="60"/>
      <c r="C1" s="61"/>
      <c r="D1" s="61"/>
      <c r="E1" s="61"/>
      <c r="F1" s="60"/>
      <c r="G1" s="232"/>
      <c r="H1" s="60"/>
      <c r="I1" s="60"/>
      <c r="J1" s="60"/>
      <c r="K1" s="60"/>
      <c r="L1" s="476"/>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03" t="s">
        <v>302</v>
      </c>
      <c r="B2" s="60"/>
      <c r="C2" s="61"/>
      <c r="D2" s="61"/>
      <c r="E2" s="61"/>
      <c r="F2" s="60"/>
      <c r="G2" s="232"/>
      <c r="H2" s="60"/>
      <c r="I2" s="60"/>
      <c r="J2" s="60"/>
      <c r="K2" s="60"/>
      <c r="L2" s="476"/>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03" t="str">
        <f>'April''20 State of Activities'!A3</f>
        <v>Four Months Ended April 30, 2020 and 2019</v>
      </c>
      <c r="B3" s="60"/>
      <c r="C3" s="61"/>
      <c r="D3" s="61"/>
      <c r="E3" s="61"/>
      <c r="F3" s="60"/>
      <c r="G3" s="232"/>
      <c r="H3" s="60"/>
      <c r="I3" s="60"/>
      <c r="J3" s="60"/>
      <c r="K3" s="60"/>
      <c r="L3" s="476"/>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831" t="s">
        <v>282</v>
      </c>
      <c r="B5" s="832"/>
      <c r="C5" s="832"/>
      <c r="D5" s="832"/>
      <c r="E5" s="832"/>
      <c r="F5" s="832"/>
      <c r="G5" s="832"/>
      <c r="H5" s="833"/>
    </row>
    <row r="6" spans="1:130" ht="7.5" customHeight="1" thickBot="1" x14ac:dyDescent="0.25">
      <c r="E6" s="569"/>
      <c r="F6" s="569"/>
      <c r="G6" s="569"/>
    </row>
    <row r="7" spans="1:130" ht="15.75" x14ac:dyDescent="0.25">
      <c r="A7" s="570" t="s">
        <v>283</v>
      </c>
      <c r="B7" s="571" t="s">
        <v>284</v>
      </c>
      <c r="C7" s="571" t="s">
        <v>285</v>
      </c>
      <c r="D7" s="571" t="s">
        <v>286</v>
      </c>
      <c r="E7" s="571" t="s">
        <v>287</v>
      </c>
      <c r="F7" s="571" t="s">
        <v>288</v>
      </c>
      <c r="G7" s="571" t="s">
        <v>289</v>
      </c>
      <c r="H7" s="570" t="s">
        <v>290</v>
      </c>
    </row>
    <row r="8" spans="1:130" ht="16.5" thickBot="1" x14ac:dyDescent="0.3">
      <c r="A8" s="572"/>
      <c r="B8" s="573" t="s">
        <v>291</v>
      </c>
      <c r="C8" s="573" t="s">
        <v>291</v>
      </c>
      <c r="D8" s="573" t="s">
        <v>291</v>
      </c>
      <c r="E8" s="573" t="s">
        <v>291</v>
      </c>
      <c r="F8" s="573" t="s">
        <v>291</v>
      </c>
      <c r="G8" s="573" t="s">
        <v>291</v>
      </c>
      <c r="H8" s="574" t="s">
        <v>292</v>
      </c>
    </row>
    <row r="9" spans="1:130" x14ac:dyDescent="0.2">
      <c r="A9" s="575">
        <v>42741</v>
      </c>
      <c r="B9" s="576">
        <v>1059.72</v>
      </c>
      <c r="C9" s="577">
        <f>6123.86-3246.88</f>
        <v>2876.9799999999996</v>
      </c>
      <c r="D9" s="576">
        <f>160.4+1401.46</f>
        <v>1561.8600000000001</v>
      </c>
      <c r="E9" s="576">
        <f>2007.36+883.16</f>
        <v>2890.52</v>
      </c>
      <c r="F9" s="576">
        <v>4174.08</v>
      </c>
      <c r="G9" s="576">
        <v>3187.95</v>
      </c>
      <c r="H9" s="576">
        <f>G9-F9</f>
        <v>-986.13000000000011</v>
      </c>
    </row>
    <row r="10" spans="1:130" x14ac:dyDescent="0.2">
      <c r="A10" s="578">
        <v>42748</v>
      </c>
      <c r="B10" s="579">
        <v>1351.72</v>
      </c>
      <c r="C10" s="580">
        <f>7232.22-3246.88</f>
        <v>3985.34</v>
      </c>
      <c r="D10" s="579">
        <v>3927.82</v>
      </c>
      <c r="E10" s="579">
        <v>3364.16</v>
      </c>
      <c r="F10" s="576">
        <v>4643.2299999999996</v>
      </c>
      <c r="G10" s="576">
        <v>3858.57</v>
      </c>
      <c r="H10" s="576">
        <f t="shared" ref="H10:H21" si="0">G10-F10</f>
        <v>-784.6599999999994</v>
      </c>
    </row>
    <row r="11" spans="1:130" x14ac:dyDescent="0.2">
      <c r="A11" s="578">
        <v>42755</v>
      </c>
      <c r="B11" s="579">
        <v>1237.58</v>
      </c>
      <c r="C11" s="581">
        <f>5493.18-2496.78</f>
        <v>2996.4</v>
      </c>
      <c r="D11" s="579">
        <v>3463.28</v>
      </c>
      <c r="E11" s="579">
        <v>3723.22</v>
      </c>
      <c r="F11" s="576">
        <v>3257.98</v>
      </c>
      <c r="G11" s="576">
        <v>2816.13</v>
      </c>
      <c r="H11" s="576">
        <f t="shared" si="0"/>
        <v>-441.84999999999991</v>
      </c>
    </row>
    <row r="12" spans="1:130" x14ac:dyDescent="0.2">
      <c r="A12" s="578">
        <v>42762</v>
      </c>
      <c r="B12" s="579">
        <v>1829.66</v>
      </c>
      <c r="C12" s="581">
        <f>6125.18-2535</f>
        <v>3590.1800000000003</v>
      </c>
      <c r="D12" s="579">
        <v>2947.54</v>
      </c>
      <c r="E12" s="579">
        <v>3026.63</v>
      </c>
      <c r="F12" s="576">
        <v>3503.82</v>
      </c>
      <c r="G12" s="576">
        <v>2957.14</v>
      </c>
      <c r="H12" s="576">
        <f t="shared" si="0"/>
        <v>-546.68000000000029</v>
      </c>
    </row>
    <row r="13" spans="1:130" x14ac:dyDescent="0.2">
      <c r="A13" s="578">
        <v>42769</v>
      </c>
      <c r="B13" s="579">
        <v>2363.12</v>
      </c>
      <c r="C13" s="581">
        <f>-3488.68+8424.94</f>
        <v>4936.26</v>
      </c>
      <c r="D13" s="579">
        <v>3434.46</v>
      </c>
      <c r="E13" s="579">
        <v>2986.58</v>
      </c>
      <c r="F13" s="576">
        <v>4063.43</v>
      </c>
      <c r="G13" s="576">
        <v>3878.62</v>
      </c>
      <c r="H13" s="576">
        <f t="shared" si="0"/>
        <v>-184.80999999999995</v>
      </c>
    </row>
    <row r="14" spans="1:130" x14ac:dyDescent="0.2">
      <c r="A14" s="578">
        <v>42776</v>
      </c>
      <c r="B14" s="579">
        <v>1902.16</v>
      </c>
      <c r="C14" s="581">
        <f>-2931.5+7254.06</f>
        <v>4322.5600000000004</v>
      </c>
      <c r="D14" s="579">
        <v>2818.82</v>
      </c>
      <c r="E14" s="579">
        <f>2800.67</f>
        <v>2800.67</v>
      </c>
      <c r="F14" s="576">
        <v>4002.46</v>
      </c>
      <c r="G14" s="576">
        <v>2987.96</v>
      </c>
      <c r="H14" s="576">
        <f t="shared" si="0"/>
        <v>-1014.5</v>
      </c>
    </row>
    <row r="15" spans="1:130" x14ac:dyDescent="0.2">
      <c r="A15" s="578">
        <v>42783</v>
      </c>
      <c r="B15" s="579">
        <v>2134.56</v>
      </c>
      <c r="C15" s="581">
        <f>-3653.28+8329.5-700</f>
        <v>3976.2199999999993</v>
      </c>
      <c r="D15" s="579">
        <v>2157.96</v>
      </c>
      <c r="E15" s="579">
        <v>2584.04</v>
      </c>
      <c r="F15" s="576">
        <v>2886.61</v>
      </c>
      <c r="G15" s="576">
        <v>3373.08</v>
      </c>
      <c r="H15" s="576">
        <f t="shared" si="0"/>
        <v>486.4699999999998</v>
      </c>
    </row>
    <row r="16" spans="1:130" x14ac:dyDescent="0.2">
      <c r="A16" s="578">
        <v>42790</v>
      </c>
      <c r="B16" s="579">
        <v>1676.08</v>
      </c>
      <c r="C16" s="581">
        <f>-2869.88+6693.6</f>
        <v>3823.7200000000003</v>
      </c>
      <c r="D16" s="579">
        <v>3063.52</v>
      </c>
      <c r="E16" s="579">
        <v>3161.19</v>
      </c>
      <c r="F16" s="576">
        <v>3994.7</v>
      </c>
      <c r="G16" s="576">
        <v>3335.8</v>
      </c>
      <c r="H16" s="576">
        <f t="shared" si="0"/>
        <v>-658.89999999999964</v>
      </c>
    </row>
    <row r="17" spans="1:8" x14ac:dyDescent="0.2">
      <c r="A17" s="578">
        <v>42797</v>
      </c>
      <c r="B17" s="579">
        <v>1418.9</v>
      </c>
      <c r="C17" s="581">
        <f>-3427.32+8141.08</f>
        <v>4713.76</v>
      </c>
      <c r="D17" s="579">
        <v>4534.3</v>
      </c>
      <c r="E17" s="579">
        <v>3860.23</v>
      </c>
      <c r="F17" s="576">
        <v>4172.5600000000004</v>
      </c>
      <c r="G17" s="576">
        <v>2335.96</v>
      </c>
      <c r="H17" s="576">
        <f t="shared" si="0"/>
        <v>-1836.6000000000004</v>
      </c>
    </row>
    <row r="18" spans="1:8" x14ac:dyDescent="0.2">
      <c r="A18" s="578">
        <v>42804</v>
      </c>
      <c r="B18" s="579">
        <v>1013.74</v>
      </c>
      <c r="C18" s="581">
        <f>-2919.8+6449.26</f>
        <v>3529.46</v>
      </c>
      <c r="D18" s="579">
        <v>3673.88</v>
      </c>
      <c r="E18" s="579">
        <v>4004</v>
      </c>
      <c r="F18" s="576">
        <v>3762.8</v>
      </c>
      <c r="G18" s="576">
        <v>1711.94</v>
      </c>
      <c r="H18" s="576">
        <f t="shared" si="0"/>
        <v>-2050.86</v>
      </c>
    </row>
    <row r="19" spans="1:8" x14ac:dyDescent="0.2">
      <c r="A19" s="578">
        <v>42811</v>
      </c>
      <c r="B19" s="582">
        <v>3629.96</v>
      </c>
      <c r="C19" s="581">
        <f>-3708.38+7621.78</f>
        <v>3913.3999999999996</v>
      </c>
      <c r="D19" s="579">
        <v>4030.4</v>
      </c>
      <c r="E19" s="579">
        <v>3222.03</v>
      </c>
      <c r="F19" s="576">
        <v>4340.3</v>
      </c>
      <c r="G19" s="576">
        <v>942.16</v>
      </c>
      <c r="H19" s="576">
        <f t="shared" si="0"/>
        <v>-3398.1400000000003</v>
      </c>
    </row>
    <row r="20" spans="1:8" x14ac:dyDescent="0.2">
      <c r="A20" s="578">
        <v>42818</v>
      </c>
      <c r="B20" s="582">
        <v>3364</v>
      </c>
      <c r="C20" s="581">
        <f>-3726.84+7846.28</f>
        <v>4119.4399999999996</v>
      </c>
      <c r="D20" s="579">
        <v>3975.2</v>
      </c>
      <c r="E20" s="579">
        <v>3684.17</v>
      </c>
      <c r="F20" s="576">
        <v>3849.95</v>
      </c>
      <c r="G20" s="576">
        <v>1706.08</v>
      </c>
      <c r="H20" s="576">
        <f t="shared" si="0"/>
        <v>-2143.87</v>
      </c>
    </row>
    <row r="21" spans="1:8" ht="15" thickBot="1" x14ac:dyDescent="0.25">
      <c r="A21" s="578">
        <v>42825</v>
      </c>
      <c r="B21" s="582">
        <v>3587</v>
      </c>
      <c r="C21" s="581">
        <f>-3329.82+7562.9</f>
        <v>4233.08</v>
      </c>
      <c r="D21" s="579">
        <v>4280.8</v>
      </c>
      <c r="E21" s="582">
        <v>4118.96</v>
      </c>
      <c r="F21" s="583">
        <v>4082.74</v>
      </c>
      <c r="G21" s="583">
        <v>2002.52</v>
      </c>
      <c r="H21" s="576">
        <f t="shared" si="0"/>
        <v>-2080.2199999999998</v>
      </c>
    </row>
    <row r="22" spans="1:8" ht="16.5" thickBot="1" x14ac:dyDescent="0.25">
      <c r="A22" s="584" t="s">
        <v>293</v>
      </c>
      <c r="B22" s="585">
        <f t="shared" ref="B22:H22" si="1">SUM(B9:B21)</f>
        <v>26568.2</v>
      </c>
      <c r="C22" s="585">
        <f t="shared" si="1"/>
        <v>51016.80000000001</v>
      </c>
      <c r="D22" s="585">
        <f t="shared" si="1"/>
        <v>43869.84</v>
      </c>
      <c r="E22" s="585">
        <f t="shared" si="1"/>
        <v>43426.399999999994</v>
      </c>
      <c r="F22" s="585">
        <f t="shared" si="1"/>
        <v>50734.659999999996</v>
      </c>
      <c r="G22" s="585">
        <f t="shared" si="1"/>
        <v>35093.909999999989</v>
      </c>
      <c r="H22" s="585">
        <f t="shared" si="1"/>
        <v>-15640.749999999998</v>
      </c>
    </row>
    <row r="23" spans="1:8" x14ac:dyDescent="0.2">
      <c r="A23" s="586">
        <v>42832</v>
      </c>
      <c r="B23" s="579">
        <v>3525.02</v>
      </c>
      <c r="C23" s="576">
        <v>4517.8999999999996</v>
      </c>
      <c r="D23" s="576">
        <v>4162.12</v>
      </c>
      <c r="E23" s="576">
        <v>4043.7</v>
      </c>
      <c r="F23" s="576">
        <v>3768.69</v>
      </c>
      <c r="G23" s="576">
        <v>2018.44</v>
      </c>
      <c r="H23" s="576">
        <f>G23-F23</f>
        <v>-1750.25</v>
      </c>
    </row>
    <row r="24" spans="1:8" x14ac:dyDescent="0.2">
      <c r="A24" s="586">
        <v>42839</v>
      </c>
      <c r="B24" s="579">
        <v>3842.84</v>
      </c>
      <c r="C24" s="576">
        <v>4554.42</v>
      </c>
      <c r="D24" s="579">
        <v>4616</v>
      </c>
      <c r="E24" s="579">
        <v>4136.18</v>
      </c>
      <c r="F24" s="576">
        <v>4345.16</v>
      </c>
      <c r="G24" s="576">
        <v>5284.52</v>
      </c>
      <c r="H24" s="576">
        <f t="shared" ref="H24:H63" si="2">G24-F24</f>
        <v>939.36000000000058</v>
      </c>
    </row>
    <row r="25" spans="1:8" x14ac:dyDescent="0.2">
      <c r="A25" s="586">
        <v>42846</v>
      </c>
      <c r="B25" s="579">
        <v>5337.82</v>
      </c>
      <c r="C25" s="579">
        <v>4041.14</v>
      </c>
      <c r="D25" s="579">
        <v>3729.1</v>
      </c>
      <c r="E25" s="579">
        <v>4132.83</v>
      </c>
      <c r="F25" s="576">
        <v>4267.46</v>
      </c>
      <c r="G25" s="576">
        <v>4715.9799999999996</v>
      </c>
      <c r="H25" s="576">
        <f t="shared" si="2"/>
        <v>448.51999999999953</v>
      </c>
    </row>
    <row r="26" spans="1:8" x14ac:dyDescent="0.2">
      <c r="A26" s="586">
        <v>42853</v>
      </c>
      <c r="B26" s="579">
        <v>4973.68</v>
      </c>
      <c r="C26" s="579">
        <v>4321.8599999999997</v>
      </c>
      <c r="D26" s="579">
        <v>3706.08</v>
      </c>
      <c r="E26" s="579">
        <v>4536.74</v>
      </c>
      <c r="F26" s="576">
        <v>3953.61</v>
      </c>
      <c r="G26" s="576">
        <v>4499.7</v>
      </c>
      <c r="H26" s="576">
        <f t="shared" si="2"/>
        <v>546.08999999999969</v>
      </c>
    </row>
    <row r="27" spans="1:8" x14ac:dyDescent="0.2">
      <c r="A27" s="586">
        <v>42860</v>
      </c>
      <c r="B27" s="579">
        <v>3187.22</v>
      </c>
      <c r="C27" s="579">
        <v>4732.8999999999996</v>
      </c>
      <c r="D27" s="579">
        <v>3421.72</v>
      </c>
      <c r="E27" s="579">
        <f>3478.64+72+758.56</f>
        <v>4309.2</v>
      </c>
      <c r="F27" s="576">
        <v>4192.32</v>
      </c>
      <c r="G27" s="576">
        <v>4204.16</v>
      </c>
      <c r="H27" s="576">
        <f t="shared" si="2"/>
        <v>11.840000000000146</v>
      </c>
    </row>
    <row r="28" spans="1:8" x14ac:dyDescent="0.2">
      <c r="A28" s="586">
        <v>42867</v>
      </c>
      <c r="B28" s="579">
        <v>2237.2399999999998</v>
      </c>
      <c r="C28" s="579">
        <v>4138.8999999999996</v>
      </c>
      <c r="D28" s="579">
        <v>3907.94</v>
      </c>
      <c r="E28" s="579">
        <f>4050.94+212.76</f>
        <v>4263.7</v>
      </c>
      <c r="F28" s="576">
        <v>4361.47</v>
      </c>
      <c r="G28" s="576">
        <v>4571.82</v>
      </c>
      <c r="H28" s="576">
        <f t="shared" si="2"/>
        <v>210.34999999999945</v>
      </c>
    </row>
    <row r="29" spans="1:8" x14ac:dyDescent="0.2">
      <c r="A29" s="586">
        <v>42874</v>
      </c>
      <c r="B29" s="579">
        <v>3446.22</v>
      </c>
      <c r="C29" s="579">
        <v>5447.82</v>
      </c>
      <c r="D29" s="579">
        <f>3359.74+70.28</f>
        <v>3430.02</v>
      </c>
      <c r="E29" s="579">
        <v>3958.56</v>
      </c>
      <c r="F29" s="576">
        <v>3957.78</v>
      </c>
      <c r="G29" s="576">
        <v>4089.18</v>
      </c>
      <c r="H29" s="576">
        <f t="shared" si="2"/>
        <v>131.39999999999964</v>
      </c>
    </row>
    <row r="30" spans="1:8" x14ac:dyDescent="0.2">
      <c r="A30" s="586">
        <v>42881</v>
      </c>
      <c r="B30" s="579">
        <v>3507.94</v>
      </c>
      <c r="C30" s="579">
        <v>4315.03</v>
      </c>
      <c r="D30" s="579">
        <v>3880.8</v>
      </c>
      <c r="E30" s="579">
        <v>4314.9799999999996</v>
      </c>
      <c r="F30" s="576">
        <v>3634.01</v>
      </c>
      <c r="G30" s="576">
        <v>3993.63</v>
      </c>
      <c r="H30" s="576">
        <f t="shared" si="2"/>
        <v>359.61999999999989</v>
      </c>
    </row>
    <row r="31" spans="1:8" x14ac:dyDescent="0.2">
      <c r="A31" s="586">
        <v>42888</v>
      </c>
      <c r="B31" s="579">
        <v>3609.72</v>
      </c>
      <c r="C31" s="579">
        <v>3053.8</v>
      </c>
      <c r="D31" s="579">
        <v>2686.82</v>
      </c>
      <c r="E31" s="579">
        <v>2987.04</v>
      </c>
      <c r="F31" s="576">
        <v>2684.24</v>
      </c>
      <c r="G31" s="576">
        <v>2384.3200000000002</v>
      </c>
      <c r="H31" s="576">
        <f t="shared" si="2"/>
        <v>-299.91999999999962</v>
      </c>
    </row>
    <row r="32" spans="1:8" x14ac:dyDescent="0.2">
      <c r="A32" s="586">
        <v>42895</v>
      </c>
      <c r="B32" s="579">
        <v>2033.76</v>
      </c>
      <c r="C32" s="579">
        <v>4194.8599999999997</v>
      </c>
      <c r="D32" s="579">
        <v>3006.14</v>
      </c>
      <c r="E32" s="579">
        <v>3675.8</v>
      </c>
      <c r="F32" s="576">
        <v>3674.42</v>
      </c>
      <c r="G32" s="576">
        <v>3297.66</v>
      </c>
      <c r="H32" s="576">
        <f t="shared" si="2"/>
        <v>-376.76000000000022</v>
      </c>
    </row>
    <row r="33" spans="1:8" x14ac:dyDescent="0.2">
      <c r="A33" s="586">
        <v>42902</v>
      </c>
      <c r="B33" s="579">
        <v>2786.98</v>
      </c>
      <c r="C33" s="579">
        <v>3980.08</v>
      </c>
      <c r="D33" s="579">
        <v>3579.53</v>
      </c>
      <c r="E33" s="579">
        <v>4147.8999999999996</v>
      </c>
      <c r="F33" s="576">
        <v>4182.5200000000004</v>
      </c>
      <c r="G33" s="576">
        <v>3252.16</v>
      </c>
      <c r="H33" s="576">
        <f t="shared" si="2"/>
        <v>-930.36000000000058</v>
      </c>
    </row>
    <row r="34" spans="1:8" x14ac:dyDescent="0.2">
      <c r="A34" s="586">
        <v>42909</v>
      </c>
      <c r="B34" s="582">
        <v>2436.9</v>
      </c>
      <c r="C34" s="579">
        <v>4001.26</v>
      </c>
      <c r="D34" s="579">
        <v>3401.21</v>
      </c>
      <c r="E34" s="579">
        <v>3774.82</v>
      </c>
      <c r="F34" s="576">
        <v>3596.56</v>
      </c>
      <c r="G34" s="576">
        <v>3139.68</v>
      </c>
      <c r="H34" s="576">
        <f t="shared" si="2"/>
        <v>-456.88000000000011</v>
      </c>
    </row>
    <row r="35" spans="1:8" ht="15" thickBot="1" x14ac:dyDescent="0.25">
      <c r="A35" s="586">
        <v>42916</v>
      </c>
      <c r="B35" s="582">
        <v>2410.56</v>
      </c>
      <c r="C35" s="579">
        <v>3928.74</v>
      </c>
      <c r="D35" s="582">
        <v>3288.01</v>
      </c>
      <c r="E35" s="582">
        <v>3466.07</v>
      </c>
      <c r="F35" s="583">
        <v>3867.92</v>
      </c>
      <c r="G35" s="583">
        <v>3368.72</v>
      </c>
      <c r="H35" s="576">
        <f t="shared" si="2"/>
        <v>-499.20000000000027</v>
      </c>
    </row>
    <row r="36" spans="1:8" ht="16.5" thickBot="1" x14ac:dyDescent="0.25">
      <c r="A36" s="584" t="s">
        <v>294</v>
      </c>
      <c r="B36" s="585">
        <f t="shared" ref="B36:H36" si="3">SUM(B23:B35)</f>
        <v>43335.9</v>
      </c>
      <c r="C36" s="585">
        <f t="shared" si="3"/>
        <v>55228.710000000006</v>
      </c>
      <c r="D36" s="585">
        <f t="shared" si="3"/>
        <v>46815.49</v>
      </c>
      <c r="E36" s="585">
        <f t="shared" si="3"/>
        <v>51747.520000000004</v>
      </c>
      <c r="F36" s="585">
        <f t="shared" si="3"/>
        <v>50486.159999999989</v>
      </c>
      <c r="G36" s="585">
        <f t="shared" si="3"/>
        <v>48819.970000000008</v>
      </c>
      <c r="H36" s="585">
        <f t="shared" si="3"/>
        <v>-1666.1900000000019</v>
      </c>
    </row>
    <row r="37" spans="1:8" x14ac:dyDescent="0.2">
      <c r="A37" s="586">
        <v>42923</v>
      </c>
      <c r="B37" s="576">
        <f>899.92+2410.56</f>
        <v>3310.48</v>
      </c>
      <c r="C37" s="576">
        <v>3059.59</v>
      </c>
      <c r="D37" s="576">
        <f>952.56+2445.69</f>
        <v>3398.25</v>
      </c>
      <c r="E37" s="576">
        <f>1313.52+1315.48</f>
        <v>2629</v>
      </c>
      <c r="F37" s="576">
        <v>3092.18</v>
      </c>
      <c r="G37" s="576">
        <v>2501.6799999999998</v>
      </c>
      <c r="H37" s="576">
        <f t="shared" si="2"/>
        <v>-590.5</v>
      </c>
    </row>
    <row r="38" spans="1:8" x14ac:dyDescent="0.2">
      <c r="A38" s="578">
        <v>42930</v>
      </c>
      <c r="B38" s="576">
        <v>2613.8200000000002</v>
      </c>
      <c r="C38" s="576">
        <v>4164.28</v>
      </c>
      <c r="D38" s="579">
        <v>3621.49</v>
      </c>
      <c r="E38" s="579">
        <v>3328.78</v>
      </c>
      <c r="F38" s="576">
        <v>4363</v>
      </c>
      <c r="G38" s="576">
        <v>3463.97</v>
      </c>
      <c r="H38" s="576">
        <f t="shared" si="2"/>
        <v>-899.0300000000002</v>
      </c>
    </row>
    <row r="39" spans="1:8" x14ac:dyDescent="0.2">
      <c r="A39" s="578">
        <v>42937</v>
      </c>
      <c r="B39" s="579">
        <v>2285.09</v>
      </c>
      <c r="C39" s="579">
        <v>3698.36</v>
      </c>
      <c r="D39" s="579">
        <v>3478.53</v>
      </c>
      <c r="E39" s="579">
        <v>4114.08</v>
      </c>
      <c r="F39" s="576">
        <v>3936.33</v>
      </c>
      <c r="G39" s="576">
        <v>3416.66</v>
      </c>
      <c r="H39" s="576">
        <f t="shared" si="2"/>
        <v>-519.67000000000007</v>
      </c>
    </row>
    <row r="40" spans="1:8" x14ac:dyDescent="0.2">
      <c r="A40" s="578">
        <v>42944</v>
      </c>
      <c r="B40" s="579">
        <v>1982.06</v>
      </c>
      <c r="C40" s="579">
        <v>3907.78</v>
      </c>
      <c r="D40" s="579">
        <v>3713.11</v>
      </c>
      <c r="E40" s="579">
        <v>4010.57</v>
      </c>
      <c r="F40" s="576">
        <v>3962.85</v>
      </c>
      <c r="G40" s="576">
        <v>3139.68</v>
      </c>
      <c r="H40" s="576">
        <f t="shared" si="2"/>
        <v>-823.17000000000007</v>
      </c>
    </row>
    <row r="41" spans="1:8" x14ac:dyDescent="0.2">
      <c r="A41" s="578">
        <v>42951</v>
      </c>
      <c r="B41" s="579">
        <v>2442</v>
      </c>
      <c r="C41" s="579">
        <v>3807.12</v>
      </c>
      <c r="D41" s="579">
        <v>3318.21</v>
      </c>
      <c r="E41" s="579">
        <v>3520.16</v>
      </c>
      <c r="F41" s="576">
        <v>3810.8</v>
      </c>
      <c r="G41" s="576">
        <v>3171.9</v>
      </c>
      <c r="H41" s="576">
        <f t="shared" si="2"/>
        <v>-638.90000000000009</v>
      </c>
    </row>
    <row r="42" spans="1:8" x14ac:dyDescent="0.2">
      <c r="A42" s="578">
        <v>42958</v>
      </c>
      <c r="B42" s="579">
        <v>2003.68</v>
      </c>
      <c r="C42" s="579">
        <v>3636.64</v>
      </c>
      <c r="D42" s="579">
        <v>2999.63</v>
      </c>
      <c r="E42" s="579">
        <v>3150.64</v>
      </c>
      <c r="F42" s="576">
        <v>3905.08</v>
      </c>
      <c r="G42" s="576">
        <v>3339.76</v>
      </c>
      <c r="H42" s="576">
        <f t="shared" si="2"/>
        <v>-565.31999999999971</v>
      </c>
    </row>
    <row r="43" spans="1:8" x14ac:dyDescent="0.2">
      <c r="A43" s="578">
        <v>42965</v>
      </c>
      <c r="B43" s="579">
        <v>1971.38</v>
      </c>
      <c r="C43" s="579">
        <v>3658.28</v>
      </c>
      <c r="D43" s="579">
        <v>4080.16</v>
      </c>
      <c r="E43" s="579">
        <v>3780.2</v>
      </c>
      <c r="F43" s="576">
        <v>3747.05</v>
      </c>
      <c r="G43" s="576">
        <v>3333.42</v>
      </c>
      <c r="H43" s="576">
        <f t="shared" si="2"/>
        <v>-413.63000000000011</v>
      </c>
    </row>
    <row r="44" spans="1:8" x14ac:dyDescent="0.2">
      <c r="A44" s="578">
        <v>42972</v>
      </c>
      <c r="B44" s="579">
        <v>2725.14</v>
      </c>
      <c r="C44" s="579">
        <v>4096.0200000000004</v>
      </c>
      <c r="D44" s="579">
        <v>4309.82</v>
      </c>
      <c r="E44" s="579">
        <v>3361.86</v>
      </c>
      <c r="F44" s="576">
        <v>3788.4</v>
      </c>
      <c r="G44" s="576">
        <v>3772.14</v>
      </c>
      <c r="H44" s="576">
        <f t="shared" si="2"/>
        <v>-16.260000000000218</v>
      </c>
    </row>
    <row r="45" spans="1:8" x14ac:dyDescent="0.2">
      <c r="A45" s="578">
        <v>42979</v>
      </c>
      <c r="B45" s="579">
        <v>2749.96</v>
      </c>
      <c r="C45" s="579">
        <v>3825.18</v>
      </c>
      <c r="D45" s="579">
        <v>3712.48</v>
      </c>
      <c r="E45" s="579">
        <v>3605.07</v>
      </c>
      <c r="F45" s="576">
        <v>3858.34</v>
      </c>
      <c r="G45" s="576">
        <v>3206</v>
      </c>
      <c r="H45" s="576">
        <f t="shared" si="2"/>
        <v>-652.34000000000015</v>
      </c>
    </row>
    <row r="46" spans="1:8" x14ac:dyDescent="0.2">
      <c r="A46" s="578">
        <v>42986</v>
      </c>
      <c r="B46" s="579">
        <v>2323.9</v>
      </c>
      <c r="C46" s="579">
        <v>2717.46</v>
      </c>
      <c r="D46" s="579">
        <v>3072.96</v>
      </c>
      <c r="E46" s="579">
        <f>753.86+2730.15</f>
        <v>3484.01</v>
      </c>
      <c r="F46" s="576">
        <v>3265.99</v>
      </c>
      <c r="G46" s="576">
        <v>2271.2199999999998</v>
      </c>
      <c r="H46" s="576">
        <f t="shared" si="2"/>
        <v>-994.77</v>
      </c>
    </row>
    <row r="47" spans="1:8" x14ac:dyDescent="0.2">
      <c r="A47" s="578">
        <v>42993</v>
      </c>
      <c r="B47" s="579">
        <v>2621.61</v>
      </c>
      <c r="C47" s="579">
        <v>3748.38</v>
      </c>
      <c r="D47" s="579">
        <v>3926.25</v>
      </c>
      <c r="E47" s="579">
        <v>3212.96</v>
      </c>
      <c r="F47" s="576">
        <v>3712.16</v>
      </c>
      <c r="G47" s="576">
        <v>2688.36</v>
      </c>
      <c r="H47" s="576">
        <f t="shared" si="2"/>
        <v>-1023.7999999999997</v>
      </c>
    </row>
    <row r="48" spans="1:8" x14ac:dyDescent="0.2">
      <c r="A48" s="578">
        <v>43000</v>
      </c>
      <c r="B48" s="579">
        <v>2394.14</v>
      </c>
      <c r="C48" s="579">
        <v>3766.8</v>
      </c>
      <c r="D48" s="579">
        <v>4164.1899999999996</v>
      </c>
      <c r="E48" s="579">
        <v>4004.92</v>
      </c>
      <c r="F48" s="576">
        <v>3509.17</v>
      </c>
      <c r="G48" s="576">
        <v>3180.04</v>
      </c>
      <c r="H48" s="576">
        <f t="shared" si="2"/>
        <v>-329.13000000000011</v>
      </c>
    </row>
    <row r="49" spans="1:8" ht="15" thickBot="1" x14ac:dyDescent="0.25">
      <c r="A49" s="578">
        <v>43007</v>
      </c>
      <c r="B49" s="582">
        <v>2669.64</v>
      </c>
      <c r="C49" s="582">
        <v>4136.58</v>
      </c>
      <c r="D49" s="582">
        <v>3566.31</v>
      </c>
      <c r="E49" s="582">
        <v>3837.41</v>
      </c>
      <c r="F49" s="583">
        <v>3803.3</v>
      </c>
      <c r="G49" s="583">
        <v>2437.88</v>
      </c>
      <c r="H49" s="576">
        <f t="shared" si="2"/>
        <v>-1365.42</v>
      </c>
    </row>
    <row r="50" spans="1:8" ht="16.5" thickBot="1" x14ac:dyDescent="0.25">
      <c r="A50" s="584" t="s">
        <v>295</v>
      </c>
      <c r="B50" s="585">
        <f>SUM(B37:B49)</f>
        <v>32092.899999999998</v>
      </c>
      <c r="C50" s="585">
        <f>SUM(C37:C49)</f>
        <v>48222.47</v>
      </c>
      <c r="D50" s="585">
        <f>SUM(D37:D49)</f>
        <v>47361.39</v>
      </c>
      <c r="E50" s="585">
        <f>SUM(E37:E49)</f>
        <v>46039.66</v>
      </c>
      <c r="F50" s="585">
        <f t="shared" ref="F50:H50" si="4">SUM(F37:F49)</f>
        <v>48754.649999999994</v>
      </c>
      <c r="G50" s="585">
        <f t="shared" si="4"/>
        <v>39922.71</v>
      </c>
      <c r="H50" s="585">
        <f t="shared" si="4"/>
        <v>-8831.9399999999987</v>
      </c>
    </row>
    <row r="51" spans="1:8" x14ac:dyDescent="0.2">
      <c r="A51" s="586">
        <v>43014</v>
      </c>
      <c r="B51" s="576">
        <v>3051.16</v>
      </c>
      <c r="C51" s="576">
        <v>4721</v>
      </c>
      <c r="D51" s="576">
        <f>1531.24+2227.04</f>
        <v>3758.2799999999997</v>
      </c>
      <c r="E51" s="576">
        <v>3921.83</v>
      </c>
      <c r="F51" s="576">
        <v>3911.96</v>
      </c>
      <c r="G51" s="576">
        <v>3047.82</v>
      </c>
      <c r="H51" s="576">
        <f t="shared" si="2"/>
        <v>-864.13999999999987</v>
      </c>
    </row>
    <row r="52" spans="1:8" x14ac:dyDescent="0.2">
      <c r="A52" s="578">
        <v>43021</v>
      </c>
      <c r="B52" s="579">
        <v>2579.96</v>
      </c>
      <c r="C52" s="579">
        <v>4035.24</v>
      </c>
      <c r="D52" s="579">
        <v>4232.92</v>
      </c>
      <c r="E52" s="579">
        <v>3403.46</v>
      </c>
      <c r="F52" s="576">
        <v>3093.5</v>
      </c>
      <c r="G52" s="576">
        <v>2010.94</v>
      </c>
      <c r="H52" s="576">
        <f t="shared" si="2"/>
        <v>-1082.56</v>
      </c>
    </row>
    <row r="53" spans="1:8" x14ac:dyDescent="0.2">
      <c r="A53" s="578">
        <v>43028</v>
      </c>
      <c r="B53" s="579">
        <v>3119.16</v>
      </c>
      <c r="C53" s="579">
        <v>2972.08</v>
      </c>
      <c r="D53" s="579">
        <v>3057.22</v>
      </c>
      <c r="E53" s="579">
        <v>3116.16</v>
      </c>
      <c r="F53" s="576">
        <v>4261.32</v>
      </c>
      <c r="G53" s="576">
        <v>3314.5</v>
      </c>
      <c r="H53" s="576">
        <f t="shared" si="2"/>
        <v>-946.81999999999971</v>
      </c>
    </row>
    <row r="54" spans="1:8" x14ac:dyDescent="0.2">
      <c r="A54" s="578">
        <v>43035</v>
      </c>
      <c r="B54" s="579">
        <v>2378.1999999999998</v>
      </c>
      <c r="C54" s="579">
        <v>3341.66</v>
      </c>
      <c r="D54" s="579">
        <v>3745.65</v>
      </c>
      <c r="E54" s="579">
        <v>3664.58</v>
      </c>
      <c r="F54" s="576">
        <v>3860.55</v>
      </c>
      <c r="G54" s="576">
        <v>2905</v>
      </c>
      <c r="H54" s="576">
        <f t="shared" si="2"/>
        <v>-955.55000000000018</v>
      </c>
    </row>
    <row r="55" spans="1:8" x14ac:dyDescent="0.2">
      <c r="A55" s="578">
        <v>43042</v>
      </c>
      <c r="B55" s="579">
        <v>2153.36</v>
      </c>
      <c r="C55" s="579">
        <v>3165.08</v>
      </c>
      <c r="D55" s="579">
        <f>3171.04+47.44+30.24</f>
        <v>3248.72</v>
      </c>
      <c r="E55" s="579">
        <v>3792.71</v>
      </c>
      <c r="F55" s="576">
        <v>3942.48</v>
      </c>
      <c r="G55" s="576">
        <v>3169.18</v>
      </c>
      <c r="H55" s="576">
        <f t="shared" si="2"/>
        <v>-773.30000000000018</v>
      </c>
    </row>
    <row r="56" spans="1:8" x14ac:dyDescent="0.2">
      <c r="A56" s="578">
        <v>43049</v>
      </c>
      <c r="B56" s="579">
        <v>1549.7</v>
      </c>
      <c r="C56" s="579">
        <v>3024.18</v>
      </c>
      <c r="D56" s="579">
        <v>3967.37</v>
      </c>
      <c r="E56" s="579">
        <v>3804.52</v>
      </c>
      <c r="F56" s="576">
        <v>3933.48</v>
      </c>
      <c r="G56" s="576">
        <v>2670.04</v>
      </c>
      <c r="H56" s="576">
        <f t="shared" si="2"/>
        <v>-1263.44</v>
      </c>
    </row>
    <row r="57" spans="1:8" x14ac:dyDescent="0.2">
      <c r="A57" s="578">
        <v>43056</v>
      </c>
      <c r="B57" s="579">
        <f>(5311.2-178.1)*0.5</f>
        <v>2566.5499999999997</v>
      </c>
      <c r="C57" s="579">
        <v>3500.86</v>
      </c>
      <c r="D57" s="579">
        <v>4007.55</v>
      </c>
      <c r="E57" s="579">
        <v>3693.64</v>
      </c>
      <c r="F57" s="576">
        <v>3860.4</v>
      </c>
      <c r="G57" s="576">
        <v>2400.7199999999998</v>
      </c>
      <c r="H57" s="576">
        <f t="shared" si="2"/>
        <v>-1459.6800000000003</v>
      </c>
    </row>
    <row r="58" spans="1:8" x14ac:dyDescent="0.2">
      <c r="A58" s="578">
        <v>43063</v>
      </c>
      <c r="B58" s="579">
        <f>(5311.2-178.1)*0.5</f>
        <v>2566.5499999999997</v>
      </c>
      <c r="C58" s="579">
        <v>4015.8</v>
      </c>
      <c r="D58" s="579">
        <v>4445.62</v>
      </c>
      <c r="E58" s="579">
        <v>3499.88</v>
      </c>
      <c r="F58" s="576">
        <v>1675.8</v>
      </c>
      <c r="G58" s="576">
        <v>1268.44</v>
      </c>
      <c r="H58" s="576">
        <f t="shared" si="2"/>
        <v>-407.3599999999999</v>
      </c>
    </row>
    <row r="59" spans="1:8" x14ac:dyDescent="0.2">
      <c r="A59" s="578">
        <v>43070</v>
      </c>
      <c r="B59" s="579">
        <v>3577.34</v>
      </c>
      <c r="C59" s="579">
        <v>2434.3200000000002</v>
      </c>
      <c r="D59" s="579">
        <v>1953.09</v>
      </c>
      <c r="E59" s="579">
        <v>2000.54</v>
      </c>
      <c r="F59" s="576">
        <v>3669.06</v>
      </c>
      <c r="G59" s="576">
        <v>2816.72</v>
      </c>
      <c r="H59" s="576">
        <f t="shared" si="2"/>
        <v>-852.34000000000015</v>
      </c>
    </row>
    <row r="60" spans="1:8" x14ac:dyDescent="0.2">
      <c r="A60" s="578">
        <v>43077</v>
      </c>
      <c r="B60" s="579">
        <v>3486.12</v>
      </c>
      <c r="C60" s="579">
        <v>3291.9</v>
      </c>
      <c r="D60" s="579">
        <v>3710.06</v>
      </c>
      <c r="E60" s="579">
        <f>2372.46+627.88</f>
        <v>3000.34</v>
      </c>
      <c r="F60" s="576">
        <v>3225.52</v>
      </c>
      <c r="G60" s="576">
        <v>2427</v>
      </c>
      <c r="H60" s="576">
        <f t="shared" si="2"/>
        <v>-798.52</v>
      </c>
    </row>
    <row r="61" spans="1:8" x14ac:dyDescent="0.2">
      <c r="A61" s="578">
        <v>43084</v>
      </c>
      <c r="B61" s="579">
        <v>3539.16</v>
      </c>
      <c r="C61" s="579">
        <v>4047.94</v>
      </c>
      <c r="D61" s="579">
        <v>3873.59</v>
      </c>
      <c r="E61" s="579">
        <v>4104.09</v>
      </c>
      <c r="F61" s="576">
        <v>2933.78</v>
      </c>
      <c r="G61" s="576">
        <v>2427</v>
      </c>
      <c r="H61" s="576">
        <f t="shared" si="2"/>
        <v>-506.7800000000002</v>
      </c>
    </row>
    <row r="62" spans="1:8" x14ac:dyDescent="0.2">
      <c r="A62" s="578">
        <v>43091</v>
      </c>
      <c r="B62" s="579">
        <v>1609.64</v>
      </c>
      <c r="C62" s="579">
        <v>3903.54</v>
      </c>
      <c r="D62" s="579">
        <v>3580.24</v>
      </c>
      <c r="E62" s="579">
        <v>3625.1</v>
      </c>
      <c r="F62" s="576">
        <v>3555.5</v>
      </c>
      <c r="G62" s="576">
        <v>2649.12</v>
      </c>
      <c r="H62" s="576">
        <f t="shared" si="2"/>
        <v>-906.38000000000011</v>
      </c>
    </row>
    <row r="63" spans="1:8" ht="15" thickBot="1" x14ac:dyDescent="0.25">
      <c r="A63" s="587">
        <v>43098</v>
      </c>
      <c r="B63" s="588">
        <v>5154.84</v>
      </c>
      <c r="C63" s="588">
        <v>2331.48</v>
      </c>
      <c r="D63" s="588">
        <v>2383.63</v>
      </c>
      <c r="E63" s="588">
        <v>2256.69</v>
      </c>
      <c r="F63" s="589">
        <v>2486.06</v>
      </c>
      <c r="G63" s="589">
        <v>2088.3000000000002</v>
      </c>
      <c r="H63" s="576">
        <f t="shared" si="2"/>
        <v>-397.75999999999976</v>
      </c>
    </row>
    <row r="64" spans="1:8" ht="16.5" thickBot="1" x14ac:dyDescent="0.25">
      <c r="A64" s="584" t="s">
        <v>296</v>
      </c>
      <c r="B64" s="585">
        <f>SUM(B51:B63)</f>
        <v>37331.74</v>
      </c>
      <c r="C64" s="585">
        <f>SUM(C51:C63)</f>
        <v>44785.08</v>
      </c>
      <c r="D64" s="585">
        <f>SUM(D51:D63)</f>
        <v>45963.939999999988</v>
      </c>
      <c r="E64" s="585">
        <f>SUM(E51:E63)</f>
        <v>43883.54</v>
      </c>
      <c r="F64" s="585">
        <f>SUM(F51:F63)</f>
        <v>44409.409999999996</v>
      </c>
      <c r="G64" s="585">
        <f t="shared" ref="G64" si="5">SUM(G51:G63)</f>
        <v>33194.78</v>
      </c>
      <c r="H64" s="585">
        <f>SUM(H51:H63)</f>
        <v>-11214.63</v>
      </c>
    </row>
    <row r="65" spans="1:8" ht="15.75" x14ac:dyDescent="0.25">
      <c r="A65" s="590" t="s">
        <v>297</v>
      </c>
      <c r="B65" s="591">
        <f t="shared" ref="B65:H65" si="6">SUM(B9:B63)-B22-B36-B50</f>
        <v>139328.74</v>
      </c>
      <c r="C65" s="591">
        <f t="shared" si="6"/>
        <v>199253.05999999985</v>
      </c>
      <c r="D65" s="591">
        <f t="shared" si="6"/>
        <v>184010.66000000003</v>
      </c>
      <c r="E65" s="591">
        <f t="shared" si="6"/>
        <v>185097.12000000014</v>
      </c>
      <c r="F65" s="591">
        <f t="shared" si="6"/>
        <v>194384.88000000003</v>
      </c>
      <c r="G65" s="591">
        <f t="shared" si="6"/>
        <v>157031.36999999994</v>
      </c>
      <c r="H65" s="591">
        <f t="shared" si="6"/>
        <v>-37353.509999999995</v>
      </c>
    </row>
    <row r="66" spans="1:8" x14ac:dyDescent="0.2">
      <c r="A66" s="57" t="s">
        <v>298</v>
      </c>
      <c r="B66" s="592">
        <f t="shared" ref="B66:G66" si="7">AVERAGE(B9:B21)</f>
        <v>2043.7076923076925</v>
      </c>
      <c r="C66" s="593">
        <f t="shared" si="7"/>
        <v>3924.3692307692318</v>
      </c>
      <c r="D66" s="593">
        <f t="shared" si="7"/>
        <v>3374.6030769230765</v>
      </c>
      <c r="E66" s="593">
        <f t="shared" si="7"/>
        <v>3340.4923076923073</v>
      </c>
      <c r="F66" s="593">
        <f t="shared" si="7"/>
        <v>3902.6661538461535</v>
      </c>
      <c r="G66" s="592">
        <f t="shared" si="7"/>
        <v>2699.5315384615378</v>
      </c>
      <c r="H66" s="594">
        <f>G66-F66</f>
        <v>-1203.1346153846157</v>
      </c>
    </row>
    <row r="67" spans="1:8" x14ac:dyDescent="0.2">
      <c r="A67" s="57" t="s">
        <v>299</v>
      </c>
      <c r="B67" s="595">
        <f t="shared" ref="B67:G67" si="8">AVERAGE(B23:B35)</f>
        <v>3333.5307692307692</v>
      </c>
      <c r="C67" s="596">
        <f t="shared" si="8"/>
        <v>4248.3623076923086</v>
      </c>
      <c r="D67" s="596">
        <f t="shared" si="8"/>
        <v>3601.1915384615381</v>
      </c>
      <c r="E67" s="596">
        <f t="shared" si="8"/>
        <v>3980.5784615384619</v>
      </c>
      <c r="F67" s="596">
        <f t="shared" si="8"/>
        <v>3883.5507692307683</v>
      </c>
      <c r="G67" s="595">
        <f t="shared" si="8"/>
        <v>3755.3823076923081</v>
      </c>
      <c r="H67" s="597">
        <f>G67-F67</f>
        <v>-128.16846153846018</v>
      </c>
    </row>
    <row r="68" spans="1:8" x14ac:dyDescent="0.2">
      <c r="A68" s="57" t="s">
        <v>300</v>
      </c>
      <c r="B68" s="595">
        <f t="shared" ref="B68:F68" si="9">AVERAGE(B37:B49)</f>
        <v>2468.6846153846154</v>
      </c>
      <c r="C68" s="596">
        <f t="shared" si="9"/>
        <v>3709.4207692307691</v>
      </c>
      <c r="D68" s="596">
        <f t="shared" si="9"/>
        <v>3643.1838461538459</v>
      </c>
      <c r="E68" s="596">
        <f t="shared" si="9"/>
        <v>3541.5123076923078</v>
      </c>
      <c r="F68" s="596">
        <f t="shared" si="9"/>
        <v>3750.3576923076917</v>
      </c>
      <c r="G68" s="596">
        <f>AVERAGE(G37:G49)</f>
        <v>3070.9776923076925</v>
      </c>
      <c r="H68" s="597">
        <f>G68-F68</f>
        <v>-679.3799999999992</v>
      </c>
    </row>
    <row r="69" spans="1:8" x14ac:dyDescent="0.2">
      <c r="A69" s="57" t="s">
        <v>301</v>
      </c>
      <c r="B69" s="598">
        <f t="shared" ref="B69:G69" si="10">AVERAGE(B51:B63)</f>
        <v>2871.6723076923076</v>
      </c>
      <c r="C69" s="599">
        <f t="shared" si="10"/>
        <v>3445.0061538461541</v>
      </c>
      <c r="D69" s="599">
        <f t="shared" si="10"/>
        <v>3535.6876923076916</v>
      </c>
      <c r="E69" s="600">
        <f t="shared" si="10"/>
        <v>3375.6569230769232</v>
      </c>
      <c r="F69" s="600">
        <f t="shared" si="10"/>
        <v>3416.1084615384611</v>
      </c>
      <c r="G69" s="600">
        <f t="shared" si="10"/>
        <v>2553.4446153846152</v>
      </c>
      <c r="H69" s="601">
        <f>G69-F69</f>
        <v>-862.66384615384595</v>
      </c>
    </row>
    <row r="71" spans="1:8" x14ac:dyDescent="0.2">
      <c r="H71" s="568"/>
    </row>
    <row r="74" spans="1:8" x14ac:dyDescent="0.2">
      <c r="C74" s="569"/>
    </row>
    <row r="75" spans="1:8" x14ac:dyDescent="0.2">
      <c r="C75" s="569"/>
    </row>
  </sheetData>
  <mergeCells count="1">
    <mergeCell ref="A5:H5"/>
  </mergeCells>
  <pageMargins left="1.2" right="0.2" top="0.25" bottom="0.5" header="0.3" footer="0.3"/>
  <pageSetup scale="7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5"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100</v>
      </c>
      <c r="B1" s="60"/>
      <c r="C1" s="61"/>
      <c r="D1" s="61"/>
      <c r="E1" s="61"/>
      <c r="F1" s="60"/>
      <c r="G1" s="232"/>
      <c r="H1" s="513"/>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262</v>
      </c>
      <c r="B2" s="60"/>
      <c r="C2" s="61"/>
      <c r="D2" s="61"/>
      <c r="E2" s="61"/>
      <c r="F2" s="60"/>
      <c r="G2" s="232"/>
      <c r="H2" s="513"/>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257</v>
      </c>
      <c r="B3" s="60"/>
      <c r="C3" s="61"/>
      <c r="D3" s="61"/>
      <c r="E3" s="61"/>
      <c r="F3" s="60"/>
      <c r="G3" s="232"/>
      <c r="H3" s="513"/>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263</v>
      </c>
      <c r="B4" s="60"/>
      <c r="C4" s="61"/>
      <c r="D4" s="61"/>
      <c r="E4" s="61"/>
      <c r="F4" s="60"/>
      <c r="G4" s="232"/>
      <c r="H4" s="513"/>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3"/>
      <c r="H5" s="51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10" t="s">
        <v>54</v>
      </c>
      <c r="H6" s="501"/>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4"/>
      <c r="H7" s="377"/>
    </row>
    <row r="8" spans="1:143" s="73" customFormat="1" ht="21" thickBot="1" x14ac:dyDescent="0.35">
      <c r="A8" s="70"/>
      <c r="B8" s="154" t="s">
        <v>106</v>
      </c>
      <c r="C8" s="154"/>
      <c r="D8" s="154"/>
      <c r="E8" s="154"/>
      <c r="F8" s="154"/>
      <c r="G8" s="285"/>
      <c r="H8" s="515"/>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31" t="s">
        <v>107</v>
      </c>
      <c r="D9" s="431"/>
      <c r="E9" s="431"/>
      <c r="F9" s="74"/>
      <c r="G9" s="266">
        <v>1015000</v>
      </c>
      <c r="H9" s="377"/>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31" t="s">
        <v>181</v>
      </c>
      <c r="D10" s="431"/>
      <c r="E10" s="431"/>
      <c r="F10" s="74"/>
      <c r="G10" s="267">
        <v>13000</v>
      </c>
      <c r="H10" s="377"/>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02"/>
      <c r="C11" s="431" t="s">
        <v>157</v>
      </c>
      <c r="D11" s="431"/>
      <c r="E11" s="431"/>
      <c r="F11" s="74"/>
      <c r="G11" s="267">
        <v>195000</v>
      </c>
      <c r="H11" s="377"/>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02"/>
      <c r="C12" s="431" t="s">
        <v>187</v>
      </c>
      <c r="D12" s="431"/>
      <c r="E12" s="431"/>
      <c r="F12" s="74"/>
      <c r="G12" s="267">
        <v>40000</v>
      </c>
      <c r="H12" s="377"/>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02"/>
      <c r="C13" s="431" t="s">
        <v>108</v>
      </c>
      <c r="D13" s="431"/>
      <c r="E13" s="431"/>
      <c r="F13" s="74"/>
      <c r="G13" s="267"/>
      <c r="H13" s="377"/>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02"/>
      <c r="C14" s="78"/>
      <c r="D14" s="431" t="s">
        <v>146</v>
      </c>
      <c r="E14" s="431"/>
      <c r="F14" s="74"/>
      <c r="G14" s="267">
        <f>43900+41500+122000</f>
        <v>207400</v>
      </c>
      <c r="H14" s="377"/>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02"/>
      <c r="C15" s="78"/>
      <c r="D15" s="431" t="s">
        <v>166</v>
      </c>
      <c r="E15" s="431"/>
      <c r="F15" s="74"/>
      <c r="G15" s="267">
        <v>11000</v>
      </c>
      <c r="H15" s="377"/>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02"/>
      <c r="C16" s="431" t="s">
        <v>109</v>
      </c>
      <c r="D16" s="431"/>
      <c r="E16" s="431"/>
      <c r="F16" s="74"/>
      <c r="G16" s="267">
        <v>9500</v>
      </c>
      <c r="H16" s="377"/>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02"/>
      <c r="C17" s="431" t="s">
        <v>116</v>
      </c>
      <c r="D17" s="431"/>
      <c r="E17" s="431"/>
      <c r="F17" s="74"/>
      <c r="G17" s="267">
        <v>1000</v>
      </c>
      <c r="H17" s="377"/>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02"/>
      <c r="C18" s="431" t="s">
        <v>249</v>
      </c>
      <c r="D18" s="431"/>
      <c r="E18" s="431"/>
      <c r="F18" s="74"/>
      <c r="G18" s="267">
        <v>3000</v>
      </c>
      <c r="H18" s="377"/>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02"/>
      <c r="C19" s="431" t="s">
        <v>250</v>
      </c>
      <c r="D19" s="431"/>
      <c r="E19" s="431"/>
      <c r="F19" s="74"/>
      <c r="G19" s="267">
        <f>25000+8000+20000</f>
        <v>53000</v>
      </c>
      <c r="H19" s="377"/>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02"/>
      <c r="C20" s="431" t="s">
        <v>152</v>
      </c>
      <c r="D20" s="431"/>
      <c r="E20" s="431"/>
      <c r="F20" s="74"/>
      <c r="G20" s="267">
        <v>500</v>
      </c>
      <c r="H20" s="377"/>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02"/>
      <c r="C21" s="431" t="s">
        <v>172</v>
      </c>
      <c r="D21" s="431"/>
      <c r="E21" s="431"/>
      <c r="F21" s="74"/>
      <c r="G21" s="267"/>
      <c r="H21" s="377"/>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02"/>
      <c r="C22" s="431" t="s">
        <v>115</v>
      </c>
      <c r="D22" s="431"/>
      <c r="E22" s="431"/>
      <c r="F22" s="74"/>
      <c r="G22" s="268">
        <v>46575</v>
      </c>
      <c r="H22" s="377"/>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02"/>
      <c r="C23" s="431"/>
      <c r="D23" s="74" t="s">
        <v>111</v>
      </c>
      <c r="E23" s="431"/>
      <c r="F23" s="74"/>
      <c r="G23" s="236">
        <f>SUM(G9:G22)</f>
        <v>1594975</v>
      </c>
      <c r="H23" s="377"/>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02"/>
      <c r="C24" s="74" t="s">
        <v>112</v>
      </c>
      <c r="D24" s="431"/>
      <c r="E24" s="431"/>
      <c r="F24" s="74"/>
      <c r="G24" s="243">
        <f>68000+18000</f>
        <v>86000</v>
      </c>
      <c r="H24" s="377"/>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02"/>
      <c r="C25" s="431"/>
      <c r="D25" s="74" t="s">
        <v>113</v>
      </c>
      <c r="E25" s="431"/>
      <c r="F25" s="74"/>
      <c r="G25" s="236">
        <f>SUM(G23:G24)</f>
        <v>1680975</v>
      </c>
      <c r="H25" s="377"/>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02"/>
      <c r="C26" s="431"/>
      <c r="D26" s="74"/>
      <c r="E26" s="431"/>
      <c r="F26" s="74"/>
      <c r="G26" s="236"/>
      <c r="H26" s="377"/>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03" t="s">
        <v>117</v>
      </c>
      <c r="C27" s="88"/>
      <c r="D27" s="88"/>
      <c r="E27" s="88"/>
      <c r="F27" s="88"/>
      <c r="G27" s="243"/>
      <c r="H27" s="377"/>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04"/>
      <c r="C28" s="80" t="s">
        <v>118</v>
      </c>
      <c r="D28" s="80"/>
      <c r="E28" s="80"/>
      <c r="F28" s="80"/>
      <c r="G28" s="234">
        <f>ROUND((898643.55+40000)*1.02,-2)</f>
        <v>957400</v>
      </c>
      <c r="H28" s="377"/>
    </row>
    <row r="29" spans="1:143" s="69" customFormat="1" ht="20.25" x14ac:dyDescent="0.2">
      <c r="A29" s="68"/>
      <c r="B29" s="404"/>
      <c r="C29" s="80" t="s">
        <v>119</v>
      </c>
      <c r="D29" s="80"/>
      <c r="E29" s="80"/>
      <c r="F29" s="80"/>
      <c r="G29" s="234">
        <f>ROUNDUP(G28*0.195,-2)</f>
        <v>186700</v>
      </c>
      <c r="H29" s="377"/>
    </row>
    <row r="30" spans="1:143" s="69" customFormat="1" ht="20.25" x14ac:dyDescent="0.2">
      <c r="A30" s="68"/>
      <c r="B30" s="404"/>
      <c r="C30" s="80" t="s">
        <v>120</v>
      </c>
      <c r="D30" s="80"/>
      <c r="E30" s="80"/>
      <c r="F30" s="80"/>
      <c r="G30" s="234">
        <f>48831-G22</f>
        <v>2256</v>
      </c>
      <c r="H30" s="377"/>
    </row>
    <row r="31" spans="1:143" s="69" customFormat="1" ht="20.25" x14ac:dyDescent="0.2">
      <c r="A31" s="68"/>
      <c r="B31" s="404"/>
      <c r="C31" s="80" t="s">
        <v>110</v>
      </c>
      <c r="D31" s="80"/>
      <c r="E31" s="80"/>
      <c r="F31" s="80"/>
      <c r="G31" s="234">
        <f>G22</f>
        <v>46575</v>
      </c>
      <c r="H31" s="377"/>
    </row>
    <row r="32" spans="1:143" s="69" customFormat="1" ht="20.25" x14ac:dyDescent="0.2">
      <c r="A32" s="68"/>
      <c r="B32" s="404"/>
      <c r="C32" s="80" t="s">
        <v>121</v>
      </c>
      <c r="D32" s="80"/>
      <c r="E32" s="80"/>
      <c r="F32" s="80"/>
      <c r="G32" s="234">
        <v>14000</v>
      </c>
      <c r="H32" s="377"/>
    </row>
    <row r="33" spans="1:8" s="69" customFormat="1" ht="20.25" x14ac:dyDescent="0.2">
      <c r="A33" s="68"/>
      <c r="B33" s="404"/>
      <c r="C33" s="80" t="s">
        <v>122</v>
      </c>
      <c r="D33" s="80"/>
      <c r="E33" s="80"/>
      <c r="F33" s="80"/>
      <c r="G33" s="234">
        <v>3500</v>
      </c>
      <c r="H33" s="377"/>
    </row>
    <row r="34" spans="1:8" s="69" customFormat="1" ht="20.25" x14ac:dyDescent="0.2">
      <c r="A34" s="68"/>
      <c r="B34" s="404"/>
      <c r="C34" s="80" t="s">
        <v>123</v>
      </c>
      <c r="D34" s="80"/>
      <c r="E34" s="80"/>
      <c r="F34" s="80"/>
      <c r="G34" s="234">
        <v>7000</v>
      </c>
      <c r="H34" s="377"/>
    </row>
    <row r="35" spans="1:8" s="69" customFormat="1" ht="20.25" x14ac:dyDescent="0.2">
      <c r="A35" s="68"/>
      <c r="B35" s="404"/>
      <c r="C35" s="80" t="s">
        <v>124</v>
      </c>
      <c r="D35" s="80"/>
      <c r="E35" s="80"/>
      <c r="F35" s="80"/>
      <c r="G35" s="234">
        <v>13500</v>
      </c>
      <c r="H35" s="377"/>
    </row>
    <row r="36" spans="1:8" s="69" customFormat="1" ht="20.25" x14ac:dyDescent="0.2">
      <c r="A36" s="68"/>
      <c r="B36" s="404"/>
      <c r="C36" s="80" t="s">
        <v>125</v>
      </c>
      <c r="D36" s="80"/>
      <c r="E36" s="80"/>
      <c r="F36" s="80"/>
      <c r="G36" s="234">
        <v>40000</v>
      </c>
      <c r="H36" s="377"/>
    </row>
    <row r="37" spans="1:8" s="69" customFormat="1" ht="20.25" x14ac:dyDescent="0.2">
      <c r="A37" s="68"/>
      <c r="B37" s="404"/>
      <c r="C37" s="80" t="s">
        <v>126</v>
      </c>
      <c r="D37" s="80"/>
      <c r="E37" s="80"/>
      <c r="F37" s="80"/>
      <c r="G37" s="234">
        <v>6600</v>
      </c>
      <c r="H37" s="377"/>
    </row>
    <row r="38" spans="1:8" s="69" customFormat="1" ht="20.25" x14ac:dyDescent="0.2">
      <c r="A38" s="68"/>
      <c r="B38" s="404"/>
      <c r="C38" s="80" t="s">
        <v>127</v>
      </c>
      <c r="D38" s="80"/>
      <c r="E38" s="80"/>
      <c r="F38" s="80"/>
      <c r="G38" s="234">
        <v>1500</v>
      </c>
      <c r="H38" s="377"/>
    </row>
    <row r="39" spans="1:8" s="69" customFormat="1" ht="20.25" x14ac:dyDescent="0.2">
      <c r="A39" s="68"/>
      <c r="B39" s="404"/>
      <c r="C39" s="80" t="s">
        <v>174</v>
      </c>
      <c r="D39" s="80"/>
      <c r="E39" s="80"/>
      <c r="F39" s="80"/>
      <c r="G39" s="234">
        <v>13700</v>
      </c>
      <c r="H39" s="377"/>
    </row>
    <row r="40" spans="1:8" s="77" customFormat="1" ht="20.25" x14ac:dyDescent="0.2">
      <c r="A40" s="80"/>
      <c r="B40" s="400"/>
      <c r="C40" s="80" t="s">
        <v>128</v>
      </c>
      <c r="D40" s="80"/>
      <c r="E40" s="80"/>
      <c r="F40" s="80"/>
      <c r="G40" s="329">
        <f>ROUNDUP(13248.87*1.05,-2)</f>
        <v>14000</v>
      </c>
      <c r="H40" s="376"/>
    </row>
    <row r="41" spans="1:8" s="77" customFormat="1" ht="20.25" x14ac:dyDescent="0.2">
      <c r="A41" s="80"/>
      <c r="B41" s="400"/>
      <c r="C41" s="80" t="s">
        <v>129</v>
      </c>
      <c r="D41" s="80"/>
      <c r="E41" s="80"/>
      <c r="F41" s="80"/>
      <c r="G41" s="234">
        <f>ROUNDUP(12343.85*1.03,-2)</f>
        <v>12800</v>
      </c>
      <c r="H41" s="376"/>
    </row>
    <row r="42" spans="1:8" s="77" customFormat="1" ht="20.25" x14ac:dyDescent="0.2">
      <c r="A42" s="80"/>
      <c r="B42" s="400"/>
      <c r="C42" s="80" t="s">
        <v>136</v>
      </c>
      <c r="D42" s="80"/>
      <c r="E42" s="80"/>
      <c r="F42" s="80"/>
      <c r="G42" s="234">
        <v>3000</v>
      </c>
      <c r="H42" s="376"/>
    </row>
    <row r="43" spans="1:8" s="77" customFormat="1" ht="20.25" x14ac:dyDescent="0.2">
      <c r="A43" s="80"/>
      <c r="B43" s="400"/>
      <c r="C43" s="80" t="s">
        <v>130</v>
      </c>
      <c r="D43" s="80"/>
      <c r="E43" s="80"/>
      <c r="F43" s="80"/>
      <c r="G43" s="329">
        <f>ROUNDUP((3067.88+8008.83)*1.05,-2)</f>
        <v>11700</v>
      </c>
      <c r="H43" s="376"/>
    </row>
    <row r="44" spans="1:8" s="69" customFormat="1" ht="20.25" x14ac:dyDescent="0.2">
      <c r="A44" s="68"/>
      <c r="B44" s="404"/>
      <c r="C44" s="80" t="s">
        <v>209</v>
      </c>
      <c r="D44" s="80"/>
      <c r="E44" s="80"/>
      <c r="F44" s="80"/>
      <c r="G44" s="234">
        <v>17000</v>
      </c>
      <c r="H44" s="377"/>
    </row>
    <row r="45" spans="1:8" s="77" customFormat="1" ht="20.25" x14ac:dyDescent="0.2">
      <c r="A45" s="80"/>
      <c r="B45" s="400"/>
      <c r="C45" s="80" t="s">
        <v>131</v>
      </c>
      <c r="D45" s="80"/>
      <c r="E45" s="80"/>
      <c r="F45" s="80"/>
      <c r="G45" s="329">
        <v>41000</v>
      </c>
      <c r="H45" s="376"/>
    </row>
    <row r="46" spans="1:8" s="77" customFormat="1" ht="20.25" x14ac:dyDescent="0.2">
      <c r="A46" s="80"/>
      <c r="B46" s="400"/>
      <c r="C46" s="80" t="s">
        <v>132</v>
      </c>
      <c r="D46" s="80"/>
      <c r="E46" s="80"/>
      <c r="F46" s="80"/>
      <c r="G46" s="329">
        <f>ROUNDUP((1800+4675.64+34905.29+1033.01-10000-2673-17150-1033+14000)*1.01,-2)</f>
        <v>25900</v>
      </c>
      <c r="H46" s="376"/>
    </row>
    <row r="47" spans="1:8" s="77" customFormat="1" ht="20.25" x14ac:dyDescent="0.2">
      <c r="A47" s="80"/>
      <c r="B47" s="400"/>
      <c r="C47" s="80" t="s">
        <v>175</v>
      </c>
      <c r="D47" s="80"/>
      <c r="E47" s="80"/>
      <c r="F47" s="80"/>
      <c r="G47" s="234">
        <v>36000</v>
      </c>
      <c r="H47" s="376"/>
    </row>
    <row r="48" spans="1:8" s="77" customFormat="1" ht="20.25" x14ac:dyDescent="0.2">
      <c r="A48" s="80"/>
      <c r="B48" s="400"/>
      <c r="C48" s="80" t="s">
        <v>173</v>
      </c>
      <c r="D48" s="80"/>
      <c r="E48" s="80"/>
      <c r="F48" s="80"/>
      <c r="G48" s="234">
        <f>ROUNDUP(46266.27*1.02,-2)</f>
        <v>47200</v>
      </c>
      <c r="H48" s="376"/>
    </row>
    <row r="49" spans="1:8" s="77" customFormat="1" ht="20.25" x14ac:dyDescent="0.2">
      <c r="A49" s="80"/>
      <c r="B49" s="400"/>
      <c r="C49" s="80" t="s">
        <v>133</v>
      </c>
      <c r="D49" s="80"/>
      <c r="E49" s="80"/>
      <c r="F49" s="80"/>
      <c r="G49" s="234">
        <f>ROUND((2604.31+166143.24-12000)*1.01,-2)</f>
        <v>158300</v>
      </c>
      <c r="H49" s="376"/>
    </row>
    <row r="50" spans="1:8" s="77" customFormat="1" ht="20.25" hidden="1" x14ac:dyDescent="0.2">
      <c r="A50" s="80"/>
      <c r="B50" s="400"/>
      <c r="C50" s="80" t="s">
        <v>258</v>
      </c>
      <c r="D50" s="80"/>
      <c r="E50" s="80"/>
      <c r="F50" s="80"/>
      <c r="G50" s="234"/>
      <c r="H50" s="376"/>
    </row>
    <row r="51" spans="1:8" s="69" customFormat="1" ht="20.25" x14ac:dyDescent="0.2">
      <c r="A51" s="68"/>
      <c r="B51" s="404"/>
      <c r="C51" s="68"/>
      <c r="D51" s="74" t="s">
        <v>134</v>
      </c>
      <c r="E51" s="68"/>
      <c r="F51" s="68"/>
      <c r="G51" s="239">
        <f>SUM(G28:G50)</f>
        <v>1659631</v>
      </c>
      <c r="H51" s="377"/>
    </row>
    <row r="52" spans="1:8" s="69" customFormat="1" ht="10.5" customHeight="1" thickBot="1" x14ac:dyDescent="0.25">
      <c r="A52" s="68"/>
      <c r="B52" s="404"/>
      <c r="C52" s="68"/>
      <c r="D52" s="74"/>
      <c r="E52" s="68"/>
      <c r="F52" s="68"/>
      <c r="G52" s="243"/>
      <c r="H52" s="377"/>
    </row>
    <row r="53" spans="1:8" s="69" customFormat="1" ht="21" thickBot="1" x14ac:dyDescent="0.25">
      <c r="A53" s="68"/>
      <c r="B53" s="404"/>
      <c r="C53" s="68"/>
      <c r="D53" s="68" t="s">
        <v>135</v>
      </c>
      <c r="E53" s="68"/>
      <c r="F53" s="68"/>
      <c r="G53" s="243">
        <f>G25-G51</f>
        <v>21344</v>
      </c>
      <c r="H53" s="377"/>
    </row>
    <row r="54" spans="1:8" s="69" customFormat="1" ht="11.25" customHeight="1" x14ac:dyDescent="0.2">
      <c r="A54" s="68"/>
      <c r="B54" s="404"/>
      <c r="C54" s="68"/>
      <c r="D54" s="68"/>
      <c r="E54" s="68"/>
      <c r="F54" s="68"/>
      <c r="G54" s="234"/>
      <c r="H54" s="377"/>
    </row>
    <row r="55" spans="1:8" s="77" customFormat="1" ht="20.25" x14ac:dyDescent="0.2">
      <c r="A55" s="80"/>
      <c r="B55" s="400"/>
      <c r="C55" s="80"/>
      <c r="D55" s="80"/>
      <c r="F55" s="80"/>
      <c r="G55" s="248"/>
      <c r="H55" s="376"/>
    </row>
    <row r="56" spans="1:8" s="77" customFormat="1" ht="20.25" x14ac:dyDescent="0.2">
      <c r="A56" s="80"/>
      <c r="B56" s="400"/>
      <c r="C56" s="80"/>
      <c r="D56" s="80"/>
      <c r="F56" s="80"/>
      <c r="G56" s="234"/>
      <c r="H56" s="376"/>
    </row>
    <row r="57" spans="1:8" s="77" customFormat="1" ht="20.25" x14ac:dyDescent="0.2">
      <c r="A57" s="80"/>
      <c r="B57" s="400"/>
      <c r="C57" s="80"/>
      <c r="D57" s="80"/>
      <c r="F57" s="80"/>
      <c r="G57" s="234"/>
      <c r="H57" s="376"/>
    </row>
    <row r="58" spans="1:8" s="77" customFormat="1" ht="20.25" x14ac:dyDescent="0.2">
      <c r="A58" s="80"/>
      <c r="B58" s="80"/>
      <c r="C58" s="80"/>
      <c r="D58" s="80"/>
      <c r="F58" s="80"/>
      <c r="G58" s="234"/>
      <c r="H58" s="376"/>
    </row>
    <row r="59" spans="1:8" s="77" customFormat="1" ht="20.25" x14ac:dyDescent="0.2">
      <c r="A59" s="80"/>
      <c r="B59" s="80"/>
      <c r="C59" s="80"/>
      <c r="D59" s="80"/>
      <c r="F59" s="80"/>
      <c r="G59" s="234"/>
      <c r="H59" s="376"/>
    </row>
    <row r="60" spans="1:8" s="77" customFormat="1" ht="20.25" x14ac:dyDescent="0.2">
      <c r="A60" s="80"/>
      <c r="B60" s="80"/>
      <c r="C60" s="80"/>
      <c r="D60" s="80"/>
      <c r="F60" s="80"/>
      <c r="G60" s="234"/>
      <c r="H60" s="376"/>
    </row>
    <row r="61" spans="1:8" s="77" customFormat="1" ht="20.25" x14ac:dyDescent="0.2">
      <c r="A61" s="80"/>
      <c r="B61" s="80"/>
      <c r="C61" s="68"/>
      <c r="D61" s="80"/>
      <c r="F61" s="80"/>
      <c r="G61" s="234"/>
      <c r="H61" s="376"/>
    </row>
    <row r="62" spans="1:8" s="77" customFormat="1" ht="20.25" x14ac:dyDescent="0.2">
      <c r="A62" s="80"/>
      <c r="B62" s="80"/>
      <c r="C62" s="80"/>
      <c r="D62" s="80"/>
      <c r="E62" s="80"/>
      <c r="F62" s="80"/>
      <c r="G62" s="234"/>
      <c r="H62" s="376"/>
    </row>
    <row r="63" spans="1:8" s="77" customFormat="1" ht="20.25" x14ac:dyDescent="0.2">
      <c r="A63" s="80"/>
      <c r="B63" s="80"/>
      <c r="C63" s="68"/>
      <c r="D63" s="68"/>
      <c r="G63" s="234"/>
      <c r="H63" s="376"/>
    </row>
    <row r="64" spans="1:8" s="77" customFormat="1" ht="20.25" x14ac:dyDescent="0.2">
      <c r="A64" s="80"/>
      <c r="B64" s="80"/>
      <c r="C64" s="80"/>
      <c r="D64" s="80"/>
      <c r="E64" s="80"/>
      <c r="F64" s="80"/>
      <c r="G64" s="234"/>
      <c r="H64" s="376"/>
    </row>
    <row r="65" spans="1:8" s="77" customFormat="1" ht="20.25" x14ac:dyDescent="0.2">
      <c r="A65" s="80"/>
      <c r="B65" s="80"/>
      <c r="C65" s="80"/>
      <c r="D65" s="80"/>
      <c r="E65" s="80"/>
      <c r="F65" s="80"/>
      <c r="G65" s="234"/>
      <c r="H65" s="376"/>
    </row>
    <row r="66" spans="1:8" s="77" customFormat="1" ht="20.25" x14ac:dyDescent="0.2">
      <c r="A66" s="80"/>
      <c r="B66" s="80"/>
      <c r="C66" s="80"/>
      <c r="D66" s="80"/>
      <c r="E66" s="80"/>
      <c r="F66" s="80"/>
      <c r="G66" s="234"/>
      <c r="H66" s="376"/>
    </row>
    <row r="67" spans="1:8" s="77" customFormat="1" ht="20.25" x14ac:dyDescent="0.2">
      <c r="A67" s="80"/>
      <c r="B67" s="80"/>
      <c r="C67" s="80"/>
      <c r="D67" s="80"/>
      <c r="E67" s="80"/>
      <c r="F67" s="80"/>
      <c r="G67" s="234"/>
      <c r="H67" s="376"/>
    </row>
    <row r="68" spans="1:8" s="77" customFormat="1" ht="20.25" x14ac:dyDescent="0.2">
      <c r="A68" s="80"/>
      <c r="B68" s="80"/>
      <c r="C68" s="68"/>
      <c r="D68" s="80"/>
      <c r="F68" s="80"/>
      <c r="G68" s="234"/>
      <c r="H68" s="376"/>
    </row>
    <row r="69" spans="1:8" s="77" customFormat="1" ht="20.25" x14ac:dyDescent="0.2">
      <c r="A69" s="80"/>
      <c r="B69" s="80"/>
      <c r="C69" s="80"/>
      <c r="D69" s="80"/>
      <c r="E69" s="80"/>
      <c r="F69" s="80"/>
      <c r="G69" s="234"/>
      <c r="H69" s="376"/>
    </row>
    <row r="70" spans="1:8" s="69" customFormat="1" ht="20.25" x14ac:dyDescent="0.2">
      <c r="A70" s="68"/>
      <c r="B70" s="68"/>
      <c r="C70" s="68"/>
      <c r="D70" s="68"/>
      <c r="E70" s="68"/>
      <c r="F70" s="68"/>
      <c r="G70" s="239"/>
      <c r="H70" s="377"/>
    </row>
    <row r="71" spans="1:8" s="69" customFormat="1" ht="20.25" x14ac:dyDescent="0.2">
      <c r="A71" s="68"/>
      <c r="B71" s="68"/>
      <c r="C71" s="68"/>
      <c r="D71" s="68"/>
      <c r="E71" s="68"/>
      <c r="F71" s="68"/>
      <c r="G71" s="239"/>
      <c r="H71" s="377"/>
    </row>
    <row r="72" spans="1:8" s="69" customFormat="1" ht="23.25" x14ac:dyDescent="0.2">
      <c r="A72" s="68"/>
      <c r="B72" s="274"/>
      <c r="C72" s="68"/>
      <c r="D72" s="68"/>
      <c r="E72" s="68"/>
      <c r="F72" s="68"/>
      <c r="G72" s="234"/>
      <c r="H72" s="377"/>
    </row>
    <row r="73" spans="1:8" s="77" customFormat="1" ht="20.25" x14ac:dyDescent="0.2">
      <c r="A73" s="80"/>
      <c r="B73" s="80"/>
      <c r="D73" s="80"/>
      <c r="E73" s="80"/>
      <c r="F73" s="80"/>
      <c r="G73" s="234"/>
      <c r="H73" s="376"/>
    </row>
    <row r="74" spans="1:8" s="77" customFormat="1" ht="20.25" x14ac:dyDescent="0.2">
      <c r="A74" s="80"/>
      <c r="B74" s="80"/>
      <c r="D74" s="80"/>
      <c r="E74" s="80"/>
      <c r="F74" s="80"/>
      <c r="G74" s="234"/>
      <c r="H74" s="376"/>
    </row>
    <row r="75" spans="1:8" s="69" customFormat="1" ht="20.25" x14ac:dyDescent="0.2">
      <c r="A75" s="68"/>
      <c r="B75" s="68"/>
      <c r="D75" s="80"/>
      <c r="E75" s="68"/>
      <c r="F75" s="68"/>
      <c r="G75" s="234"/>
      <c r="H75" s="377"/>
    </row>
    <row r="76" spans="1:8" s="69" customFormat="1" ht="23.25" x14ac:dyDescent="0.2">
      <c r="A76" s="68"/>
      <c r="B76" s="274"/>
      <c r="C76" s="68"/>
      <c r="D76" s="68"/>
      <c r="E76" s="68"/>
      <c r="F76" s="68"/>
      <c r="G76" s="239"/>
      <c r="H76" s="377"/>
    </row>
    <row r="77" spans="1:8" s="69" customFormat="1" ht="20.25" x14ac:dyDescent="0.2">
      <c r="A77" s="68"/>
      <c r="B77" s="68"/>
      <c r="C77" s="68"/>
      <c r="D77" s="68"/>
      <c r="E77" s="68"/>
      <c r="F77" s="68"/>
      <c r="G77" s="234"/>
      <c r="H77" s="377"/>
    </row>
    <row r="78" spans="1:8" s="83" customFormat="1" ht="26.25" x14ac:dyDescent="0.2">
      <c r="A78" s="271"/>
      <c r="B78" s="271"/>
      <c r="C78" s="271"/>
      <c r="D78" s="271"/>
      <c r="E78" s="271"/>
      <c r="F78" s="271"/>
      <c r="G78" s="272"/>
      <c r="H78" s="516"/>
    </row>
    <row r="79" spans="1:8" s="18" customFormat="1" x14ac:dyDescent="0.2">
      <c r="A79" s="123"/>
      <c r="B79" s="123"/>
      <c r="C79" s="123"/>
      <c r="D79" s="123"/>
      <c r="E79" s="123"/>
      <c r="F79" s="123"/>
      <c r="G79" s="275"/>
      <c r="H79" s="1"/>
    </row>
  </sheetData>
  <pageMargins left="0.45" right="0.45" top="0.5" bottom="0.5" header="0.3" footer="0.3"/>
  <pageSetup scale="7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100</v>
      </c>
      <c r="B1" s="60"/>
      <c r="C1" s="61"/>
      <c r="D1" s="61"/>
      <c r="E1" s="61"/>
      <c r="F1" s="60"/>
      <c r="G1" s="60"/>
    </row>
    <row r="2" spans="1:23" ht="26.25" x14ac:dyDescent="0.4">
      <c r="A2" s="59" t="s">
        <v>190</v>
      </c>
      <c r="B2" s="60"/>
      <c r="C2" s="61"/>
      <c r="D2" s="61"/>
      <c r="E2" s="61"/>
      <c r="F2" s="60"/>
      <c r="G2" s="60"/>
    </row>
    <row r="3" spans="1:23" ht="11.25" customHeight="1" thickBot="1" x14ac:dyDescent="0.25">
      <c r="A3" s="62"/>
      <c r="B3" s="62"/>
      <c r="C3" s="62"/>
      <c r="D3" s="62"/>
      <c r="E3" s="62"/>
      <c r="F3" s="62"/>
      <c r="G3" s="327"/>
    </row>
    <row r="4" spans="1:23" ht="27.75" thickTop="1" thickBot="1" x14ac:dyDescent="0.25">
      <c r="A4" s="65"/>
      <c r="B4" s="65"/>
      <c r="C4" s="65"/>
      <c r="D4" s="65" t="s">
        <v>53</v>
      </c>
      <c r="E4" s="65"/>
      <c r="F4" s="65"/>
      <c r="G4" s="416" t="s">
        <v>54</v>
      </c>
      <c r="H4" s="416"/>
      <c r="I4" s="416"/>
      <c r="J4" s="416"/>
      <c r="K4" s="416"/>
      <c r="L4" s="416"/>
      <c r="M4" s="416"/>
      <c r="N4" s="416"/>
      <c r="O4" s="416"/>
      <c r="P4" s="416"/>
      <c r="Q4" s="416"/>
      <c r="R4" s="416"/>
      <c r="S4" s="416"/>
      <c r="T4" s="416"/>
      <c r="U4" s="416"/>
      <c r="V4" s="416"/>
      <c r="W4" s="416"/>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19"/>
      <c r="B6" s="834" t="s">
        <v>191</v>
      </c>
      <c r="C6" s="834"/>
      <c r="D6" s="834"/>
      <c r="E6" s="834"/>
      <c r="F6" s="834"/>
      <c r="G6" s="420">
        <v>42004</v>
      </c>
      <c r="H6" s="420">
        <v>41639</v>
      </c>
      <c r="I6" s="420">
        <v>41274</v>
      </c>
      <c r="J6" s="420">
        <v>41090</v>
      </c>
      <c r="K6" s="420">
        <v>40724</v>
      </c>
      <c r="L6" s="420">
        <v>40359</v>
      </c>
      <c r="M6" s="420">
        <v>39994</v>
      </c>
      <c r="N6" s="420">
        <v>39629</v>
      </c>
      <c r="O6" s="420">
        <v>39263</v>
      </c>
      <c r="P6" s="420">
        <v>38898</v>
      </c>
      <c r="Q6" s="420">
        <v>38533</v>
      </c>
      <c r="R6" s="420">
        <v>38168</v>
      </c>
      <c r="S6" s="420">
        <v>37802</v>
      </c>
      <c r="T6" s="420">
        <v>37437</v>
      </c>
      <c r="U6" s="420">
        <v>37072</v>
      </c>
      <c r="V6" s="420">
        <v>36707</v>
      </c>
      <c r="W6" s="420">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192</v>
      </c>
      <c r="D8" s="74"/>
      <c r="E8" s="74"/>
      <c r="F8" s="74"/>
      <c r="G8" s="246">
        <v>333525.67</v>
      </c>
      <c r="H8" s="246">
        <v>210919</v>
      </c>
      <c r="I8" s="246">
        <v>214148</v>
      </c>
      <c r="J8" s="246">
        <v>156809</v>
      </c>
      <c r="K8" s="246">
        <v>240314</v>
      </c>
      <c r="L8" s="246">
        <v>142815</v>
      </c>
      <c r="M8" s="246">
        <v>82502</v>
      </c>
      <c r="N8" s="246">
        <v>45758</v>
      </c>
      <c r="O8" s="246">
        <v>105458</v>
      </c>
      <c r="P8" s="246">
        <v>29475</v>
      </c>
      <c r="Q8" s="246">
        <v>22537</v>
      </c>
      <c r="R8" s="246">
        <v>42935</v>
      </c>
      <c r="S8" s="246">
        <v>144393</v>
      </c>
      <c r="T8" s="246">
        <v>42414</v>
      </c>
      <c r="U8" s="246">
        <f>69880+9123</f>
        <v>79003</v>
      </c>
      <c r="V8" s="246">
        <v>92767</v>
      </c>
      <c r="W8" s="246">
        <v>13150</v>
      </c>
    </row>
    <row r="9" spans="1:23" ht="20.25" x14ac:dyDescent="0.2">
      <c r="A9" s="417"/>
      <c r="B9" s="417"/>
      <c r="C9" s="74" t="s">
        <v>193</v>
      </c>
      <c r="D9" s="80"/>
      <c r="E9" s="80"/>
      <c r="F9" s="80"/>
      <c r="G9" s="284">
        <v>247907.12</v>
      </c>
      <c r="H9" s="284">
        <v>311775</v>
      </c>
      <c r="I9" s="284">
        <v>243797</v>
      </c>
      <c r="J9" s="284">
        <v>347870</v>
      </c>
      <c r="K9" s="284">
        <v>298266</v>
      </c>
      <c r="L9" s="284">
        <v>296605</v>
      </c>
      <c r="M9" s="284">
        <v>349918</v>
      </c>
      <c r="N9" s="284">
        <v>366842</v>
      </c>
      <c r="O9" s="284">
        <v>209667</v>
      </c>
      <c r="P9" s="284">
        <v>234735</v>
      </c>
      <c r="Q9" s="284">
        <v>254712</v>
      </c>
      <c r="R9" s="284">
        <v>250225</v>
      </c>
      <c r="S9" s="284">
        <v>85795</v>
      </c>
      <c r="T9" s="284">
        <v>185461</v>
      </c>
      <c r="U9" s="284">
        <v>99322</v>
      </c>
      <c r="V9" s="284">
        <v>80619</v>
      </c>
      <c r="W9" s="284">
        <v>49127</v>
      </c>
    </row>
    <row r="10" spans="1:23" ht="20.25" x14ac:dyDescent="0.2">
      <c r="A10" s="417"/>
      <c r="B10" s="417"/>
      <c r="C10" s="835" t="s">
        <v>168</v>
      </c>
      <c r="D10" s="835"/>
      <c r="E10" s="835"/>
      <c r="F10" s="835"/>
      <c r="G10" s="284">
        <v>0</v>
      </c>
      <c r="H10" s="284">
        <v>5142</v>
      </c>
      <c r="I10" s="284"/>
      <c r="J10" s="284"/>
      <c r="K10" s="284"/>
      <c r="L10" s="284"/>
      <c r="M10" s="284"/>
      <c r="N10" s="284"/>
      <c r="O10" s="284"/>
      <c r="P10" s="284"/>
      <c r="Q10" s="284"/>
      <c r="R10" s="284">
        <v>23</v>
      </c>
      <c r="S10" s="284">
        <v>4823</v>
      </c>
      <c r="T10" s="284">
        <v>6130</v>
      </c>
      <c r="U10" s="284">
        <v>19833</v>
      </c>
      <c r="V10" s="284"/>
      <c r="W10" s="284"/>
    </row>
    <row r="11" spans="1:23" ht="20.25" x14ac:dyDescent="0.2">
      <c r="A11" s="417"/>
      <c r="B11" s="417"/>
      <c r="C11" s="74" t="s">
        <v>194</v>
      </c>
      <c r="D11" s="417"/>
      <c r="E11" s="417"/>
      <c r="F11" s="417"/>
      <c r="G11" s="236">
        <v>31129.64</v>
      </c>
      <c r="H11" s="236">
        <v>30012</v>
      </c>
      <c r="I11" s="236">
        <v>30964</v>
      </c>
      <c r="J11" s="236">
        <v>30506</v>
      </c>
      <c r="K11" s="236">
        <v>28900</v>
      </c>
      <c r="L11" s="236">
        <v>28036</v>
      </c>
      <c r="M11" s="236"/>
      <c r="N11" s="236"/>
      <c r="O11" s="236"/>
      <c r="P11" s="236"/>
      <c r="Q11" s="236"/>
      <c r="R11" s="236"/>
      <c r="S11" s="236"/>
      <c r="T11" s="236"/>
      <c r="U11" s="236"/>
      <c r="V11" s="236"/>
      <c r="W11" s="236"/>
    </row>
    <row r="12" spans="1:23" ht="20.25" x14ac:dyDescent="0.2">
      <c r="A12" s="417"/>
      <c r="B12" s="417"/>
      <c r="C12" s="74" t="s">
        <v>164</v>
      </c>
      <c r="D12" s="79"/>
      <c r="E12" s="79"/>
      <c r="F12" s="79"/>
      <c r="G12" s="237">
        <v>5968.8799999999992</v>
      </c>
      <c r="H12" s="237">
        <v>4730</v>
      </c>
      <c r="I12" s="237">
        <v>3598</v>
      </c>
      <c r="J12" s="237">
        <f>1663+577</f>
        <v>2240</v>
      </c>
      <c r="K12" s="237">
        <f>5202</f>
        <v>5202</v>
      </c>
      <c r="L12" s="237">
        <v>1840</v>
      </c>
      <c r="M12" s="237">
        <v>1427</v>
      </c>
      <c r="N12" s="237">
        <v>360</v>
      </c>
      <c r="O12" s="237">
        <v>312</v>
      </c>
      <c r="P12" s="237"/>
      <c r="Q12" s="237">
        <v>5593</v>
      </c>
      <c r="R12" s="237">
        <v>3952</v>
      </c>
      <c r="S12" s="237">
        <v>13154</v>
      </c>
      <c r="T12" s="237">
        <v>2441</v>
      </c>
      <c r="U12" s="237"/>
      <c r="V12" s="237"/>
      <c r="W12" s="237"/>
    </row>
    <row r="13" spans="1:23" ht="20.25" x14ac:dyDescent="0.2">
      <c r="A13" s="74"/>
      <c r="B13" s="68"/>
      <c r="C13" s="68" t="s">
        <v>61</v>
      </c>
      <c r="D13" s="68"/>
      <c r="E13" s="68"/>
      <c r="F13" s="68"/>
      <c r="G13" s="239">
        <f>SUM(G8:G12)</f>
        <v>618531.31000000006</v>
      </c>
      <c r="H13" s="239">
        <f>SUM(H8:H12)</f>
        <v>562578</v>
      </c>
      <c r="I13" s="239">
        <f>SUM(I8:I12)</f>
        <v>492507</v>
      </c>
      <c r="J13" s="239">
        <f>SUM(J8:J12)</f>
        <v>537425</v>
      </c>
      <c r="K13" s="239">
        <f>SUM(K8:K12)</f>
        <v>572682</v>
      </c>
      <c r="L13" s="239">
        <f t="shared" ref="L13:W13" si="0">SUM(L8:L12)</f>
        <v>469296</v>
      </c>
      <c r="M13" s="239">
        <f t="shared" si="0"/>
        <v>433847</v>
      </c>
      <c r="N13" s="239">
        <f t="shared" si="0"/>
        <v>412960</v>
      </c>
      <c r="O13" s="239">
        <f t="shared" si="0"/>
        <v>315437</v>
      </c>
      <c r="P13" s="239">
        <f t="shared" si="0"/>
        <v>264210</v>
      </c>
      <c r="Q13" s="239">
        <f t="shared" si="0"/>
        <v>282842</v>
      </c>
      <c r="R13" s="239">
        <f t="shared" si="0"/>
        <v>297135</v>
      </c>
      <c r="S13" s="239">
        <f t="shared" si="0"/>
        <v>248165</v>
      </c>
      <c r="T13" s="239">
        <f t="shared" si="0"/>
        <v>236446</v>
      </c>
      <c r="U13" s="239">
        <f t="shared" si="0"/>
        <v>198158</v>
      </c>
      <c r="V13" s="239">
        <f t="shared" si="0"/>
        <v>173386</v>
      </c>
      <c r="W13" s="239">
        <f t="shared" si="0"/>
        <v>62277</v>
      </c>
    </row>
    <row r="14" spans="1:23" ht="20.25" x14ac:dyDescent="0.2">
      <c r="A14" s="74"/>
      <c r="B14" s="74"/>
      <c r="C14" s="74"/>
      <c r="D14" s="74"/>
      <c r="E14" s="74"/>
      <c r="F14" s="74"/>
      <c r="G14" s="238"/>
      <c r="H14" s="238"/>
      <c r="I14" s="238"/>
      <c r="J14" s="238"/>
      <c r="K14" s="238"/>
      <c r="L14" s="238"/>
      <c r="M14" s="238"/>
      <c r="N14" s="238"/>
      <c r="O14" s="238"/>
      <c r="P14" s="238"/>
      <c r="Q14" s="238"/>
      <c r="R14" s="238"/>
      <c r="S14" s="238"/>
      <c r="T14" s="238"/>
      <c r="U14" s="238"/>
      <c r="V14" s="238"/>
      <c r="W14" s="238"/>
    </row>
    <row r="15" spans="1:23" ht="20.25" x14ac:dyDescent="0.3">
      <c r="A15" s="70"/>
      <c r="B15" s="269" t="s">
        <v>195</v>
      </c>
      <c r="C15" s="269"/>
      <c r="D15" s="269"/>
      <c r="E15" s="269"/>
      <c r="F15" s="269"/>
      <c r="G15" s="270"/>
      <c r="H15" s="270"/>
      <c r="I15" s="270"/>
      <c r="J15" s="270"/>
      <c r="K15" s="270"/>
      <c r="L15" s="270"/>
      <c r="M15" s="270"/>
      <c r="N15" s="270"/>
      <c r="O15" s="270"/>
      <c r="P15" s="270"/>
      <c r="Q15" s="270"/>
      <c r="R15" s="270"/>
      <c r="S15" s="270"/>
      <c r="T15" s="270"/>
      <c r="U15" s="270"/>
      <c r="V15" s="270"/>
      <c r="W15" s="270"/>
    </row>
    <row r="16" spans="1:23" ht="20.25" x14ac:dyDescent="0.3">
      <c r="A16" s="70"/>
      <c r="B16" s="269"/>
      <c r="C16" s="269"/>
      <c r="D16" s="269"/>
      <c r="E16" s="269"/>
      <c r="F16" s="269"/>
      <c r="G16" s="270">
        <v>121148.45000000001</v>
      </c>
      <c r="H16" s="270">
        <v>88948</v>
      </c>
      <c r="I16" s="270">
        <v>81381</v>
      </c>
      <c r="J16" s="270">
        <v>85951</v>
      </c>
      <c r="K16" s="270">
        <v>75213</v>
      </c>
      <c r="L16" s="270">
        <v>103757</v>
      </c>
      <c r="M16" s="270">
        <v>72661</v>
      </c>
      <c r="N16" s="270">
        <v>91918</v>
      </c>
      <c r="O16" s="270">
        <v>80411</v>
      </c>
      <c r="P16" s="270">
        <v>57354</v>
      </c>
      <c r="Q16" s="270">
        <v>59451</v>
      </c>
      <c r="R16" s="270">
        <v>70947</v>
      </c>
      <c r="S16" s="270">
        <v>80279</v>
      </c>
      <c r="T16" s="270">
        <v>84266</v>
      </c>
      <c r="U16" s="270">
        <v>45164</v>
      </c>
      <c r="V16" s="270">
        <v>15210</v>
      </c>
      <c r="W16" s="270">
        <v>15599</v>
      </c>
    </row>
    <row r="17" spans="1:23" ht="20.25" hidden="1" x14ac:dyDescent="0.2">
      <c r="A17" s="74"/>
      <c r="B17" s="74"/>
      <c r="C17" s="74"/>
      <c r="D17" s="74"/>
      <c r="E17" s="74"/>
      <c r="F17" s="74"/>
      <c r="G17" s="238"/>
      <c r="H17" s="238"/>
      <c r="I17" s="238"/>
      <c r="J17" s="238"/>
      <c r="K17" s="238"/>
      <c r="L17" s="238"/>
      <c r="M17" s="238"/>
      <c r="N17" s="238"/>
      <c r="O17" s="238"/>
      <c r="P17" s="238"/>
      <c r="Q17" s="238"/>
      <c r="R17" s="238"/>
      <c r="S17" s="238"/>
      <c r="T17" s="238"/>
      <c r="U17" s="238"/>
      <c r="V17" s="238"/>
      <c r="W17" s="238"/>
    </row>
    <row r="18" spans="1:23" ht="20.25" hidden="1" x14ac:dyDescent="0.2">
      <c r="A18" s="74"/>
      <c r="B18" s="74"/>
      <c r="C18" s="74"/>
      <c r="D18" s="74"/>
      <c r="E18" s="74"/>
      <c r="F18" s="74"/>
      <c r="G18" s="234"/>
      <c r="H18" s="234"/>
      <c r="I18" s="234"/>
      <c r="J18" s="234"/>
      <c r="K18" s="234"/>
      <c r="L18" s="234"/>
      <c r="M18" s="234"/>
      <c r="N18" s="234"/>
      <c r="O18" s="234"/>
      <c r="P18" s="234"/>
      <c r="Q18" s="234"/>
      <c r="R18" s="234"/>
      <c r="S18" s="234"/>
      <c r="T18" s="234"/>
      <c r="U18" s="234"/>
      <c r="V18" s="234"/>
      <c r="W18" s="234"/>
    </row>
    <row r="19" spans="1:23" ht="27" thickBot="1" x14ac:dyDescent="0.25">
      <c r="A19" s="82" t="s">
        <v>63</v>
      </c>
      <c r="B19" s="82"/>
      <c r="C19" s="82"/>
      <c r="D19" s="82"/>
      <c r="E19" s="82"/>
      <c r="F19" s="82"/>
      <c r="G19" s="247">
        <f>G13+G16</f>
        <v>739679.76</v>
      </c>
      <c r="H19" s="247">
        <f>H13+H16</f>
        <v>651526</v>
      </c>
      <c r="I19" s="247">
        <f>I13+I16</f>
        <v>573888</v>
      </c>
      <c r="J19" s="247">
        <f>J13+J16</f>
        <v>623376</v>
      </c>
      <c r="K19" s="247">
        <f>K13+K16</f>
        <v>647895</v>
      </c>
      <c r="L19" s="247">
        <f t="shared" ref="L19:W19" si="1">L13+L16</f>
        <v>573053</v>
      </c>
      <c r="M19" s="247">
        <f t="shared" si="1"/>
        <v>506508</v>
      </c>
      <c r="N19" s="247">
        <f t="shared" si="1"/>
        <v>504878</v>
      </c>
      <c r="O19" s="247">
        <f t="shared" si="1"/>
        <v>395848</v>
      </c>
      <c r="P19" s="247">
        <f t="shared" si="1"/>
        <v>321564</v>
      </c>
      <c r="Q19" s="247">
        <f t="shared" si="1"/>
        <v>342293</v>
      </c>
      <c r="R19" s="247">
        <f t="shared" si="1"/>
        <v>368082</v>
      </c>
      <c r="S19" s="247">
        <f t="shared" si="1"/>
        <v>328444</v>
      </c>
      <c r="T19" s="247">
        <f t="shared" si="1"/>
        <v>320712</v>
      </c>
      <c r="U19" s="247">
        <f t="shared" si="1"/>
        <v>243322</v>
      </c>
      <c r="V19" s="247">
        <f t="shared" si="1"/>
        <v>188596</v>
      </c>
      <c r="W19" s="247">
        <f t="shared" si="1"/>
        <v>77876</v>
      </c>
    </row>
    <row r="20" spans="1:23" ht="21.75" thickTop="1" thickBot="1" x14ac:dyDescent="0.25">
      <c r="A20" s="74"/>
      <c r="B20" s="74"/>
      <c r="C20" s="74"/>
      <c r="D20" s="74"/>
      <c r="E20" s="74"/>
      <c r="F20" s="74"/>
      <c r="G20" s="332"/>
      <c r="H20" s="332"/>
      <c r="I20" s="332"/>
      <c r="J20" s="332"/>
      <c r="K20" s="332"/>
      <c r="L20" s="332"/>
      <c r="M20" s="332"/>
      <c r="N20" s="332"/>
      <c r="O20" s="332"/>
      <c r="P20" s="332"/>
      <c r="Q20" s="332"/>
      <c r="R20" s="332"/>
      <c r="S20" s="332"/>
      <c r="T20" s="332"/>
      <c r="U20" s="332"/>
      <c r="V20" s="332"/>
      <c r="W20" s="332"/>
    </row>
    <row r="21" spans="1:23" ht="27.75" thickTop="1" thickBot="1" x14ac:dyDescent="0.25">
      <c r="A21" s="65"/>
      <c r="B21" s="65"/>
      <c r="C21" s="65"/>
      <c r="D21" s="65" t="s">
        <v>64</v>
      </c>
      <c r="E21" s="65"/>
      <c r="F21" s="65"/>
      <c r="G21" s="242"/>
      <c r="H21" s="242"/>
      <c r="I21" s="242"/>
      <c r="J21" s="242"/>
      <c r="K21" s="242"/>
      <c r="L21" s="242"/>
      <c r="M21" s="242"/>
      <c r="N21" s="242"/>
      <c r="O21" s="242"/>
      <c r="P21" s="242"/>
      <c r="Q21" s="242"/>
      <c r="R21" s="242"/>
      <c r="S21" s="242"/>
      <c r="T21" s="242"/>
      <c r="U21" s="242"/>
      <c r="V21" s="242"/>
      <c r="W21" s="242"/>
    </row>
    <row r="22" spans="1:23" ht="21" thickTop="1" x14ac:dyDescent="0.2">
      <c r="A22" s="74"/>
      <c r="B22" s="74"/>
      <c r="C22" s="74"/>
      <c r="D22" s="74"/>
      <c r="E22" s="74"/>
      <c r="F22" s="74"/>
      <c r="G22" s="236"/>
      <c r="H22" s="236"/>
      <c r="I22" s="236"/>
      <c r="J22" s="236"/>
      <c r="K22" s="236"/>
      <c r="L22" s="236"/>
      <c r="M22" s="236"/>
      <c r="N22" s="236"/>
      <c r="O22" s="236"/>
      <c r="P22" s="236"/>
      <c r="Q22" s="236"/>
      <c r="R22" s="236"/>
      <c r="S22" s="236"/>
      <c r="T22" s="236"/>
      <c r="U22" s="236"/>
      <c r="V22" s="236"/>
      <c r="W22" s="236"/>
    </row>
    <row r="23" spans="1:23" ht="24" hidden="1" thickBot="1" x14ac:dyDescent="0.25">
      <c r="A23" s="74"/>
      <c r="B23" s="87" t="s">
        <v>65</v>
      </c>
      <c r="C23" s="88"/>
      <c r="D23" s="88"/>
      <c r="E23" s="88"/>
      <c r="F23" s="88"/>
      <c r="G23" s="243"/>
      <c r="H23" s="243"/>
      <c r="I23" s="243"/>
      <c r="J23" s="243"/>
      <c r="K23" s="243"/>
      <c r="L23" s="243"/>
      <c r="M23" s="243"/>
      <c r="N23" s="243"/>
      <c r="O23" s="243"/>
      <c r="P23" s="243"/>
      <c r="Q23" s="243"/>
      <c r="R23" s="243"/>
      <c r="S23" s="243"/>
      <c r="T23" s="243"/>
      <c r="U23" s="243"/>
      <c r="V23" s="243"/>
      <c r="W23" s="243"/>
    </row>
    <row r="24" spans="1:23" ht="20.25" hidden="1" x14ac:dyDescent="0.2">
      <c r="A24" s="74"/>
      <c r="B24" s="74"/>
      <c r="C24" s="74"/>
      <c r="D24" s="74"/>
      <c r="E24" s="74"/>
      <c r="F24" s="74"/>
      <c r="G24" s="236"/>
      <c r="H24" s="236"/>
      <c r="I24" s="236"/>
      <c r="J24" s="236"/>
      <c r="K24" s="236"/>
      <c r="L24" s="236"/>
      <c r="M24" s="236"/>
      <c r="N24" s="236"/>
      <c r="O24" s="236"/>
      <c r="P24" s="236"/>
      <c r="Q24" s="236"/>
      <c r="R24" s="236"/>
      <c r="S24" s="236"/>
      <c r="T24" s="236"/>
      <c r="U24" s="236"/>
      <c r="V24" s="236"/>
      <c r="W24" s="236"/>
    </row>
    <row r="25" spans="1:23" ht="21" thickBot="1" x14ac:dyDescent="0.35">
      <c r="A25" s="70"/>
      <c r="B25" s="154" t="s">
        <v>196</v>
      </c>
      <c r="C25" s="155"/>
      <c r="D25" s="154"/>
      <c r="E25" s="154"/>
      <c r="F25" s="154"/>
      <c r="G25" s="235"/>
      <c r="H25" s="235"/>
      <c r="I25" s="235"/>
      <c r="J25" s="235"/>
      <c r="K25" s="235"/>
      <c r="L25" s="235"/>
      <c r="M25" s="235"/>
      <c r="N25" s="235"/>
      <c r="O25" s="235"/>
      <c r="P25" s="235"/>
      <c r="Q25" s="235"/>
      <c r="R25" s="235"/>
      <c r="S25" s="235"/>
      <c r="T25" s="235"/>
      <c r="U25" s="235"/>
      <c r="V25" s="235"/>
      <c r="W25" s="235"/>
    </row>
    <row r="26" spans="1:23" ht="20.25" x14ac:dyDescent="0.2">
      <c r="A26" s="417"/>
      <c r="B26" s="417"/>
      <c r="C26" s="417"/>
      <c r="D26" s="417" t="s">
        <v>156</v>
      </c>
      <c r="E26" s="78"/>
      <c r="F26" s="417"/>
      <c r="G26" s="248">
        <v>31278.429999999997</v>
      </c>
      <c r="H26" s="248">
        <v>51714</v>
      </c>
      <c r="I26" s="248">
        <v>52083</v>
      </c>
      <c r="J26" s="248">
        <v>69820</v>
      </c>
      <c r="K26" s="248">
        <v>81032</v>
      </c>
      <c r="L26" s="248">
        <v>64928</v>
      </c>
      <c r="M26" s="248">
        <v>89064</v>
      </c>
      <c r="N26" s="248">
        <v>102814</v>
      </c>
      <c r="O26" s="248">
        <v>27734</v>
      </c>
      <c r="P26" s="248">
        <v>33537</v>
      </c>
      <c r="Q26" s="248">
        <v>47914</v>
      </c>
      <c r="R26" s="248">
        <v>42054</v>
      </c>
      <c r="S26" s="248">
        <v>32004</v>
      </c>
      <c r="T26" s="248">
        <v>28904</v>
      </c>
      <c r="U26" s="248">
        <v>2405</v>
      </c>
      <c r="V26" s="248">
        <v>7686</v>
      </c>
      <c r="W26" s="248">
        <v>0</v>
      </c>
    </row>
    <row r="27" spans="1:23" ht="20.25" x14ac:dyDescent="0.2">
      <c r="A27" s="417"/>
      <c r="B27" s="417"/>
      <c r="C27" s="417"/>
      <c r="D27" s="417" t="s">
        <v>197</v>
      </c>
      <c r="E27" s="78"/>
      <c r="F27" s="417"/>
      <c r="G27" s="234">
        <v>16019.88</v>
      </c>
      <c r="H27" s="234">
        <v>26466</v>
      </c>
      <c r="I27" s="234">
        <v>33722</v>
      </c>
      <c r="J27" s="234">
        <v>37279</v>
      </c>
      <c r="K27" s="234">
        <v>34130</v>
      </c>
      <c r="L27" s="234">
        <v>30917</v>
      </c>
      <c r="M27" s="234">
        <v>24891</v>
      </c>
      <c r="N27" s="234">
        <v>22167</v>
      </c>
      <c r="O27" s="234">
        <v>16739</v>
      </c>
      <c r="P27" s="234">
        <v>13502</v>
      </c>
      <c r="Q27" s="234">
        <v>10581</v>
      </c>
      <c r="R27" s="234">
        <v>28556</v>
      </c>
      <c r="S27" s="234">
        <v>22953</v>
      </c>
      <c r="T27" s="234">
        <v>13246</v>
      </c>
      <c r="U27" s="234">
        <v>10214</v>
      </c>
      <c r="V27" s="234">
        <v>5966</v>
      </c>
      <c r="W27" s="234">
        <v>2341</v>
      </c>
    </row>
    <row r="28" spans="1:23" ht="20.25" x14ac:dyDescent="0.2">
      <c r="A28" s="417"/>
      <c r="B28" s="417"/>
      <c r="C28" s="417"/>
      <c r="D28" s="417" t="s">
        <v>94</v>
      </c>
      <c r="E28" s="78"/>
      <c r="F28" s="417"/>
      <c r="G28" s="236">
        <v>19094</v>
      </c>
      <c r="H28" s="236">
        <v>21990</v>
      </c>
      <c r="I28" s="236">
        <v>17053</v>
      </c>
      <c r="J28" s="236">
        <v>23081</v>
      </c>
      <c r="K28" s="236">
        <v>20125</v>
      </c>
      <c r="L28" s="236">
        <v>23900</v>
      </c>
      <c r="M28" s="236">
        <v>25993</v>
      </c>
      <c r="N28" s="236">
        <v>25084</v>
      </c>
      <c r="O28" s="236">
        <v>17164</v>
      </c>
      <c r="P28" s="236">
        <v>23194</v>
      </c>
      <c r="Q28" s="236">
        <v>17986</v>
      </c>
      <c r="R28" s="236">
        <v>19684</v>
      </c>
      <c r="S28" s="236">
        <v>15461</v>
      </c>
      <c r="T28" s="236">
        <v>11736</v>
      </c>
      <c r="U28" s="236">
        <v>6552</v>
      </c>
      <c r="V28" s="236">
        <v>4625</v>
      </c>
      <c r="W28" s="236"/>
    </row>
    <row r="29" spans="1:23" ht="20.25" x14ac:dyDescent="0.2">
      <c r="A29" s="417"/>
      <c r="B29" s="417"/>
      <c r="C29" s="417"/>
      <c r="D29" s="417" t="s">
        <v>198</v>
      </c>
      <c r="E29" s="78"/>
      <c r="F29" s="417"/>
      <c r="G29" s="236"/>
      <c r="H29" s="236">
        <v>463</v>
      </c>
      <c r="I29" s="236">
        <f>1236+16400</f>
        <v>17636</v>
      </c>
      <c r="J29" s="236">
        <v>13302</v>
      </c>
      <c r="K29" s="236">
        <v>5311</v>
      </c>
      <c r="L29" s="236">
        <v>12315</v>
      </c>
      <c r="M29" s="236"/>
      <c r="N29" s="236"/>
      <c r="O29" s="236"/>
      <c r="P29" s="236">
        <v>20000</v>
      </c>
      <c r="Q29" s="236"/>
      <c r="R29" s="236">
        <v>25000</v>
      </c>
      <c r="S29" s="236"/>
      <c r="T29" s="236"/>
      <c r="U29" s="236"/>
      <c r="V29" s="236"/>
      <c r="W29" s="236">
        <v>48000</v>
      </c>
    </row>
    <row r="30" spans="1:23" ht="20.25" x14ac:dyDescent="0.2">
      <c r="A30" s="417"/>
      <c r="B30" s="417"/>
      <c r="C30" s="417"/>
      <c r="D30" s="80" t="s">
        <v>101</v>
      </c>
      <c r="E30" s="78"/>
      <c r="F30" s="417"/>
      <c r="G30" s="236">
        <v>136592.41</v>
      </c>
      <c r="H30" s="236">
        <v>101837</v>
      </c>
      <c r="I30" s="236">
        <v>31429</v>
      </c>
      <c r="J30" s="236">
        <v>21927</v>
      </c>
      <c r="K30" s="236">
        <v>24493</v>
      </c>
      <c r="L30" s="236">
        <v>23546</v>
      </c>
      <c r="M30" s="236">
        <v>29986</v>
      </c>
      <c r="N30" s="236">
        <v>97627</v>
      </c>
      <c r="O30" s="236">
        <v>91085</v>
      </c>
      <c r="P30" s="236">
        <v>6118</v>
      </c>
      <c r="Q30" s="236">
        <v>42621</v>
      </c>
      <c r="R30" s="236"/>
      <c r="S30" s="236">
        <v>13218</v>
      </c>
      <c r="T30" s="236">
        <v>36938</v>
      </c>
      <c r="U30" s="236">
        <v>40000</v>
      </c>
      <c r="V30" s="236">
        <v>38354</v>
      </c>
      <c r="W30" s="236">
        <v>11775</v>
      </c>
    </row>
    <row r="31" spans="1:23" ht="20.25" x14ac:dyDescent="0.2">
      <c r="A31" s="417"/>
      <c r="B31" s="417"/>
      <c r="C31" s="417"/>
      <c r="D31" s="79" t="s">
        <v>199</v>
      </c>
      <c r="E31" s="153"/>
      <c r="F31" s="79"/>
      <c r="G31" s="236"/>
      <c r="H31" s="236"/>
      <c r="I31" s="236"/>
      <c r="J31" s="236"/>
      <c r="K31" s="236"/>
      <c r="L31" s="236"/>
      <c r="M31" s="236"/>
      <c r="N31" s="236"/>
      <c r="O31" s="236"/>
      <c r="P31" s="236"/>
      <c r="Q31" s="236"/>
      <c r="R31" s="236"/>
      <c r="S31" s="236"/>
      <c r="T31" s="236"/>
      <c r="U31" s="236"/>
      <c r="V31" s="236"/>
      <c r="W31" s="236"/>
    </row>
    <row r="32" spans="1:23" ht="20.25" x14ac:dyDescent="0.2">
      <c r="A32" s="417"/>
      <c r="B32" s="417"/>
      <c r="C32" s="81" t="s">
        <v>77</v>
      </c>
      <c r="D32" s="417"/>
      <c r="E32" s="78"/>
      <c r="F32" s="417"/>
      <c r="G32" s="244">
        <f>SUM(G26:G31)</f>
        <v>202984.72</v>
      </c>
      <c r="H32" s="244">
        <f>SUM(H26:H31)</f>
        <v>202470</v>
      </c>
      <c r="I32" s="244">
        <f>SUM(I26:I31)</f>
        <v>151923</v>
      </c>
      <c r="J32" s="244">
        <f>SUM(J26:J31)</f>
        <v>165409</v>
      </c>
      <c r="K32" s="244">
        <f>SUM(K26:K31)</f>
        <v>165091</v>
      </c>
      <c r="L32" s="244">
        <f t="shared" ref="L32:W32" si="2">SUM(L26:L31)</f>
        <v>155606</v>
      </c>
      <c r="M32" s="244">
        <f t="shared" si="2"/>
        <v>169934</v>
      </c>
      <c r="N32" s="244">
        <f t="shared" si="2"/>
        <v>247692</v>
      </c>
      <c r="O32" s="244">
        <f t="shared" si="2"/>
        <v>152722</v>
      </c>
      <c r="P32" s="244">
        <f t="shared" si="2"/>
        <v>96351</v>
      </c>
      <c r="Q32" s="244">
        <f t="shared" si="2"/>
        <v>119102</v>
      </c>
      <c r="R32" s="244">
        <f t="shared" si="2"/>
        <v>115294</v>
      </c>
      <c r="S32" s="244">
        <f t="shared" si="2"/>
        <v>83636</v>
      </c>
      <c r="T32" s="244">
        <f t="shared" si="2"/>
        <v>90824</v>
      </c>
      <c r="U32" s="244">
        <f t="shared" si="2"/>
        <v>59171</v>
      </c>
      <c r="V32" s="244">
        <f t="shared" si="2"/>
        <v>56631</v>
      </c>
      <c r="W32" s="244">
        <f t="shared" si="2"/>
        <v>62116</v>
      </c>
    </row>
    <row r="33" spans="1:23" ht="20.25" x14ac:dyDescent="0.2">
      <c r="A33" s="417"/>
      <c r="B33" s="417"/>
      <c r="C33" s="417"/>
      <c r="D33" s="417"/>
      <c r="E33" s="417"/>
      <c r="F33" s="417"/>
      <c r="G33" s="236"/>
      <c r="H33" s="236"/>
      <c r="I33" s="236"/>
      <c r="J33" s="236"/>
      <c r="K33" s="236"/>
      <c r="L33" s="236"/>
      <c r="M33" s="236"/>
      <c r="N33" s="236"/>
      <c r="O33" s="236"/>
      <c r="P33" s="236"/>
      <c r="Q33" s="236"/>
      <c r="R33" s="236"/>
      <c r="S33" s="236"/>
      <c r="T33" s="236"/>
      <c r="U33" s="236"/>
      <c r="V33" s="236"/>
      <c r="W33" s="236"/>
    </row>
    <row r="34" spans="1:23" ht="20.25" x14ac:dyDescent="0.2">
      <c r="A34" s="74"/>
      <c r="B34" s="74"/>
      <c r="C34" s="74"/>
      <c r="D34" s="74"/>
      <c r="E34" s="74"/>
      <c r="F34" s="74"/>
      <c r="G34" s="422"/>
      <c r="H34" s="422"/>
      <c r="I34" s="422"/>
      <c r="J34" s="422"/>
      <c r="K34" s="422"/>
      <c r="L34" s="238"/>
      <c r="M34" s="238"/>
      <c r="N34" s="238"/>
      <c r="O34" s="238"/>
      <c r="P34" s="238"/>
      <c r="Q34" s="238"/>
      <c r="R34" s="238"/>
      <c r="S34" s="238"/>
      <c r="T34" s="238"/>
      <c r="U34" s="238"/>
      <c r="V34" s="238"/>
      <c r="W34" s="238"/>
    </row>
    <row r="35" spans="1:23" ht="24" thickBot="1" x14ac:dyDescent="0.25">
      <c r="A35" s="74"/>
      <c r="B35" s="87" t="s">
        <v>200</v>
      </c>
      <c r="C35" s="88"/>
      <c r="D35" s="88"/>
      <c r="E35" s="88"/>
      <c r="F35" s="88"/>
      <c r="G35" s="243"/>
      <c r="H35" s="243"/>
      <c r="I35" s="243"/>
      <c r="J35" s="243"/>
      <c r="K35" s="243"/>
      <c r="L35" s="243"/>
      <c r="M35" s="243"/>
      <c r="N35" s="243"/>
      <c r="O35" s="243"/>
      <c r="P35" s="243"/>
      <c r="Q35" s="243"/>
      <c r="R35" s="243"/>
      <c r="S35" s="243"/>
      <c r="T35" s="243"/>
      <c r="U35" s="243"/>
      <c r="V35" s="243"/>
      <c r="W35" s="243"/>
    </row>
    <row r="36" spans="1:23" ht="23.25" x14ac:dyDescent="0.2">
      <c r="A36" s="74"/>
      <c r="B36" s="274"/>
      <c r="C36" s="68"/>
      <c r="D36" s="417" t="s">
        <v>97</v>
      </c>
      <c r="E36" s="68"/>
      <c r="F36" s="68"/>
      <c r="G36" s="234">
        <v>55367.21</v>
      </c>
      <c r="H36" s="234">
        <v>52578</v>
      </c>
      <c r="I36" s="234">
        <v>54372</v>
      </c>
      <c r="J36" s="234">
        <v>74343</v>
      </c>
      <c r="K36" s="234">
        <v>140489</v>
      </c>
      <c r="L36" s="234">
        <v>85282</v>
      </c>
      <c r="M36" s="234">
        <v>9601</v>
      </c>
      <c r="N36" s="234">
        <v>9601</v>
      </c>
      <c r="O36" s="234">
        <v>5248</v>
      </c>
      <c r="P36" s="234">
        <v>4472</v>
      </c>
      <c r="Q36" s="234">
        <v>15207</v>
      </c>
      <c r="R36" s="234"/>
      <c r="S36" s="234"/>
      <c r="T36" s="234"/>
      <c r="U36" s="234"/>
      <c r="V36" s="234"/>
      <c r="W36" s="234"/>
    </row>
    <row r="37" spans="1:23" ht="21" thickBot="1" x14ac:dyDescent="0.25">
      <c r="A37" s="417"/>
      <c r="B37" s="417"/>
      <c r="C37" s="78"/>
      <c r="D37" s="417" t="s">
        <v>91</v>
      </c>
      <c r="E37" s="418"/>
      <c r="F37" s="418"/>
      <c r="G37" s="243">
        <v>481327.83000000013</v>
      </c>
      <c r="H37" s="243">
        <v>396478</v>
      </c>
      <c r="I37" s="243">
        <v>367593</v>
      </c>
      <c r="J37" s="243">
        <v>383624</v>
      </c>
      <c r="K37" s="243">
        <v>342315</v>
      </c>
      <c r="L37" s="243">
        <v>332165</v>
      </c>
      <c r="M37" s="243">
        <v>326973</v>
      </c>
      <c r="N37" s="243">
        <v>247585</v>
      </c>
      <c r="O37" s="243">
        <v>237878</v>
      </c>
      <c r="P37" s="243">
        <v>220741</v>
      </c>
      <c r="Q37" s="243">
        <v>207984</v>
      </c>
      <c r="R37" s="243">
        <v>252788</v>
      </c>
      <c r="S37" s="243">
        <v>244808</v>
      </c>
      <c r="T37" s="243">
        <v>229888</v>
      </c>
      <c r="U37" s="243">
        <v>184151</v>
      </c>
      <c r="V37" s="243">
        <v>131965</v>
      </c>
      <c r="W37" s="243">
        <v>15760</v>
      </c>
    </row>
    <row r="38" spans="1:23" ht="23.25" x14ac:dyDescent="0.2">
      <c r="A38" s="74"/>
      <c r="B38" s="90" t="s">
        <v>68</v>
      </c>
      <c r="C38" s="91"/>
      <c r="D38" s="91"/>
      <c r="E38" s="68"/>
      <c r="F38" s="68"/>
      <c r="G38" s="239">
        <f>G36+G37</f>
        <v>536695.04000000015</v>
      </c>
      <c r="H38" s="239">
        <f>H36+H37</f>
        <v>449056</v>
      </c>
      <c r="I38" s="239">
        <f>I36+I37</f>
        <v>421965</v>
      </c>
      <c r="J38" s="239">
        <f>J36+J37</f>
        <v>457967</v>
      </c>
      <c r="K38" s="239">
        <f>K36+K37</f>
        <v>482804</v>
      </c>
      <c r="L38" s="239">
        <f t="shared" ref="L38:W38" si="3">L36+L37</f>
        <v>417447</v>
      </c>
      <c r="M38" s="239">
        <f t="shared" si="3"/>
        <v>336574</v>
      </c>
      <c r="N38" s="239">
        <f t="shared" si="3"/>
        <v>257186</v>
      </c>
      <c r="O38" s="239">
        <f t="shared" si="3"/>
        <v>243126</v>
      </c>
      <c r="P38" s="239">
        <f t="shared" si="3"/>
        <v>225213</v>
      </c>
      <c r="Q38" s="239">
        <f t="shared" si="3"/>
        <v>223191</v>
      </c>
      <c r="R38" s="239">
        <f t="shared" si="3"/>
        <v>252788</v>
      </c>
      <c r="S38" s="239">
        <f t="shared" si="3"/>
        <v>244808</v>
      </c>
      <c r="T38" s="239">
        <f t="shared" si="3"/>
        <v>229888</v>
      </c>
      <c r="U38" s="239">
        <f t="shared" si="3"/>
        <v>184151</v>
      </c>
      <c r="V38" s="239">
        <f t="shared" si="3"/>
        <v>131965</v>
      </c>
      <c r="W38" s="239">
        <f t="shared" si="3"/>
        <v>15760</v>
      </c>
    </row>
    <row r="39" spans="1:23" ht="20.25" x14ac:dyDescent="0.2">
      <c r="A39" s="74"/>
      <c r="B39" s="74"/>
      <c r="C39" s="74"/>
      <c r="D39" s="74"/>
      <c r="E39" s="74"/>
      <c r="F39" s="74"/>
      <c r="G39" s="237"/>
      <c r="H39" s="237"/>
      <c r="I39" s="237"/>
      <c r="J39" s="237"/>
      <c r="K39" s="237"/>
      <c r="L39" s="237"/>
      <c r="M39" s="237"/>
      <c r="N39" s="237"/>
      <c r="O39" s="237"/>
      <c r="P39" s="237"/>
      <c r="Q39" s="237"/>
      <c r="R39" s="237"/>
      <c r="S39" s="237"/>
      <c r="T39" s="237"/>
      <c r="U39" s="237"/>
      <c r="V39" s="237"/>
      <c r="W39" s="237"/>
    </row>
    <row r="40" spans="1:23" ht="27" thickBot="1" x14ac:dyDescent="0.25">
      <c r="A40" s="82" t="s">
        <v>69</v>
      </c>
      <c r="B40" s="82"/>
      <c r="C40" s="82"/>
      <c r="D40" s="82"/>
      <c r="E40" s="82"/>
      <c r="F40" s="82"/>
      <c r="G40" s="362">
        <f>G32+G38</f>
        <v>739679.76000000013</v>
      </c>
      <c r="H40" s="362">
        <f>H32+H38</f>
        <v>651526</v>
      </c>
      <c r="I40" s="362">
        <f>I32+I38</f>
        <v>573888</v>
      </c>
      <c r="J40" s="362">
        <f>J32+J38</f>
        <v>623376</v>
      </c>
      <c r="K40" s="362">
        <f>K32+K38</f>
        <v>647895</v>
      </c>
      <c r="L40" s="362">
        <f t="shared" ref="L40:W40" si="4">L32+L38</f>
        <v>573053</v>
      </c>
      <c r="M40" s="362">
        <f t="shared" si="4"/>
        <v>506508</v>
      </c>
      <c r="N40" s="362">
        <f t="shared" si="4"/>
        <v>504878</v>
      </c>
      <c r="O40" s="362">
        <f t="shared" si="4"/>
        <v>395848</v>
      </c>
      <c r="P40" s="362">
        <f t="shared" si="4"/>
        <v>321564</v>
      </c>
      <c r="Q40" s="362">
        <f t="shared" si="4"/>
        <v>342293</v>
      </c>
      <c r="R40" s="362">
        <f t="shared" si="4"/>
        <v>368082</v>
      </c>
      <c r="S40" s="362">
        <f t="shared" si="4"/>
        <v>328444</v>
      </c>
      <c r="T40" s="362">
        <f t="shared" si="4"/>
        <v>320712</v>
      </c>
      <c r="U40" s="362">
        <f t="shared" si="4"/>
        <v>243322</v>
      </c>
      <c r="V40" s="362">
        <f t="shared" si="4"/>
        <v>188596</v>
      </c>
      <c r="W40" s="362">
        <f t="shared" si="4"/>
        <v>77876</v>
      </c>
    </row>
    <row r="41" spans="1:23" ht="15" thickTop="1" x14ac:dyDescent="0.2">
      <c r="D41" s="350"/>
      <c r="H41" s="18"/>
      <c r="I41" s="18"/>
      <c r="J41" s="18"/>
      <c r="K41" s="18"/>
      <c r="L41" s="18"/>
      <c r="M41" s="18"/>
      <c r="N41" s="18"/>
      <c r="O41" s="18"/>
      <c r="P41" s="18"/>
      <c r="Q41" s="18"/>
      <c r="R41" s="18"/>
      <c r="S41" s="18"/>
      <c r="T41" s="18"/>
      <c r="U41" s="18"/>
      <c r="V41" s="18"/>
      <c r="W41" s="18"/>
    </row>
    <row r="42" spans="1:23" s="245" customFormat="1" x14ac:dyDescent="0.2">
      <c r="A42" s="421"/>
      <c r="B42" s="421"/>
      <c r="C42" s="421"/>
      <c r="D42" s="421"/>
      <c r="E42" s="421"/>
      <c r="F42" s="421"/>
      <c r="G42" s="275"/>
    </row>
    <row r="43" spans="1:23" s="245" customFormat="1" x14ac:dyDescent="0.2">
      <c r="A43" s="421"/>
      <c r="B43" s="421"/>
      <c r="C43" s="421"/>
      <c r="D43" s="421"/>
      <c r="E43" s="421"/>
      <c r="F43" s="421"/>
      <c r="G43" s="275"/>
    </row>
    <row r="44" spans="1:23" s="245" customFormat="1" x14ac:dyDescent="0.2">
      <c r="A44" s="421"/>
      <c r="B44" s="421"/>
      <c r="C44" s="421"/>
      <c r="D44" s="421"/>
      <c r="E44" s="421"/>
      <c r="F44" s="421"/>
      <c r="G44" s="275"/>
    </row>
    <row r="45" spans="1:23" s="245" customFormat="1" x14ac:dyDescent="0.2">
      <c r="A45" s="421"/>
      <c r="B45" s="421"/>
      <c r="C45" s="421"/>
      <c r="D45" s="421"/>
      <c r="E45" s="421"/>
      <c r="F45" s="421"/>
      <c r="G45" s="275"/>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Notes</vt:lpstr>
      <vt:lpstr>Data</vt:lpstr>
      <vt:lpstr>April 20 Revenues &amp; Expenses</vt:lpstr>
      <vt:lpstr>April'20 AR Aging </vt:lpstr>
      <vt:lpstr>April'20 Financial Position</vt:lpstr>
      <vt:lpstr>April'20 State of Activities</vt:lpstr>
      <vt:lpstr>April'20 Transportation</vt:lpstr>
      <vt:lpstr>Transportation Projections</vt:lpstr>
      <vt:lpstr>2019 Budget</vt:lpstr>
      <vt:lpstr>2017 Medicaid Revenue</vt:lpstr>
      <vt:lpstr>Budget</vt:lpstr>
      <vt:lpstr>YE Historic Data</vt:lpstr>
      <vt:lpstr>'2017 Medicaid Revenue'!Print_Area</vt:lpstr>
      <vt:lpstr>'April 20 Revenues &amp; Expenses'!Print_Area</vt:lpstr>
      <vt:lpstr>'April''20 AR Aging '!Print_Area</vt:lpstr>
      <vt:lpstr>'April''20 Financial Position'!Print_Area</vt:lpstr>
      <vt:lpstr>'April''20 State of Activities'!Print_Area</vt:lpstr>
      <vt:lpstr>'April''20 Transportation'!Print_Area</vt:lpstr>
      <vt:lpstr>Budget!Print_Area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Ashling Kelly</cp:lastModifiedBy>
  <cp:lastPrinted>2020-06-02T17:44:13Z</cp:lastPrinted>
  <dcterms:created xsi:type="dcterms:W3CDTF">2011-11-03T17:20:29Z</dcterms:created>
  <dcterms:modified xsi:type="dcterms:W3CDTF">2020-06-02T17:53:05Z</dcterms:modified>
</cp:coreProperties>
</file>