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udit &amp; Finanace Committe\"/>
    </mc:Choice>
  </mc:AlternateContent>
  <bookViews>
    <workbookView xWindow="90" yWindow="27420" windowWidth="14955" windowHeight="9060" tabRatio="787"/>
  </bookViews>
  <sheets>
    <sheet name="Notes" sheetId="15" r:id="rId1"/>
    <sheet name="Data" sheetId="19" state="hidden" r:id="rId2"/>
    <sheet name="June'17 Revenues &amp; Expenses" sheetId="3" r:id="rId3"/>
    <sheet name="June'17 AR Aging " sheetId="6" r:id="rId4"/>
    <sheet name="Jun'17 Financial Position" sheetId="5" r:id="rId5"/>
    <sheet name="Jun'17 State of Activities" sheetId="12" r:id="rId6"/>
    <sheet name="Jun'17 Transportation" sheetId="18" r:id="rId7"/>
    <sheet name="Budget" sheetId="20" state="hidden" r:id="rId8"/>
    <sheet name="YE Historic Data" sheetId="17" state="hidden" r:id="rId9"/>
  </sheets>
  <definedNames>
    <definedName name="_xlnm.Print_Area" localSheetId="7">Budget!$A$1:$G$54</definedName>
    <definedName name="_xlnm.Print_Area" localSheetId="4">'Jun''17 Financial Position'!$A$1:$N$67</definedName>
    <definedName name="_xlnm.Print_Area" localSheetId="5">'Jun''17 State of Activities'!$A$1:$O$71</definedName>
    <definedName name="_xlnm.Print_Area" localSheetId="6">'Jun''17 Transportation'!$A$1:$R$50</definedName>
    <definedName name="_xlnm.Print_Area" localSheetId="3">'June''17 AR Aging '!$A$1:$G$102</definedName>
    <definedName name="_xlnm.Print_Area" localSheetId="2">'June''17 Revenues &amp; Expenses'!$A$1:$L$62</definedName>
    <definedName name="_xlnm.Print_Area" localSheetId="0">Notes!$A$23:$H$97</definedName>
    <definedName name="_xlnm.Print_Area" localSheetId="8">'YE Historic Data'!$A$1:$W$41</definedName>
    <definedName name="_xlnm.Print_Titles" localSheetId="0">Notes!$1:$3</definedName>
  </definedNames>
  <calcPr calcId="152511"/>
</workbook>
</file>

<file path=xl/calcChain.xml><?xml version="1.0" encoding="utf-8"?>
<calcChain xmlns="http://schemas.openxmlformats.org/spreadsheetml/2006/main">
  <c r="H22" i="5" l="1"/>
  <c r="H42" i="5"/>
  <c r="E61" i="15"/>
  <c r="E69" i="15"/>
  <c r="E66" i="15"/>
  <c r="H21" i="5"/>
  <c r="E190" i="19" l="1"/>
  <c r="E196" i="19"/>
  <c r="B409" i="19"/>
  <c r="B408" i="19"/>
  <c r="G58" i="15"/>
  <c r="G53" i="15"/>
  <c r="H31" i="5"/>
  <c r="G49" i="12"/>
  <c r="M19" i="12"/>
  <c r="M10" i="18"/>
  <c r="M39" i="18"/>
  <c r="M26" i="18"/>
  <c r="M37" i="18"/>
  <c r="J34" i="18"/>
  <c r="M34" i="18"/>
  <c r="M13" i="18"/>
  <c r="M12" i="18"/>
  <c r="J39" i="18"/>
  <c r="J26" i="18"/>
  <c r="J10" i="18"/>
  <c r="J41" i="18"/>
  <c r="J40" i="18"/>
  <c r="J38" i="18"/>
  <c r="J36" i="18"/>
  <c r="J30" i="18"/>
  <c r="J19" i="18"/>
  <c r="J13" i="18"/>
  <c r="J12" i="18"/>
  <c r="J63" i="12"/>
  <c r="J53" i="12"/>
  <c r="J50" i="12"/>
  <c r="J47" i="12"/>
  <c r="J40" i="12"/>
  <c r="J34" i="12"/>
  <c r="J26" i="12"/>
  <c r="L50" i="5"/>
  <c r="L42" i="5"/>
  <c r="G52" i="12"/>
  <c r="G45" i="12"/>
  <c r="L22" i="5"/>
  <c r="H59" i="5"/>
  <c r="G53" i="12"/>
  <c r="G50" i="12"/>
  <c r="G47" i="12"/>
  <c r="G46" i="12"/>
  <c r="G40" i="12"/>
  <c r="G34" i="12"/>
  <c r="G24" i="12"/>
  <c r="G8" i="12"/>
  <c r="H50" i="5"/>
  <c r="J52" i="3" l="1"/>
  <c r="J51" i="3"/>
  <c r="J9" i="3"/>
  <c r="J11" i="3"/>
  <c r="I11" i="3"/>
  <c r="H11" i="3"/>
  <c r="I23" i="3" l="1"/>
  <c r="H16" i="3"/>
  <c r="C13" i="6"/>
  <c r="C71" i="6"/>
  <c r="D41" i="6"/>
  <c r="C53" i="6"/>
  <c r="C41" i="6"/>
  <c r="D13" i="6"/>
  <c r="C39" i="15" l="1"/>
  <c r="F91" i="15"/>
  <c r="F90" i="15"/>
  <c r="F78" i="15"/>
  <c r="G83" i="15"/>
  <c r="E70" i="15"/>
  <c r="E30" i="15"/>
  <c r="D37" i="15"/>
  <c r="G37" i="15" s="1"/>
  <c r="D36" i="15"/>
  <c r="G36" i="15" s="1"/>
  <c r="D35" i="15"/>
  <c r="G35" i="15" s="1"/>
  <c r="D34" i="15"/>
  <c r="D33" i="15"/>
  <c r="G33" i="15" s="1"/>
  <c r="D32" i="15"/>
  <c r="G32" i="15" s="1"/>
  <c r="D30" i="15" l="1"/>
  <c r="G34" i="15"/>
  <c r="B323" i="19" l="1"/>
  <c r="M27" i="18" l="1"/>
  <c r="M45" i="18" s="1"/>
  <c r="M49" i="18"/>
  <c r="K21" i="18"/>
  <c r="K46" i="18" s="1"/>
  <c r="K18" i="18"/>
  <c r="Q20" i="18"/>
  <c r="M19" i="18"/>
  <c r="Q19" i="18"/>
  <c r="M14" i="18"/>
  <c r="J15" i="18"/>
  <c r="Q15" i="18" s="1"/>
  <c r="Q41" i="18"/>
  <c r="Q40" i="18"/>
  <c r="Q39" i="18"/>
  <c r="Q48" i="18"/>
  <c r="Q44" i="18"/>
  <c r="Q43" i="18"/>
  <c r="Q42" i="18"/>
  <c r="Q38" i="18"/>
  <c r="Q37" i="18"/>
  <c r="Q36" i="18"/>
  <c r="Q35" i="18"/>
  <c r="Q34" i="18"/>
  <c r="Q33" i="18"/>
  <c r="Q32" i="18"/>
  <c r="Q31" i="18"/>
  <c r="Q30" i="18"/>
  <c r="Q29" i="18"/>
  <c r="Q28" i="18"/>
  <c r="Q26" i="18"/>
  <c r="Q25" i="18"/>
  <c r="Q16" i="18"/>
  <c r="Q13" i="18"/>
  <c r="Q12" i="18"/>
  <c r="Q10" i="18"/>
  <c r="M17" i="18"/>
  <c r="J17" i="18"/>
  <c r="Q17" i="18" l="1"/>
  <c r="M9" i="18"/>
  <c r="M18" i="18" s="1"/>
  <c r="M21" i="18" s="1"/>
  <c r="M46" i="18" s="1"/>
  <c r="M50" i="18" s="1"/>
  <c r="J9" i="18"/>
  <c r="J8" i="18"/>
  <c r="A4" i="18"/>
  <c r="A3" i="18"/>
  <c r="J27" i="18"/>
  <c r="Q27" i="18" s="1"/>
  <c r="J49" i="18"/>
  <c r="Q49" i="18" s="1"/>
  <c r="J46" i="12"/>
  <c r="Q9" i="18" l="1"/>
  <c r="J45" i="18"/>
  <c r="Q45" i="18" s="1"/>
  <c r="E32" i="6"/>
  <c r="J8" i="12" l="1"/>
  <c r="M8" i="18" s="1"/>
  <c r="R26" i="18"/>
  <c r="R25" i="18"/>
  <c r="R39" i="18"/>
  <c r="R19" i="18"/>
  <c r="R44" i="18"/>
  <c r="R43" i="18"/>
  <c r="R42" i="18"/>
  <c r="R41" i="18"/>
  <c r="R40" i="18"/>
  <c r="R38" i="18"/>
  <c r="R37" i="18"/>
  <c r="R36" i="18"/>
  <c r="R35" i="18"/>
  <c r="R34" i="18"/>
  <c r="R33" i="18"/>
  <c r="R32" i="18"/>
  <c r="R31" i="18"/>
  <c r="R30" i="18"/>
  <c r="R29" i="18"/>
  <c r="R20" i="18"/>
  <c r="R15" i="18"/>
  <c r="R13" i="18"/>
  <c r="R12" i="18"/>
  <c r="R10" i="18"/>
  <c r="R9" i="18" l="1"/>
  <c r="R27" i="18" l="1"/>
  <c r="R45" i="18" l="1"/>
  <c r="M61" i="12" l="1"/>
  <c r="L28" i="12"/>
  <c r="M28" i="12" s="1"/>
  <c r="M46" i="12"/>
  <c r="M62" i="12"/>
  <c r="H67" i="12"/>
  <c r="L53" i="12"/>
  <c r="M53" i="12" s="1"/>
  <c r="L52" i="12"/>
  <c r="M52" i="12" s="1"/>
  <c r="L51" i="12"/>
  <c r="L50" i="12"/>
  <c r="M50" i="12" s="1"/>
  <c r="L49" i="12"/>
  <c r="M49" i="12" s="1"/>
  <c r="L48" i="12"/>
  <c r="M48" i="12" s="1"/>
  <c r="L47" i="12"/>
  <c r="M47" i="12" s="1"/>
  <c r="L46" i="12"/>
  <c r="L45" i="12"/>
  <c r="M45" i="12" s="1"/>
  <c r="L44" i="12"/>
  <c r="M44" i="12" s="1"/>
  <c r="L43" i="12"/>
  <c r="M43" i="12" s="1"/>
  <c r="L42" i="12"/>
  <c r="M42" i="12" s="1"/>
  <c r="L41" i="12"/>
  <c r="M41" i="12" s="1"/>
  <c r="L40" i="12"/>
  <c r="M40" i="12" s="1"/>
  <c r="L39" i="12"/>
  <c r="M39" i="12" s="1"/>
  <c r="L38" i="12"/>
  <c r="M38" i="12" s="1"/>
  <c r="L37" i="12"/>
  <c r="M37" i="12" s="1"/>
  <c r="L36" i="12"/>
  <c r="M36" i="12" s="1"/>
  <c r="L33" i="12"/>
  <c r="M33" i="12" s="1"/>
  <c r="L32" i="12"/>
  <c r="M32" i="12" s="1"/>
  <c r="M25" i="12"/>
  <c r="L24" i="12"/>
  <c r="M24" i="12" s="1"/>
  <c r="L23" i="12"/>
  <c r="M23" i="12" s="1"/>
  <c r="L22" i="12"/>
  <c r="L21" i="12"/>
  <c r="M21" i="12" s="1"/>
  <c r="L20" i="12"/>
  <c r="M20" i="12" s="1"/>
  <c r="L19" i="12"/>
  <c r="L17" i="12"/>
  <c r="L16" i="12"/>
  <c r="M16" i="12" s="1"/>
  <c r="L15" i="12"/>
  <c r="M15" i="12" s="1"/>
  <c r="L14" i="12"/>
  <c r="M14" i="12" s="1"/>
  <c r="L13" i="12"/>
  <c r="L12" i="12"/>
  <c r="M12" i="12" s="1"/>
  <c r="L11" i="12"/>
  <c r="M11" i="12" s="1"/>
  <c r="L10" i="12"/>
  <c r="L9" i="12"/>
  <c r="M9" i="12" s="1"/>
  <c r="J62" i="12"/>
  <c r="J61" i="12"/>
  <c r="G63" i="12"/>
  <c r="G35" i="12"/>
  <c r="G55" i="12" s="1"/>
  <c r="G18" i="12"/>
  <c r="H63" i="12"/>
  <c r="H50" i="12"/>
  <c r="H40" i="12"/>
  <c r="H34" i="12"/>
  <c r="H11" i="12"/>
  <c r="H24" i="12"/>
  <c r="H53" i="12"/>
  <c r="H47" i="12"/>
  <c r="H46" i="12"/>
  <c r="H35" i="12"/>
  <c r="H21" i="12"/>
  <c r="H17" i="12"/>
  <c r="J61" i="5"/>
  <c r="J59" i="5" s="1"/>
  <c r="J19" i="5"/>
  <c r="L18" i="12" l="1"/>
  <c r="M18" i="12" s="1"/>
  <c r="J14" i="18"/>
  <c r="L59" i="5"/>
  <c r="H27" i="12"/>
  <c r="H29" i="12" s="1"/>
  <c r="J50" i="5"/>
  <c r="J46" i="5"/>
  <c r="J42" i="5"/>
  <c r="K56" i="3"/>
  <c r="K55" i="3"/>
  <c r="K52" i="3"/>
  <c r="K51" i="3"/>
  <c r="I40" i="3"/>
  <c r="K40" i="3" s="1"/>
  <c r="G37" i="3"/>
  <c r="I41" i="3"/>
  <c r="I36" i="3"/>
  <c r="Q14" i="18" l="1"/>
  <c r="J18" i="18"/>
  <c r="J21" i="18" s="1"/>
  <c r="J24" i="3"/>
  <c r="Q21" i="18" l="1"/>
  <c r="R21" i="18" s="1"/>
  <c r="J46" i="18"/>
  <c r="R14" i="18"/>
  <c r="Q18" i="18"/>
  <c r="R18" i="18" s="1"/>
  <c r="C83" i="6"/>
  <c r="G45" i="6"/>
  <c r="H24" i="3" s="1"/>
  <c r="G24" i="3" s="1"/>
  <c r="J50" i="18" l="1"/>
  <c r="Q50" i="18" s="1"/>
  <c r="Q46" i="18"/>
  <c r="R46" i="18" s="1"/>
  <c r="G14" i="20"/>
  <c r="G46" i="20"/>
  <c r="G49" i="20"/>
  <c r="G48" i="20"/>
  <c r="G43" i="20"/>
  <c r="G41" i="20"/>
  <c r="G40" i="20"/>
  <c r="G28" i="20"/>
  <c r="G29" i="20" s="1"/>
  <c r="G24" i="20"/>
  <c r="G19" i="20"/>
  <c r="G31" i="20"/>
  <c r="G30" i="20"/>
  <c r="F95" i="15"/>
  <c r="G23" i="20" l="1"/>
  <c r="G25" i="20" s="1"/>
  <c r="G51" i="20"/>
  <c r="G53" i="20" l="1"/>
  <c r="L54" i="12" l="1"/>
  <c r="J31" i="5"/>
  <c r="J22" i="5"/>
  <c r="L52" i="3"/>
  <c r="F52" i="3"/>
  <c r="L51" i="3"/>
  <c r="H51" i="3"/>
  <c r="D32" i="6" l="1"/>
  <c r="G30" i="15" l="1"/>
  <c r="G39" i="15" s="1"/>
  <c r="H39" i="15" s="1"/>
  <c r="A132" i="19"/>
  <c r="A137" i="19" s="1"/>
  <c r="A142" i="19" s="1"/>
  <c r="A147" i="19" s="1"/>
  <c r="A152" i="19" s="1"/>
  <c r="A157" i="19" s="1"/>
  <c r="A162" i="19" s="1"/>
  <c r="A167" i="19" s="1"/>
  <c r="A172" i="19" s="1"/>
  <c r="A177" i="19" s="1"/>
  <c r="A182" i="19" s="1"/>
  <c r="A187" i="19" s="1"/>
  <c r="A192" i="19" s="1"/>
  <c r="A197" i="19" s="1"/>
  <c r="A202" i="19" s="1"/>
  <c r="A207" i="19" s="1"/>
  <c r="A212" i="19" s="1"/>
  <c r="A217" i="19" s="1"/>
  <c r="A222" i="19" s="1"/>
  <c r="A227" i="19" s="1"/>
  <c r="A232" i="19" s="1"/>
  <c r="A237" i="19" s="1"/>
  <c r="A242" i="19" s="1"/>
  <c r="A247" i="19" s="1"/>
  <c r="A252" i="19" s="1"/>
  <c r="A257" i="19" s="1"/>
  <c r="A262" i="19" s="1"/>
  <c r="A131" i="19"/>
  <c r="A136" i="19" s="1"/>
  <c r="A141" i="19" s="1"/>
  <c r="A146" i="19" s="1"/>
  <c r="A151" i="19" s="1"/>
  <c r="A156" i="19" s="1"/>
  <c r="A161" i="19" s="1"/>
  <c r="A166" i="19" s="1"/>
  <c r="A171" i="19" s="1"/>
  <c r="A176" i="19" s="1"/>
  <c r="A181" i="19" s="1"/>
  <c r="A186" i="19" s="1"/>
  <c r="A191" i="19" s="1"/>
  <c r="A196" i="19" s="1"/>
  <c r="A201" i="19" s="1"/>
  <c r="A206" i="19" s="1"/>
  <c r="A211" i="19" s="1"/>
  <c r="A216" i="19" s="1"/>
  <c r="A221" i="19" s="1"/>
  <c r="A226" i="19" s="1"/>
  <c r="A231" i="19" s="1"/>
  <c r="A236" i="19" s="1"/>
  <c r="A241" i="19" s="1"/>
  <c r="A246" i="19" s="1"/>
  <c r="A251" i="19" s="1"/>
  <c r="A256" i="19" s="1"/>
  <c r="A261" i="19" s="1"/>
  <c r="A130" i="19"/>
  <c r="A135" i="19" s="1"/>
  <c r="A140" i="19" s="1"/>
  <c r="A145" i="19" s="1"/>
  <c r="A150" i="19" s="1"/>
  <c r="A155" i="19" s="1"/>
  <c r="A160" i="19" s="1"/>
  <c r="A165" i="19" s="1"/>
  <c r="A170" i="19" s="1"/>
  <c r="A175" i="19" s="1"/>
  <c r="A180" i="19" s="1"/>
  <c r="A185" i="19" s="1"/>
  <c r="A190" i="19" s="1"/>
  <c r="A195" i="19" s="1"/>
  <c r="A200" i="19" s="1"/>
  <c r="A205" i="19" s="1"/>
  <c r="A210" i="19" s="1"/>
  <c r="A215" i="19" s="1"/>
  <c r="A220" i="19" s="1"/>
  <c r="A225" i="19" s="1"/>
  <c r="A230" i="19" s="1"/>
  <c r="A235" i="19" s="1"/>
  <c r="A240" i="19" s="1"/>
  <c r="A245" i="19" s="1"/>
  <c r="A250" i="19" s="1"/>
  <c r="A255" i="19" s="1"/>
  <c r="A260" i="19" s="1"/>
  <c r="A128" i="19"/>
  <c r="A133" i="19" s="1"/>
  <c r="A138" i="19" s="1"/>
  <c r="A143" i="19" s="1"/>
  <c r="A148" i="19" s="1"/>
  <c r="A153" i="19" s="1"/>
  <c r="A158" i="19" s="1"/>
  <c r="A163" i="19" s="1"/>
  <c r="A168" i="19" s="1"/>
  <c r="A173" i="19" s="1"/>
  <c r="A178" i="19" s="1"/>
  <c r="A183" i="19" s="1"/>
  <c r="A188" i="19" s="1"/>
  <c r="A193" i="19" s="1"/>
  <c r="A198" i="19" s="1"/>
  <c r="A203" i="19" s="1"/>
  <c r="A208" i="19" s="1"/>
  <c r="A213" i="19" s="1"/>
  <c r="A218" i="19" s="1"/>
  <c r="A223" i="19" s="1"/>
  <c r="A228" i="19" s="1"/>
  <c r="A233" i="19" s="1"/>
  <c r="A238" i="19" s="1"/>
  <c r="A243" i="19" s="1"/>
  <c r="A248" i="19" s="1"/>
  <c r="A253" i="19" s="1"/>
  <c r="A258" i="19" s="1"/>
  <c r="A263" i="19" s="1"/>
  <c r="B105" i="19"/>
  <c r="B101" i="19"/>
  <c r="B97" i="19"/>
  <c r="B94" i="19"/>
  <c r="B89" i="19"/>
  <c r="B86" i="19"/>
  <c r="B76" i="19"/>
  <c r="B74" i="19"/>
  <c r="B71" i="19"/>
  <c r="B69" i="19"/>
  <c r="B67" i="19"/>
  <c r="B65" i="19"/>
  <c r="B52" i="19"/>
  <c r="B50" i="19"/>
  <c r="B46" i="19"/>
  <c r="B47" i="19" s="1"/>
  <c r="B42" i="19"/>
  <c r="B39" i="19"/>
  <c r="B40" i="19" s="1"/>
  <c r="B35" i="19"/>
  <c r="B36" i="19" s="1"/>
  <c r="B32" i="19"/>
  <c r="B27" i="19"/>
  <c r="B22" i="19"/>
  <c r="B19" i="19"/>
  <c r="B16" i="19"/>
  <c r="B15" i="19"/>
  <c r="B12" i="19"/>
  <c r="B9" i="19"/>
  <c r="B7" i="19"/>
  <c r="A129" i="19" l="1"/>
  <c r="A134" i="19" s="1"/>
  <c r="A139" i="19" s="1"/>
  <c r="A144" i="19" s="1"/>
  <c r="A149" i="19" s="1"/>
  <c r="A154" i="19" s="1"/>
  <c r="A159" i="19" s="1"/>
  <c r="A164" i="19" s="1"/>
  <c r="A169" i="19" s="1"/>
  <c r="A174" i="19" s="1"/>
  <c r="A179" i="19" s="1"/>
  <c r="A184" i="19" s="1"/>
  <c r="A189" i="19" s="1"/>
  <c r="A194" i="19" s="1"/>
  <c r="A199" i="19" s="1"/>
  <c r="A204" i="19" s="1"/>
  <c r="A209" i="19" s="1"/>
  <c r="A214" i="19" s="1"/>
  <c r="A219" i="19" s="1"/>
  <c r="A224" i="19" s="1"/>
  <c r="A229" i="19" s="1"/>
  <c r="A234" i="19" s="1"/>
  <c r="A239" i="19" s="1"/>
  <c r="A244" i="19" s="1"/>
  <c r="A249" i="19" s="1"/>
  <c r="A254" i="19" s="1"/>
  <c r="A259" i="19" s="1"/>
  <c r="A264" i="19" s="1"/>
  <c r="N50" i="5" l="1"/>
  <c r="N42" i="5"/>
  <c r="N31" i="5"/>
  <c r="N22" i="5"/>
  <c r="F23" i="3"/>
  <c r="J25" i="3" l="1"/>
  <c r="J23" i="3" l="1"/>
  <c r="G47" i="6"/>
  <c r="D49" i="6"/>
  <c r="F83" i="15" l="1"/>
  <c r="J10" i="3" l="1"/>
  <c r="B85" i="15" l="1"/>
  <c r="D86" i="15"/>
  <c r="E85" i="15"/>
  <c r="E86" i="15" s="1"/>
  <c r="G84" i="15"/>
  <c r="F84" i="15" s="1"/>
  <c r="G79" i="15"/>
  <c r="F77" i="15"/>
  <c r="I37" i="3"/>
  <c r="F94" i="15"/>
  <c r="G85" i="15" l="1"/>
  <c r="G86" i="15"/>
  <c r="G56" i="6" l="1"/>
  <c r="C49" i="6"/>
  <c r="C42" i="6"/>
  <c r="D23" i="6"/>
  <c r="C23" i="6"/>
  <c r="G17" i="6"/>
  <c r="G18" i="6" l="1"/>
  <c r="F93" i="15"/>
  <c r="F92" i="15"/>
  <c r="D97" i="15"/>
  <c r="G96" i="15"/>
  <c r="G95" i="15"/>
  <c r="G94" i="15"/>
  <c r="L26" i="12" l="1"/>
  <c r="M26" i="12" s="1"/>
  <c r="L61" i="12"/>
  <c r="L25" i="12"/>
  <c r="H55" i="12" l="1"/>
  <c r="N8" i="5"/>
  <c r="G91" i="15"/>
  <c r="F81" i="15"/>
  <c r="F86" i="15" s="1"/>
  <c r="K38" i="3"/>
  <c r="E92" i="15" l="1"/>
  <c r="F97" i="15"/>
  <c r="G90" i="15"/>
  <c r="G92" i="15" l="1"/>
  <c r="N59" i="5"/>
  <c r="G60" i="6" l="1"/>
  <c r="I51" i="3" s="1"/>
  <c r="K37" i="3" l="1"/>
  <c r="G13" i="6" l="1"/>
  <c r="H10" i="3" s="1"/>
  <c r="G10" i="3" s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G40" i="17" l="1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L62" i="12" l="1"/>
  <c r="G21" i="6"/>
  <c r="H15" i="3" s="1"/>
  <c r="J15" i="3" l="1"/>
  <c r="G15" i="3"/>
  <c r="G64" i="12"/>
  <c r="L54" i="5" l="1"/>
  <c r="L47" i="5"/>
  <c r="L30" i="5"/>
  <c r="L16" i="5"/>
  <c r="K60" i="3"/>
  <c r="K36" i="3"/>
  <c r="G41" i="6" l="1"/>
  <c r="E16" i="15" l="1"/>
  <c r="J64" i="3"/>
  <c r="G46" i="6" l="1"/>
  <c r="H26" i="3" s="1"/>
  <c r="J26" i="3" l="1"/>
  <c r="G64" i="3"/>
  <c r="G26" i="3" l="1"/>
  <c r="N54" i="5"/>
  <c r="N47" i="5"/>
  <c r="N32" i="5"/>
  <c r="N23" i="5"/>
  <c r="N16" i="5"/>
  <c r="L56" i="5"/>
  <c r="L32" i="5"/>
  <c r="L23" i="5"/>
  <c r="L25" i="5" s="1"/>
  <c r="J54" i="5"/>
  <c r="H54" i="5"/>
  <c r="J32" i="5"/>
  <c r="H32" i="5"/>
  <c r="J16" i="5"/>
  <c r="H16" i="5"/>
  <c r="L67" i="5" l="1"/>
  <c r="N25" i="5"/>
  <c r="N35" i="5" s="1"/>
  <c r="N56" i="5"/>
  <c r="N67" i="5" s="1"/>
  <c r="L35" i="5"/>
  <c r="G27" i="12" l="1"/>
  <c r="D180" i="6" l="1"/>
  <c r="D181" i="6"/>
  <c r="D182" i="6"/>
  <c r="J64" i="12" l="1"/>
  <c r="L64" i="12" s="1"/>
  <c r="M64" i="12" s="1"/>
  <c r="M18" i="3"/>
  <c r="N18" i="3" s="1"/>
  <c r="M17" i="3"/>
  <c r="N17" i="3" s="1"/>
  <c r="F180" i="6" l="1"/>
  <c r="G31" i="6" l="1"/>
  <c r="H21" i="3" s="1"/>
  <c r="G21" i="3" s="1"/>
  <c r="G58" i="6"/>
  <c r="E18" i="15" s="1"/>
  <c r="G49" i="6"/>
  <c r="G48" i="6"/>
  <c r="H25" i="3" l="1"/>
  <c r="G25" i="3" s="1"/>
  <c r="H28" i="3"/>
  <c r="J28" i="3" l="1"/>
  <c r="F41" i="3"/>
  <c r="G28" i="3" l="1"/>
  <c r="N184" i="6"/>
  <c r="M184" i="6"/>
  <c r="L184" i="6"/>
  <c r="K184" i="6"/>
  <c r="J184" i="6"/>
  <c r="I184" i="6"/>
  <c r="H184" i="6"/>
  <c r="G184" i="6"/>
  <c r="C54" i="6" l="1"/>
  <c r="F27" i="6"/>
  <c r="F62" i="6" s="1"/>
  <c r="G30" i="6"/>
  <c r="H20" i="3" s="1"/>
  <c r="C32" i="6"/>
  <c r="C183" i="6" l="1"/>
  <c r="D42" i="6" l="1"/>
  <c r="G52" i="6"/>
  <c r="G53" i="6"/>
  <c r="G54" i="6" l="1"/>
  <c r="H27" i="3" l="1"/>
  <c r="J27" i="3" l="1"/>
  <c r="G20" i="6"/>
  <c r="G19" i="6"/>
  <c r="H13" i="3" s="1"/>
  <c r="G40" i="6"/>
  <c r="J67" i="3" s="1"/>
  <c r="D14" i="6"/>
  <c r="D62" i="6" s="1"/>
  <c r="C14" i="6"/>
  <c r="G12" i="6"/>
  <c r="G6" i="6"/>
  <c r="G27" i="3" l="1"/>
  <c r="G13" i="3"/>
  <c r="J13" i="3"/>
  <c r="J35" i="12"/>
  <c r="J27" i="12"/>
  <c r="L27" i="12" s="1"/>
  <c r="L34" i="12" l="1"/>
  <c r="L35" i="12"/>
  <c r="M35" i="12" s="1"/>
  <c r="M27" i="12"/>
  <c r="L29" i="12"/>
  <c r="J55" i="12"/>
  <c r="J29" i="12"/>
  <c r="J65" i="12"/>
  <c r="M34" i="12" l="1"/>
  <c r="L55" i="12"/>
  <c r="M55" i="12" s="1"/>
  <c r="M29" i="12"/>
  <c r="J57" i="12"/>
  <c r="L61" i="5" s="1"/>
  <c r="J67" i="12" l="1"/>
  <c r="N61" i="5"/>
  <c r="J21" i="3"/>
  <c r="I34" i="3" l="1"/>
  <c r="K34" i="3" s="1"/>
  <c r="K43" i="3" s="1"/>
  <c r="I64" i="3" l="1"/>
  <c r="H64" i="12"/>
  <c r="K29" i="3"/>
  <c r="L43" i="3" s="1"/>
  <c r="H46" i="5" s="1"/>
  <c r="H47" i="5" s="1"/>
  <c r="H56" i="5" s="1"/>
  <c r="H65" i="12" l="1"/>
  <c r="G29" i="12"/>
  <c r="G57" i="12" s="1"/>
  <c r="H61" i="5" s="1"/>
  <c r="C8" i="6"/>
  <c r="C62" i="6" s="1"/>
  <c r="H57" i="12" l="1"/>
  <c r="J41" i="3"/>
  <c r="J69" i="12" l="1"/>
  <c r="N62" i="5"/>
  <c r="N64" i="5" s="1"/>
  <c r="L62" i="5"/>
  <c r="L57" i="12"/>
  <c r="M57" i="12" s="1"/>
  <c r="G69" i="12" l="1"/>
  <c r="L64" i="5"/>
  <c r="J70" i="12"/>
  <c r="E62" i="6"/>
  <c r="C182" i="6" s="1"/>
  <c r="G7" i="6"/>
  <c r="H8" i="3" s="1"/>
  <c r="I8" i="3" s="1"/>
  <c r="J8" i="3" s="1"/>
  <c r="G22" i="6"/>
  <c r="D18" i="3"/>
  <c r="C18" i="3"/>
  <c r="G8" i="3" l="1"/>
  <c r="G16" i="3"/>
  <c r="G23" i="6"/>
  <c r="E15" i="15" s="1"/>
  <c r="C181" i="6"/>
  <c r="G8" i="6"/>
  <c r="G39" i="6"/>
  <c r="G32" i="6"/>
  <c r="E13" i="15" s="1"/>
  <c r="G11" i="6"/>
  <c r="H23" i="3" l="1"/>
  <c r="G23" i="3" s="1"/>
  <c r="E17" i="15"/>
  <c r="I29" i="3"/>
  <c r="E12" i="15"/>
  <c r="H64" i="3"/>
  <c r="K64" i="3" s="1"/>
  <c r="C180" i="6"/>
  <c r="C184" i="6" s="1"/>
  <c r="D184" i="6"/>
  <c r="J16" i="3"/>
  <c r="G14" i="6"/>
  <c r="E14" i="15" s="1"/>
  <c r="G27" i="6"/>
  <c r="G42" i="6"/>
  <c r="H29" i="3" l="1"/>
  <c r="E19" i="15"/>
  <c r="G62" i="6"/>
  <c r="H19" i="5" s="1"/>
  <c r="F184" i="6"/>
  <c r="H43" i="3"/>
  <c r="C85" i="6" l="1"/>
  <c r="G29" i="3"/>
  <c r="J69" i="3"/>
  <c r="H67" i="5" l="1"/>
  <c r="H23" i="5"/>
  <c r="H25" i="5" s="1"/>
  <c r="H35" i="5" s="1"/>
  <c r="J23" i="5"/>
  <c r="J25" i="5" s="1"/>
  <c r="J35" i="5" s="1"/>
  <c r="M60" i="3"/>
  <c r="I60" i="3"/>
  <c r="J68" i="3" s="1"/>
  <c r="J70" i="3" s="1"/>
  <c r="J60" i="3"/>
  <c r="G60" i="3"/>
  <c r="F60" i="3"/>
  <c r="L57" i="3"/>
  <c r="L55" i="3"/>
  <c r="L54" i="3"/>
  <c r="F43" i="3"/>
  <c r="G43" i="3"/>
  <c r="J43" i="3"/>
  <c r="J29" i="3"/>
  <c r="J47" i="5" l="1"/>
  <c r="J56" i="5" s="1"/>
  <c r="J67" i="5" s="1"/>
  <c r="I43" i="3"/>
  <c r="L56" i="3" l="1"/>
  <c r="L60" i="3" l="1"/>
  <c r="L62" i="3" s="1"/>
  <c r="H60" i="3"/>
  <c r="L63" i="12"/>
  <c r="M63" i="12" s="1"/>
  <c r="G65" i="12"/>
  <c r="E93" i="15"/>
  <c r="J62" i="5" l="1"/>
  <c r="J64" i="5" s="1"/>
  <c r="J70" i="5" s="1"/>
  <c r="H60" i="5"/>
  <c r="H62" i="5" s="1"/>
  <c r="H64" i="5" s="1"/>
  <c r="H70" i="5" s="1"/>
  <c r="G67" i="12"/>
  <c r="G70" i="12" s="1"/>
  <c r="L65" i="12"/>
  <c r="M65" i="12" s="1"/>
  <c r="E97" i="15"/>
  <c r="G93" i="15"/>
  <c r="G97" i="15" s="1"/>
  <c r="L67" i="12" l="1"/>
  <c r="F39" i="15"/>
</calcChain>
</file>

<file path=xl/comments1.xml><?xml version="1.0" encoding="utf-8"?>
<comments xmlns="http://schemas.openxmlformats.org/spreadsheetml/2006/main">
  <authors>
    <author>John Ray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85100+85200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85300+81150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85100+85200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85300+81150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<sst xmlns="http://schemas.openxmlformats.org/spreadsheetml/2006/main" count="617" uniqueCount="450">
  <si>
    <t>Columbia County Community Healthcare Consortium, Inc.</t>
  </si>
  <si>
    <t>Grant No.</t>
  </si>
  <si>
    <t>Start Date</t>
  </si>
  <si>
    <t>End Date</t>
  </si>
  <si>
    <t>Deferred Revenue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</si>
  <si>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</si>
  <si>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</si>
  <si>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</si>
  <si>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</si>
  <si>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</si>
  <si>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</si>
  <si>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</si>
  <si>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</si>
  <si>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</si>
  <si>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</si>
  <si>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</si>
  <si>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Funder</t>
  </si>
  <si>
    <t>NYSDOH</t>
  </si>
  <si>
    <t xml:space="preserve">NYSDOH </t>
  </si>
  <si>
    <t>Transportation Services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</si>
  <si>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</si>
  <si>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</si>
  <si>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</si>
  <si>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</si>
  <si>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</si>
  <si>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</si>
  <si>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</si>
  <si>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</si>
  <si>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</si>
  <si>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</si>
  <si>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</si>
  <si>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</si>
  <si>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</si>
  <si>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</si>
  <si>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</si>
  <si>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</si>
  <si>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</si>
  <si>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</si>
  <si>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</si>
  <si>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</si>
  <si>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</si>
  <si>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</si>
  <si>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</si>
  <si>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</si>
  <si>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</si>
  <si>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</si>
  <si>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</si>
  <si>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Private Donor</t>
  </si>
  <si>
    <t>Actual Expenses FYTD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</si>
  <si>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</si>
  <si>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</si>
  <si>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</si>
  <si>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</si>
  <si>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</si>
  <si>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</si>
  <si>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</si>
  <si>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</si>
  <si>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</si>
  <si>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</si>
  <si>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</si>
  <si>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</si>
  <si>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</si>
  <si>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</si>
  <si>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</si>
  <si>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</si>
  <si>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</si>
  <si>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</si>
  <si>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</si>
  <si>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</si>
  <si>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</si>
  <si>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</si>
  <si>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</si>
  <si>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</si>
  <si>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</si>
  <si>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</si>
  <si>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</si>
  <si>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</si>
  <si>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</si>
  <si>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</si>
  <si>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</si>
  <si>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</si>
  <si>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</si>
  <si>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</si>
  <si>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</si>
  <si>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</si>
  <si>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</si>
  <si>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</si>
  <si>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</si>
  <si>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Operating - First Niagara</t>
  </si>
  <si>
    <t>Money Market - First Niagara</t>
  </si>
  <si>
    <t>Petty Cash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</si>
  <si>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</si>
  <si>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</si>
  <si>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</si>
  <si>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</si>
  <si>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</si>
  <si>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</si>
  <si>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</si>
  <si>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</si>
  <si>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</si>
  <si>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</si>
  <si>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</si>
  <si>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</si>
  <si>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</si>
  <si>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</si>
  <si>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</si>
  <si>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Columbia County Community Healthcare Consortium , Inc.</t>
  </si>
  <si>
    <t>Advance Funding Payable</t>
  </si>
  <si>
    <t>Credit Card - Payable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</si>
  <si>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</si>
  <si>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</si>
  <si>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</si>
  <si>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</si>
  <si>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</si>
  <si>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</si>
  <si>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</si>
  <si>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</si>
  <si>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</si>
  <si>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</si>
  <si>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</si>
  <si>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</si>
  <si>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</si>
  <si>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</si>
  <si>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</si>
  <si>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</si>
  <si>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</si>
  <si>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</si>
  <si>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</si>
  <si>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</si>
  <si>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</si>
  <si>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</si>
  <si>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</si>
  <si>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</si>
  <si>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</si>
  <si>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</si>
  <si>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</si>
  <si>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</si>
  <si>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</si>
  <si>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</si>
  <si>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</si>
  <si>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</si>
  <si>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</si>
  <si>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</si>
  <si>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</si>
  <si>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</si>
  <si>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</si>
  <si>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</si>
  <si>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</si>
  <si>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</si>
  <si>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</si>
  <si>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</si>
  <si>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</si>
  <si>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</si>
  <si>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ALL OTHER REVENUE</t>
  </si>
  <si>
    <t>Greene County</t>
  </si>
  <si>
    <t xml:space="preserve">Transportation Clients         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</si>
  <si>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</si>
  <si>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</si>
  <si>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</si>
  <si>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</si>
  <si>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</si>
  <si>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</si>
  <si>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Miscellaneous Revenue - NYS Interest &amp; Others</t>
  </si>
  <si>
    <t>Transportation-SUNY</t>
  </si>
  <si>
    <t>Donations to CCCHC</t>
  </si>
  <si>
    <t xml:space="preserve">Grants Receivable </t>
  </si>
  <si>
    <t xml:space="preserve">Accounts Payable </t>
  </si>
  <si>
    <t>NYSDOH 04/13 to 06/13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</si>
  <si>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</si>
  <si>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</si>
  <si>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</si>
  <si>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</si>
  <si>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</si>
  <si>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C-028699</t>
  </si>
  <si>
    <t>C-028916</t>
  </si>
  <si>
    <t>Accrued-Medicaid Billing Error</t>
  </si>
  <si>
    <t>HRI-Health Research Institute</t>
  </si>
  <si>
    <t>Prepaid Expenses</t>
  </si>
  <si>
    <t>GRANT AND CONTRACT REVENUE (all sources of revenue operating on a reimbursement basis, occurring on a contract rather than fiscal year, and w/o carryover from one contract year to the next)</t>
  </si>
  <si>
    <t>Dept. of Human Services</t>
  </si>
  <si>
    <t>C-029670</t>
  </si>
  <si>
    <t>C-028809</t>
  </si>
  <si>
    <t>C-028810</t>
  </si>
  <si>
    <t>Miscellaneous Receivable</t>
  </si>
  <si>
    <t>Donations - Others</t>
  </si>
  <si>
    <t>Income Received YTD</t>
  </si>
  <si>
    <t>Actual Expenses YTD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</si>
  <si>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</si>
  <si>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</si>
  <si>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</si>
  <si>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</si>
  <si>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</si>
  <si>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</si>
  <si>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</si>
  <si>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</si>
  <si>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</si>
  <si>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Expenses from 01/2014 to 8/2014</t>
  </si>
  <si>
    <t>Finance &amp; Budget Committee Meeting</t>
  </si>
  <si>
    <t xml:space="preserve">   Fiscal Highlights</t>
  </si>
  <si>
    <t>Grants - Federal (HRI)</t>
  </si>
  <si>
    <t>Other Receipts of Interest:</t>
  </si>
  <si>
    <t>Prescription Access (21-Months)</t>
  </si>
  <si>
    <t>Prescription Access (24-Months)</t>
  </si>
  <si>
    <t>Columbia County Dept. of Human Services</t>
  </si>
  <si>
    <t>Total Columbia County Dept. Human Services</t>
  </si>
  <si>
    <t>Rural Health Network Program</t>
  </si>
  <si>
    <t xml:space="preserve">CSP - Patient Services Grant </t>
  </si>
  <si>
    <t>CSP - Patient Services Grant</t>
  </si>
  <si>
    <t>Ancram/Copake Prescription Access (2015)</t>
  </si>
  <si>
    <t>Operating - Bank of Greene Co.</t>
  </si>
  <si>
    <t>Payroll - Bank of Greene Co.</t>
  </si>
  <si>
    <t>MIPPA</t>
  </si>
  <si>
    <t>Greene County DSS</t>
  </si>
  <si>
    <t>Remarks</t>
  </si>
  <si>
    <t>$ Change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</si>
  <si>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</si>
  <si>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</si>
  <si>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</si>
  <si>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</si>
  <si>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</si>
  <si>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</si>
  <si>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</si>
  <si>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</si>
  <si>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</si>
  <si>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</si>
  <si>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</si>
  <si>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Total OFA-NY Connects &amp; MIPPA</t>
  </si>
  <si>
    <t>%</t>
  </si>
  <si>
    <t>Revenue, Support &amp; Expenses</t>
  </si>
  <si>
    <t>$28.85, and</t>
  </si>
  <si>
    <t>NY Connects Expansion &amp; Enhancement Program</t>
  </si>
  <si>
    <t>Grants      Receivable</t>
  </si>
  <si>
    <t>Grants           Receivable</t>
  </si>
  <si>
    <t>NYSDOH 10/15 to 09/16</t>
  </si>
  <si>
    <t>NY Connects Year #10  10/15 to 9/16</t>
  </si>
  <si>
    <t>COLA CSP Infrastructure</t>
  </si>
  <si>
    <t>Pending Payments on NYS SFS Website</t>
  </si>
  <si>
    <t>Ratio of (Cash &amp; Receivables) to Liabilities</t>
  </si>
  <si>
    <t>Travel, Meals and Conferences</t>
  </si>
  <si>
    <t>Columbia County (2nd Half of $49,000)</t>
  </si>
  <si>
    <t>Ancram/Copake Prescription Access (2016)</t>
  </si>
  <si>
    <t>Navigator Health Exchange Program</t>
  </si>
  <si>
    <t>Tobacco-Free Program</t>
  </si>
  <si>
    <t>Cancer Services Program</t>
  </si>
  <si>
    <t>Transportation-Medicaid</t>
  </si>
  <si>
    <t>Other Columbia County Programs</t>
  </si>
  <si>
    <t>Total Grant Receivable</t>
  </si>
  <si>
    <t>Fund Name</t>
  </si>
  <si>
    <t xml:space="preserve">Beginning Balance at January 1st </t>
  </si>
  <si>
    <t>+ Contributions</t>
  </si>
  <si>
    <t>&lt;Distributions&gt;</t>
  </si>
  <si>
    <r>
      <t>Columbia County</t>
    </r>
    <r>
      <rPr>
        <sz val="11"/>
        <color theme="1"/>
        <rFont val="Times New Roman"/>
        <family val="1"/>
      </rPr>
      <t xml:space="preserve"> -</t>
    </r>
    <r>
      <rPr>
        <sz val="9"/>
        <color theme="1"/>
        <rFont val="Times New Roman"/>
        <family val="1"/>
      </rPr>
      <t>CARTS &amp; Receptionist</t>
    </r>
  </si>
  <si>
    <t>Columbia County Cancer Fund</t>
  </si>
  <si>
    <t>Greene County Cancer Fund</t>
  </si>
  <si>
    <t>Complementary Therapies</t>
  </si>
  <si>
    <t>Jan Koweek Fund</t>
  </si>
  <si>
    <t>Totals of Temporary Restricted Funds</t>
  </si>
  <si>
    <t>Total AP from Above</t>
  </si>
  <si>
    <t>NYSDOH 04/16 to 03/17 (Quarterly Voucher)</t>
  </si>
  <si>
    <t>NYSDOH Infrastructure Grant 04/16 to 03/17</t>
  </si>
  <si>
    <t>NYSDOH Clinical Services Grant 04/16 to 03/17</t>
  </si>
  <si>
    <t>Transportation Services (Quarterly Voucher)</t>
  </si>
  <si>
    <t>Grant Development Services (Quarterly Voucher)</t>
  </si>
  <si>
    <t>OMH &amp; OASAS</t>
  </si>
  <si>
    <t>Health &amp; Recovery Plan (HCBS - HARP)</t>
  </si>
  <si>
    <t>Start-Up Funding</t>
  </si>
  <si>
    <t>Investment</t>
  </si>
  <si>
    <t>Dept. of Health</t>
  </si>
  <si>
    <t>Unrealized Gain (Loss) on Investments</t>
  </si>
  <si>
    <t>Statement of Activities-Transportation</t>
  </si>
  <si>
    <t>Grants - New York State - Rural Health Network</t>
  </si>
  <si>
    <t>OFA: Senior Transportation</t>
  </si>
  <si>
    <t>Foundation Revenue-FCH-Sharon/Ancram/Copake</t>
  </si>
  <si>
    <t>In-Kind Rent - Columbia County (20%)</t>
  </si>
  <si>
    <t>Assets Released from Restrictions-CC Depts.</t>
  </si>
  <si>
    <t>Assets Released from Restrictions-Columbia Cty</t>
  </si>
  <si>
    <t>Salaries and Payroll Taxes &amp; Fringe</t>
  </si>
  <si>
    <t>Drivers</t>
  </si>
  <si>
    <t>Transportation Coordinators &amp; Support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</si>
  <si>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</si>
  <si>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Vehicle Fuel </t>
  </si>
  <si>
    <t>Vehicle Insurance</t>
  </si>
  <si>
    <t>Vehicle Maintanance &amp; Repairs</t>
  </si>
  <si>
    <t>Vehicle Lease with County - $550/mth</t>
  </si>
  <si>
    <t>Vehicle Licenses &amp; Permits</t>
  </si>
  <si>
    <t>Depreciation-Vehicles</t>
  </si>
  <si>
    <t>Audit</t>
  </si>
  <si>
    <t>Office &amp; Program Supplies</t>
  </si>
  <si>
    <t>General Insurance</t>
  </si>
  <si>
    <t>Other Expenses</t>
  </si>
  <si>
    <t>Add Back Deprecation</t>
  </si>
  <si>
    <t>Net Cash</t>
  </si>
  <si>
    <t>RountingBox Software</t>
  </si>
  <si>
    <t>Gain (Loss) on Sale of Vehicles</t>
  </si>
  <si>
    <t>Various Medical Providers</t>
  </si>
  <si>
    <t>Prescription Rx Access</t>
  </si>
  <si>
    <t>Transportation: Acram/Copake</t>
  </si>
  <si>
    <t>Children's Mental Health Project</t>
  </si>
  <si>
    <t>NYS Grant Advances</t>
  </si>
  <si>
    <t>Tobacco Free Program</t>
  </si>
  <si>
    <t>Total Advance Funding Payable</t>
  </si>
  <si>
    <t>Greene County-DSS</t>
  </si>
  <si>
    <t>Investment Income</t>
  </si>
  <si>
    <t>Foundation Revenue - FCH &amp; Dyson</t>
  </si>
  <si>
    <t>Purchases</t>
  </si>
  <si>
    <t>Income</t>
  </si>
  <si>
    <t>Unrealized Gains</t>
  </si>
  <si>
    <t>Ending Balance</t>
  </si>
  <si>
    <t>Cash</t>
  </si>
  <si>
    <t xml:space="preserve">FCISX </t>
  </si>
  <si>
    <t xml:space="preserve">FRUGX </t>
  </si>
  <si>
    <t xml:space="preserve">FRGSX </t>
  </si>
  <si>
    <t>FCSCX</t>
  </si>
  <si>
    <t xml:space="preserve">FSGCX </t>
  </si>
  <si>
    <t>TEGBX</t>
  </si>
  <si>
    <t>Beginning</t>
  </si>
  <si>
    <t>Month in Service</t>
  </si>
  <si>
    <t>Funding Source</t>
  </si>
  <si>
    <t>Supplier</t>
  </si>
  <si>
    <t>Cost</t>
  </si>
  <si>
    <t>Total</t>
  </si>
  <si>
    <r>
      <rPr>
        <b/>
        <sz val="11"/>
        <color theme="1"/>
        <rFont val="Calibri"/>
        <family val="2"/>
        <scheme val="minor"/>
      </rPr>
      <t>TEGBX</t>
    </r>
    <r>
      <rPr>
        <sz val="11"/>
        <color theme="1"/>
        <rFont val="Arial"/>
        <family val="2"/>
      </rPr>
      <t xml:space="preserve">-Templeton Global Bond Fund Class C - Strategy: The Fund seeks current income with capital appreciation and growth of income by investing at least 80% of its net assets in "bonds." In addition, the Fund's assets will be invested in issuers located in at least three countries including the U.S.
</t>
    </r>
  </si>
  <si>
    <r>
      <rPr>
        <b/>
        <sz val="11"/>
        <color theme="1"/>
        <rFont val="Calibri"/>
        <family val="2"/>
        <scheme val="minor"/>
      </rPr>
      <t>FSGCX</t>
    </r>
    <r>
      <rPr>
        <sz val="11"/>
        <color theme="1"/>
        <rFont val="Arial"/>
        <family val="2"/>
      </rPr>
      <t xml:space="preserve">-Franklin Templeton Strategic Income Fund Class C - Strategy: The Fund seeks to earn a high level of current income. Its secondary goal is capital appreciation over the long term. The Fund invests at least 65% of its assets in U.S. and foreign debt securities.
</t>
    </r>
  </si>
  <si>
    <r>
      <rPr>
        <b/>
        <sz val="11"/>
        <color theme="1"/>
        <rFont val="Calibri"/>
        <family val="2"/>
        <scheme val="minor"/>
      </rPr>
      <t>FCSCX</t>
    </r>
    <r>
      <rPr>
        <sz val="11"/>
        <color theme="1"/>
        <rFont val="Arial"/>
        <family val="2"/>
      </rPr>
      <t xml:space="preserve">-Franklin Adjustable US Government Securities Fund Class C- Strategy: The Fund seeks a high level of current income while providing lower volatility of principal than a fund that invests in fixed-rate securities. The Fund invests at least 80% of its net assets in adjustable-rate U.S. government mortgage securities.
</t>
    </r>
  </si>
  <si>
    <r>
      <rPr>
        <b/>
        <sz val="11"/>
        <color theme="1"/>
        <rFont val="Calibri"/>
        <family val="2"/>
        <scheme val="minor"/>
      </rPr>
      <t>FRGSX</t>
    </r>
    <r>
      <rPr>
        <sz val="11"/>
        <color theme="1"/>
        <rFont val="Arial"/>
        <family val="2"/>
      </rPr>
      <t xml:space="preserve">-Franklin Growth Series Class C- Strategy: The Fund seeks capital appreciation. The Fund primarily invests in equity securities that are leaders in their industries.
</t>
    </r>
  </si>
  <si>
    <r>
      <rPr>
        <b/>
        <sz val="11"/>
        <color theme="1"/>
        <rFont val="Calibri"/>
        <family val="2"/>
        <scheme val="minor"/>
      </rPr>
      <t>FCISX</t>
    </r>
    <r>
      <rPr>
        <sz val="11"/>
        <color theme="1"/>
        <rFont val="Arial"/>
        <family val="2"/>
      </rPr>
      <t xml:space="preserve">-Franklin Income Series Class C- Strategy: The Fund seeks to maximize income while maintaining prospects for capital appreciation. The Fund will achieve this by investing in a diversified portfolio of debt and equity securities. 
</t>
    </r>
  </si>
  <si>
    <t>Columbia County Depts.-CARTS</t>
  </si>
  <si>
    <r>
      <rPr>
        <b/>
        <sz val="11"/>
        <color theme="1"/>
        <rFont val="Calibri"/>
        <family val="2"/>
        <scheme val="minor"/>
      </rPr>
      <t>FRUGX</t>
    </r>
    <r>
      <rPr>
        <sz val="11"/>
        <color theme="1"/>
        <rFont val="Arial"/>
        <family val="2"/>
      </rPr>
      <t xml:space="preserve">-Franklin US Government Securities Series Class C- Strategy: The Fund seeks income. Under normal market conditions, the Fund invests at least 80% of its net assets in U.S. government securities. The Fund presently invests substantially all of its assets in Government National Mortgage Association obligations (Ginnie Maes).
</t>
    </r>
  </si>
  <si>
    <t>HRI Clinical Services 07/16 to 06/17</t>
  </si>
  <si>
    <t>NYSDOH 07/16 to 06/17</t>
  </si>
  <si>
    <t>Tobacco Free Communities Grant - COLA</t>
  </si>
  <si>
    <t>CSP-  Infrastructure Grant - COLA</t>
  </si>
  <si>
    <t>4695-04</t>
  </si>
  <si>
    <t>Totals</t>
  </si>
  <si>
    <t>NYSDOH 10/16 to 09/17</t>
  </si>
  <si>
    <t>NY Connects Year #11  10/16 to 9/17</t>
  </si>
  <si>
    <t>Col Cty Dept of Human Services - Transportation Services</t>
  </si>
  <si>
    <t>Col Cty Dept of Human Services - Grant Development</t>
  </si>
  <si>
    <t>Tobacco Free Communities Grant - Yr#3 of 5</t>
  </si>
  <si>
    <t>CSP - Infrastructure Grant - Yr# 4 of 5</t>
  </si>
  <si>
    <t>NY Connects Year #11</t>
  </si>
  <si>
    <t>In Person Assistors &amp; Navigators - Yr#3 of 5</t>
  </si>
  <si>
    <t>In Person Assistors &amp; Navigators - Yr#4 of 5</t>
  </si>
  <si>
    <t>Rural Health Network Program - Yr#4 of 5</t>
  </si>
  <si>
    <t>Senior Transportation Services - 2017</t>
  </si>
  <si>
    <t>Ten Months Ended October 31, 2016 and 2015</t>
  </si>
  <si>
    <t>Albany Medical Center</t>
  </si>
  <si>
    <t>Bank Fees</t>
  </si>
  <si>
    <t>OFA: MIPPA - September 2016 Voucher</t>
  </si>
  <si>
    <t>OFA: NY Connects E&amp;EP - September 2016 Voucher</t>
  </si>
  <si>
    <t>OFA: NY Connects Yr.#10 - September 2016 Voucher</t>
  </si>
  <si>
    <t>Date</t>
  </si>
  <si>
    <t>Balance</t>
  </si>
  <si>
    <t>MIPPA                            01/17 to 9/17</t>
  </si>
  <si>
    <t>Transportation Services (2017)</t>
  </si>
  <si>
    <t>County Government - 2017</t>
  </si>
  <si>
    <t>County Departments - 2017</t>
  </si>
  <si>
    <t>Columbia County Departments 2017 Donations (CARTS)</t>
  </si>
  <si>
    <t>Columbia County BOS 2017 Budget Appropriation</t>
  </si>
  <si>
    <t>Organizational Budget</t>
  </si>
  <si>
    <t>Twelve Months Ended December 31, 2017</t>
  </si>
  <si>
    <t>NY Connects E&amp;EP         01/17 to 12/17</t>
  </si>
  <si>
    <t>Balance as of 01/01/2017</t>
  </si>
  <si>
    <t>Less: Purchase of Vehicles</t>
  </si>
  <si>
    <t>Twelve Months Ended December 31 2016</t>
  </si>
  <si>
    <t>April</t>
  </si>
  <si>
    <t>NYSDOH 04/17 to 03/18 (Quarterly Voucher)</t>
  </si>
  <si>
    <t>NYSDOH Infrastructure Grant 04/17 to 03/18</t>
  </si>
  <si>
    <t>NYSDOH Clinical Services Grant 04/17 to 03/18</t>
  </si>
  <si>
    <t>Columbia County - Office of the Aging</t>
  </si>
  <si>
    <t>OFA: Senior Transportation - March 2017 Voucher</t>
  </si>
  <si>
    <t>OFA: MIPPA - March 2017 Voucher</t>
  </si>
  <si>
    <t>OFA: NY Connects #11 - March 2017 Voucher</t>
  </si>
  <si>
    <t>OFA: NY Connects Expansion &amp; Enhancement  Jan'17- Mar'2017 Voucher</t>
  </si>
  <si>
    <t>Columbia County - BOS 2nd Half of $49,000</t>
  </si>
  <si>
    <t>CC Dept of Human Services - March 2017 Voucher</t>
  </si>
  <si>
    <t>Rural Health Network Program - Yr#5 of 5</t>
  </si>
  <si>
    <t>CSP - Infrastructure Grant - Yr# 5 of 5</t>
  </si>
  <si>
    <t xml:space="preserve">Diff </t>
  </si>
  <si>
    <t>Max</t>
  </si>
  <si>
    <t>Min</t>
  </si>
  <si>
    <t>Agency</t>
  </si>
  <si>
    <t>2017 Ford Taurus</t>
  </si>
  <si>
    <t>2010 Ford Van</t>
  </si>
  <si>
    <t>Columbia County</t>
  </si>
  <si>
    <t>2017 Dodge Caravan</t>
  </si>
  <si>
    <t>Central Dodge</t>
  </si>
  <si>
    <t>Henderson Ford</t>
  </si>
  <si>
    <t>Tobacco-No Smoking Advert</t>
  </si>
  <si>
    <t>WTEN/10</t>
  </si>
  <si>
    <t xml:space="preserve">$14K Tobacco - Community Survey thru Siena </t>
  </si>
  <si>
    <t xml:space="preserve">May'17- The Bank of Greene Cty Foundation </t>
  </si>
  <si>
    <t>Same trend as previous year</t>
  </si>
  <si>
    <t>Loss of Office Manager &amp; Accounting Clerk</t>
  </si>
  <si>
    <t>Greene Cty Scheriff $1,000 + Kinderhook Toyota $2,500</t>
  </si>
  <si>
    <t>$1.6K Tobacco's Conference in Austin TX</t>
  </si>
  <si>
    <t>Timing issues with website &amp; offiste backup</t>
  </si>
  <si>
    <t>Grants Receivable Aging Summary as of June 30, 2017</t>
  </si>
  <si>
    <t>June</t>
  </si>
  <si>
    <t>Payments Received After June 30, 2017</t>
  </si>
  <si>
    <t>Greene County-DSS  - June  2017 Vouchers</t>
  </si>
  <si>
    <t>Total AR Payments Received After June 30, 2017</t>
  </si>
  <si>
    <t>June 30th AR Balance at May 22, 2017</t>
  </si>
  <si>
    <t>May</t>
  </si>
  <si>
    <t>March &amp; Other</t>
  </si>
  <si>
    <t>Grants Receivable at 06/30/2017</t>
  </si>
  <si>
    <t>Navigator Program - April 2017 Voucher</t>
  </si>
  <si>
    <t>HRI - May 2017 Voucher</t>
  </si>
  <si>
    <t>July'17 - CSP Infra Grant Advance</t>
  </si>
  <si>
    <t>CSP Clinical Services - May 2017 Voucher</t>
  </si>
  <si>
    <t xml:space="preserve">Tobacco Grant Advance </t>
  </si>
  <si>
    <t>As of  June 30, 2017</t>
  </si>
  <si>
    <r>
      <t xml:space="preserve">Greene County DSS </t>
    </r>
    <r>
      <rPr>
        <sz val="10"/>
        <color theme="1"/>
        <rFont val="Arial"/>
        <family val="2"/>
      </rPr>
      <t>(Community Service Workers )</t>
    </r>
  </si>
  <si>
    <t>QuickBooks AR at 06/30/2017</t>
  </si>
  <si>
    <t>Six Months Ended June 30, 2017 and 2016</t>
  </si>
  <si>
    <t>Full 6 Months of NY Connects E&amp;EP</t>
  </si>
  <si>
    <t>DSRIP Funds</t>
  </si>
  <si>
    <t>June '17 vs. '16</t>
  </si>
  <si>
    <t>Web Redesign in Tobacco in 2017</t>
  </si>
  <si>
    <t>Down $15k during 1st Quarter</t>
  </si>
  <si>
    <t>CSP Down $7.3K &amp; RHN down $4.5K</t>
  </si>
  <si>
    <t>$2.6K decrease in Dyson Rx</t>
  </si>
  <si>
    <t>Lower '17 SUI &amp; W/C Rates and Accrued Paid Leave</t>
  </si>
  <si>
    <t>Lease down $2.2K + Vehicle Fuel down $1.0K</t>
  </si>
  <si>
    <t>Tobacco advertising down $6.4K + CSP down $6.6K</t>
  </si>
  <si>
    <r>
      <t>è</t>
    </r>
    <r>
      <rPr>
        <b/>
        <sz val="12"/>
        <color theme="1"/>
        <rFont val="Times New Roman"/>
        <family val="1"/>
      </rPr>
      <t xml:space="preserve"> Equipment, Furniture &amp; Vehicles</t>
    </r>
    <r>
      <rPr>
        <sz val="12"/>
        <color theme="1"/>
        <rFont val="Calibri"/>
        <family val="2"/>
      </rPr>
      <t xml:space="preserve"> -Agency purchased and sold the following capital equipment. </t>
    </r>
  </si>
  <si>
    <t xml:space="preserve">2010 Chevy Impala </t>
  </si>
  <si>
    <t>Sold in Month</t>
  </si>
  <si>
    <t>Revenue</t>
  </si>
  <si>
    <t>2010 Dodge Caravan</t>
  </si>
  <si>
    <t>Mileage</t>
  </si>
  <si>
    <t>158.3K</t>
  </si>
  <si>
    <t>144.9K</t>
  </si>
  <si>
    <t>Auctions International</t>
  </si>
  <si>
    <t>Sold thru</t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</si>
  <si>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the operating checking account started the year off with $355K and ended with $260K at June 30, 2017. Low balance on June 26th was $199K &amp; the high balance on February 17th was $405K. Average daily balance for 2017 is $303K.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</si>
  <si>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Grant Receivable - </t>
    </r>
    <r>
      <rPr>
        <sz val="12"/>
        <color theme="1"/>
        <rFont val="Calibri"/>
        <family val="2"/>
      </rPr>
      <t xml:space="preserve">  As of June 30, 2017 our Grant Receivable is $256,329. Expectation is that we will collect on all receivables.  Summary as follows:</t>
    </r>
  </si>
  <si>
    <r>
      <t>è</t>
    </r>
    <r>
      <rPr>
        <b/>
        <sz val="12"/>
        <color theme="1"/>
        <rFont val="Times New Roman"/>
        <family val="1"/>
      </rPr>
      <t xml:space="preserve"> Investment - Infinex Financial-Securities</t>
    </r>
    <r>
      <rPr>
        <sz val="12"/>
        <color theme="1"/>
        <rFont val="Calibri"/>
        <family val="2"/>
      </rPr>
      <t xml:space="preserve"> - As of June 30, 2017, investment account value is $160,444. </t>
    </r>
  </si>
  <si>
    <t>Albany Broadcasting Co</t>
  </si>
  <si>
    <t>iHeart Radio</t>
  </si>
  <si>
    <t>Vehicle Fuel &amp; Repairs</t>
  </si>
  <si>
    <t>Pinckney Hugo Group</t>
  </si>
  <si>
    <t>Johnson Newspaper</t>
  </si>
  <si>
    <r>
      <t>è</t>
    </r>
    <r>
      <rPr>
        <b/>
        <sz val="12"/>
        <color theme="1"/>
        <rFont val="Times New Roman"/>
        <family val="1"/>
      </rPr>
      <t xml:space="preserve">Accounts Payable - </t>
    </r>
    <r>
      <rPr>
        <sz val="12"/>
        <color theme="1"/>
        <rFont val="Calibri"/>
        <family val="2"/>
        <scheme val="minor"/>
      </rPr>
      <t xml:space="preserve">At June 30, 2017, accounts payable lability is $33,745 and all AP liability is being paid timely within 28 days except CSP Clinical Services which gets paid once NYS pays CCCHC. The following is a list of vendors who's liability exceed $1,000.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</si>
  <si>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Advance Funding Payable</t>
    </r>
    <r>
      <rPr>
        <sz val="12"/>
        <color theme="1"/>
        <rFont val="Calibri"/>
        <family val="2"/>
      </rPr>
      <t xml:space="preserve"> - Activity for the twelve months ending June 30, 2017</t>
    </r>
  </si>
  <si>
    <t>Ending Balance at June 30, 2017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</si>
  <si>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Temporary Restricted Funds</t>
    </r>
    <r>
      <rPr>
        <sz val="12"/>
        <color theme="1"/>
        <rFont val="Calibri"/>
        <family val="2"/>
      </rPr>
      <t xml:space="preserve"> - Activity for the twelve months ending June 30, 2017,</t>
    </r>
  </si>
  <si>
    <t>CSP Clinical Services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</si>
  <si>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Line of Credit</t>
    </r>
    <r>
      <rPr>
        <sz val="12"/>
        <color theme="1"/>
        <rFont val="Calibri"/>
        <family val="2"/>
      </rPr>
      <t xml:space="preserve"> - Received notification from The Bank of Greene County. Bank renewed our $100,000 line for another twelve months until August 1, 2018.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</si>
  <si>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Greene County DSS  - </t>
    </r>
    <r>
      <rPr>
        <sz val="12"/>
        <color theme="1"/>
        <rFont val="Calibri"/>
        <family val="2"/>
      </rPr>
      <t xml:space="preserve">  New signed agreement with Greene County DSS in the amount of $37, 075 to provide two per diem employees working as Community Services Workers from August 7, 2017 to April 20,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</si>
</sst>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Wingdings"/>
      <charset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1FFB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16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3" borderId="16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27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/>
    <xf numFmtId="49" fontId="19" fillId="6" borderId="0" xfId="0" applyNumberFormat="1" applyFont="1" applyFill="1" applyBorder="1"/>
    <xf numFmtId="0" fontId="0" fillId="7" borderId="0" xfId="0" applyFont="1" applyFill="1"/>
    <xf numFmtId="49" fontId="19" fillId="7" borderId="0" xfId="0" applyNumberFormat="1" applyFont="1" applyFill="1" applyBorder="1"/>
    <xf numFmtId="0" fontId="0" fillId="7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0" borderId="0" xfId="0" applyFont="1" applyFill="1"/>
    <xf numFmtId="0" fontId="0" fillId="8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8" borderId="3" xfId="0" applyFont="1" applyFill="1" applyBorder="1"/>
    <xf numFmtId="49" fontId="19" fillId="8" borderId="0" xfId="0" applyNumberFormat="1" applyFont="1" applyFill="1" applyBorder="1"/>
    <xf numFmtId="0" fontId="0" fillId="8" borderId="0" xfId="0" applyFont="1" applyFill="1" applyBorder="1"/>
    <xf numFmtId="0" fontId="0" fillId="11" borderId="0" xfId="0" applyFont="1" applyFill="1" applyAlignment="1">
      <alignment horizontal="center"/>
    </xf>
    <xf numFmtId="49" fontId="19" fillId="11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2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7" borderId="0" xfId="0" applyNumberFormat="1" applyFont="1" applyFill="1" applyBorder="1" applyAlignment="1">
      <alignment horizontal="left"/>
    </xf>
    <xf numFmtId="49" fontId="19" fillId="10" borderId="0" xfId="0" applyNumberFormat="1" applyFont="1" applyFill="1" applyBorder="1"/>
    <xf numFmtId="49" fontId="19" fillId="11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6" xfId="0" applyNumberFormat="1" applyFont="1" applyFill="1" applyBorder="1"/>
    <xf numFmtId="49" fontId="18" fillId="6" borderId="34" xfId="0" applyNumberFormat="1" applyFont="1" applyFill="1" applyBorder="1"/>
    <xf numFmtId="49" fontId="18" fillId="6" borderId="28" xfId="0" applyNumberFormat="1" applyFont="1" applyFill="1" applyBorder="1"/>
    <xf numFmtId="49" fontId="18" fillId="6" borderId="16" xfId="0" applyNumberFormat="1" applyFont="1" applyFill="1" applyBorder="1"/>
    <xf numFmtId="49" fontId="18" fillId="7" borderId="34" xfId="0" applyNumberFormat="1" applyFont="1" applyFill="1" applyBorder="1"/>
    <xf numFmtId="49" fontId="18" fillId="7" borderId="28" xfId="0" applyNumberFormat="1" applyFont="1" applyFill="1" applyBorder="1"/>
    <xf numFmtId="49" fontId="18" fillId="7" borderId="16" xfId="0" applyNumberFormat="1" applyFont="1" applyFill="1" applyBorder="1"/>
    <xf numFmtId="49" fontId="18" fillId="7" borderId="16" xfId="0" applyNumberFormat="1" applyFont="1" applyFill="1" applyBorder="1" applyAlignment="1">
      <alignment horizontal="center"/>
    </xf>
    <xf numFmtId="49" fontId="18" fillId="10" borderId="34" xfId="0" applyNumberFormat="1" applyFont="1" applyFill="1" applyBorder="1"/>
    <xf numFmtId="49" fontId="18" fillId="10" borderId="28" xfId="0" applyNumberFormat="1" applyFont="1" applyFill="1" applyBorder="1"/>
    <xf numFmtId="49" fontId="18" fillId="10" borderId="16" xfId="0" applyNumberFormat="1" applyFont="1" applyFill="1" applyBorder="1"/>
    <xf numFmtId="49" fontId="18" fillId="8" borderId="34" xfId="0" applyNumberFormat="1" applyFont="1" applyFill="1" applyBorder="1"/>
    <xf numFmtId="49" fontId="18" fillId="8" borderId="28" xfId="0" applyNumberFormat="1" applyFont="1" applyFill="1" applyBorder="1"/>
    <xf numFmtId="49" fontId="19" fillId="8" borderId="16" xfId="0" applyNumberFormat="1" applyFont="1" applyFill="1" applyBorder="1"/>
    <xf numFmtId="49" fontId="18" fillId="11" borderId="34" xfId="0" applyNumberFormat="1" applyFont="1" applyFill="1" applyBorder="1" applyAlignment="1">
      <alignment horizontal="left"/>
    </xf>
    <xf numFmtId="49" fontId="18" fillId="11" borderId="28" xfId="0" applyNumberFormat="1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49" fontId="18" fillId="9" borderId="34" xfId="0" applyNumberFormat="1" applyFont="1" applyFill="1" applyBorder="1"/>
    <xf numFmtId="49" fontId="18" fillId="5" borderId="36" xfId="0" applyNumberFormat="1" applyFont="1" applyFill="1" applyBorder="1" applyAlignment="1"/>
    <xf numFmtId="49" fontId="18" fillId="5" borderId="37" xfId="0" applyNumberFormat="1" applyFont="1" applyFill="1" applyBorder="1" applyAlignment="1"/>
    <xf numFmtId="49" fontId="18" fillId="8" borderId="24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27" xfId="0" applyNumberFormat="1" applyFont="1" applyBorder="1" applyAlignment="1"/>
    <xf numFmtId="0" fontId="0" fillId="0" borderId="27" xfId="0" applyBorder="1" applyAlignment="1"/>
    <xf numFmtId="49" fontId="18" fillId="5" borderId="39" xfId="0" applyNumberFormat="1" applyFont="1" applyFill="1" applyBorder="1" applyAlignment="1"/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40" fontId="0" fillId="4" borderId="33" xfId="0" applyNumberFormat="1" applyFill="1" applyBorder="1" applyAlignment="1"/>
    <xf numFmtId="40" fontId="0" fillId="4" borderId="42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7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6" borderId="37" xfId="0" applyNumberFormat="1" applyFont="1" applyFill="1" applyBorder="1" applyAlignment="1">
      <alignment horizontal="right"/>
    </xf>
    <xf numFmtId="38" fontId="19" fillId="6" borderId="39" xfId="0" applyNumberFormat="1" applyFont="1" applyFill="1" applyBorder="1" applyAlignment="1">
      <alignment horizontal="right"/>
    </xf>
    <xf numFmtId="38" fontId="19" fillId="6" borderId="36" xfId="0" applyNumberFormat="1" applyFont="1" applyFill="1" applyBorder="1" applyAlignment="1">
      <alignment horizontal="right"/>
    </xf>
    <xf numFmtId="38" fontId="19" fillId="6" borderId="1" xfId="1" applyNumberFormat="1" applyFont="1" applyFill="1" applyBorder="1" applyAlignment="1">
      <alignment horizontal="right"/>
    </xf>
    <xf numFmtId="38" fontId="19" fillId="6" borderId="9" xfId="1" applyNumberFormat="1" applyFont="1" applyFill="1" applyBorder="1" applyAlignment="1">
      <alignment horizontal="right"/>
    </xf>
    <xf numFmtId="38" fontId="19" fillId="6" borderId="17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7" borderId="37" xfId="1" applyNumberFormat="1" applyFont="1" applyFill="1" applyBorder="1" applyAlignment="1">
      <alignment horizontal="right"/>
    </xf>
    <xf numFmtId="38" fontId="19" fillId="7" borderId="39" xfId="1" applyNumberFormat="1" applyFont="1" applyFill="1" applyBorder="1" applyAlignment="1">
      <alignment horizontal="right"/>
    </xf>
    <xf numFmtId="38" fontId="19" fillId="7" borderId="36" xfId="1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7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0" borderId="37" xfId="1" applyNumberFormat="1" applyFont="1" applyFill="1" applyBorder="1" applyAlignment="1">
      <alignment horizontal="right"/>
    </xf>
    <xf numFmtId="38" fontId="19" fillId="10" borderId="39" xfId="1" applyNumberFormat="1" applyFont="1" applyFill="1" applyBorder="1" applyAlignment="1">
      <alignment horizontal="right"/>
    </xf>
    <xf numFmtId="38" fontId="19" fillId="10" borderId="36" xfId="1" applyNumberFormat="1" applyFont="1" applyFill="1" applyBorder="1" applyAlignment="1">
      <alignment horizontal="right"/>
    </xf>
    <xf numFmtId="38" fontId="19" fillId="10" borderId="1" xfId="1" applyNumberFormat="1" applyFont="1" applyFill="1" applyBorder="1" applyAlignment="1">
      <alignment horizontal="right"/>
    </xf>
    <xf numFmtId="38" fontId="19" fillId="10" borderId="9" xfId="1" applyNumberFormat="1" applyFont="1" applyFill="1" applyBorder="1" applyAlignment="1">
      <alignment horizontal="right"/>
    </xf>
    <xf numFmtId="38" fontId="19" fillId="10" borderId="17" xfId="1" applyNumberFormat="1" applyFont="1" applyFill="1" applyBorder="1" applyAlignment="1">
      <alignment horizontal="right"/>
    </xf>
    <xf numFmtId="38" fontId="19" fillId="8" borderId="37" xfId="1" applyNumberFormat="1" applyFont="1" applyFill="1" applyBorder="1" applyAlignment="1">
      <alignment horizontal="right"/>
    </xf>
    <xf numFmtId="38" fontId="19" fillId="8" borderId="39" xfId="1" applyNumberFormat="1" applyFont="1" applyFill="1" applyBorder="1" applyAlignment="1">
      <alignment horizontal="right"/>
    </xf>
    <xf numFmtId="38" fontId="19" fillId="8" borderId="36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7" xfId="1" applyNumberFormat="1" applyFont="1" applyFill="1" applyBorder="1" applyAlignment="1">
      <alignment horizontal="right"/>
    </xf>
    <xf numFmtId="38" fontId="18" fillId="8" borderId="37" xfId="1" applyNumberFormat="1" applyFont="1" applyFill="1" applyBorder="1" applyAlignment="1">
      <alignment horizontal="right"/>
    </xf>
    <xf numFmtId="38" fontId="18" fillId="8" borderId="39" xfId="1" applyNumberFormat="1" applyFont="1" applyFill="1" applyBorder="1" applyAlignment="1">
      <alignment horizontal="right"/>
    </xf>
    <xf numFmtId="38" fontId="18" fillId="8" borderId="36" xfId="1" applyNumberFormat="1" applyFont="1" applyFill="1" applyBorder="1" applyAlignment="1">
      <alignment horizontal="right"/>
    </xf>
    <xf numFmtId="38" fontId="18" fillId="11" borderId="37" xfId="1" applyNumberFormat="1" applyFont="1" applyFill="1" applyBorder="1" applyAlignment="1">
      <alignment horizontal="right"/>
    </xf>
    <xf numFmtId="38" fontId="18" fillId="11" borderId="39" xfId="1" applyNumberFormat="1" applyFont="1" applyFill="1" applyBorder="1" applyAlignment="1">
      <alignment horizontal="right"/>
    </xf>
    <xf numFmtId="38" fontId="18" fillId="11" borderId="36" xfId="1" applyNumberFormat="1" applyFont="1" applyFill="1" applyBorder="1" applyAlignment="1">
      <alignment horizontal="right"/>
    </xf>
    <xf numFmtId="38" fontId="19" fillId="11" borderId="1" xfId="1" applyNumberFormat="1" applyFont="1" applyFill="1" applyBorder="1" applyAlignment="1">
      <alignment horizontal="right"/>
    </xf>
    <xf numFmtId="38" fontId="19" fillId="11" borderId="9" xfId="1" applyNumberFormat="1" applyFont="1" applyFill="1" applyBorder="1" applyAlignment="1">
      <alignment horizontal="right"/>
    </xf>
    <xf numFmtId="38" fontId="19" fillId="11" borderId="17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18" xfId="0" applyNumberFormat="1" applyFont="1" applyFill="1" applyBorder="1"/>
    <xf numFmtId="6" fontId="18" fillId="5" borderId="19" xfId="0" applyNumberFormat="1" applyFont="1" applyFill="1" applyBorder="1" applyAlignment="1">
      <alignment horizontal="center"/>
    </xf>
    <xf numFmtId="6" fontId="18" fillId="5" borderId="20" xfId="1" applyNumberFormat="1" applyFont="1" applyFill="1" applyBorder="1" applyAlignment="1">
      <alignment horizontal="right"/>
    </xf>
    <xf numFmtId="6" fontId="18" fillId="5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6" borderId="18" xfId="0" applyNumberFormat="1" applyFont="1" applyFill="1" applyBorder="1"/>
    <xf numFmtId="6" fontId="18" fillId="6" borderId="19" xfId="0" applyNumberFormat="1" applyFont="1" applyFill="1" applyBorder="1" applyAlignment="1">
      <alignment horizontal="center"/>
    </xf>
    <xf numFmtId="6" fontId="18" fillId="6" borderId="25" xfId="1" applyNumberFormat="1" applyFont="1" applyFill="1" applyBorder="1" applyAlignment="1">
      <alignment horizontal="right"/>
    </xf>
    <xf numFmtId="6" fontId="18" fillId="6" borderId="21" xfId="1" applyNumberFormat="1" applyFont="1" applyFill="1" applyBorder="1" applyAlignment="1">
      <alignment horizontal="right"/>
    </xf>
    <xf numFmtId="6" fontId="0" fillId="6" borderId="0" xfId="0" applyNumberFormat="1" applyFont="1" applyFill="1"/>
    <xf numFmtId="6" fontId="0" fillId="7" borderId="18" xfId="0" applyNumberFormat="1" applyFont="1" applyFill="1" applyBorder="1" applyAlignment="1">
      <alignment horizontal="center"/>
    </xf>
    <xf numFmtId="6" fontId="18" fillId="7" borderId="19" xfId="0" applyNumberFormat="1" applyFont="1" applyFill="1" applyBorder="1" applyAlignment="1">
      <alignment horizontal="center"/>
    </xf>
    <xf numFmtId="6" fontId="18" fillId="7" borderId="25" xfId="1" applyNumberFormat="1" applyFont="1" applyFill="1" applyBorder="1" applyAlignment="1">
      <alignment horizontal="right"/>
    </xf>
    <xf numFmtId="6" fontId="18" fillId="7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0" fillId="10" borderId="18" xfId="0" applyNumberFormat="1" applyFont="1" applyFill="1" applyBorder="1"/>
    <xf numFmtId="6" fontId="18" fillId="10" borderId="19" xfId="0" applyNumberFormat="1" applyFont="1" applyFill="1" applyBorder="1" applyAlignment="1">
      <alignment horizontal="center"/>
    </xf>
    <xf numFmtId="6" fontId="18" fillId="10" borderId="25" xfId="1" applyNumberFormat="1" applyFont="1" applyFill="1" applyBorder="1" applyAlignment="1">
      <alignment horizontal="right"/>
    </xf>
    <xf numFmtId="6" fontId="18" fillId="10" borderId="20" xfId="1" applyNumberFormat="1" applyFont="1" applyFill="1" applyBorder="1" applyAlignment="1">
      <alignment horizontal="right"/>
    </xf>
    <xf numFmtId="6" fontId="18" fillId="10" borderId="21" xfId="1" applyNumberFormat="1" applyFont="1" applyFill="1" applyBorder="1" applyAlignment="1">
      <alignment horizontal="right"/>
    </xf>
    <xf numFmtId="6" fontId="0" fillId="10" borderId="0" xfId="0" applyNumberFormat="1" applyFont="1" applyFill="1"/>
    <xf numFmtId="6" fontId="0" fillId="8" borderId="35" xfId="0" applyNumberFormat="1" applyFont="1" applyFill="1" applyBorder="1"/>
    <xf numFmtId="6" fontId="18" fillId="8" borderId="19" xfId="0" applyNumberFormat="1" applyFont="1" applyFill="1" applyBorder="1" applyAlignment="1">
      <alignment horizontal="center"/>
    </xf>
    <xf numFmtId="6" fontId="18" fillId="8" borderId="25" xfId="1" applyNumberFormat="1" applyFont="1" applyFill="1" applyBorder="1" applyAlignment="1">
      <alignment horizontal="right"/>
    </xf>
    <xf numFmtId="6" fontId="18" fillId="8" borderId="20" xfId="1" applyNumberFormat="1" applyFont="1" applyFill="1" applyBorder="1" applyAlignment="1">
      <alignment horizontal="right"/>
    </xf>
    <xf numFmtId="6" fontId="18" fillId="8" borderId="21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8" borderId="2" xfId="0" applyNumberFormat="1" applyFont="1" applyFill="1" applyBorder="1"/>
    <xf numFmtId="6" fontId="0" fillId="8" borderId="18" xfId="0" applyNumberFormat="1" applyFont="1" applyFill="1" applyBorder="1"/>
    <xf numFmtId="6" fontId="0" fillId="11" borderId="18" xfId="0" applyNumberFormat="1" applyFont="1" applyFill="1" applyBorder="1" applyAlignment="1">
      <alignment horizontal="center"/>
    </xf>
    <xf numFmtId="6" fontId="4" fillId="11" borderId="19" xfId="0" applyNumberFormat="1" applyFont="1" applyFill="1" applyBorder="1" applyAlignment="1">
      <alignment horizontal="center"/>
    </xf>
    <xf numFmtId="6" fontId="18" fillId="11" borderId="25" xfId="1" applyNumberFormat="1" applyFont="1" applyFill="1" applyBorder="1" applyAlignment="1">
      <alignment horizontal="right"/>
    </xf>
    <xf numFmtId="6" fontId="18" fillId="11" borderId="21" xfId="1" applyNumberFormat="1" applyFont="1" applyFill="1" applyBorder="1" applyAlignment="1">
      <alignment horizontal="right"/>
    </xf>
    <xf numFmtId="6" fontId="0" fillId="11" borderId="0" xfId="0" applyNumberFormat="1" applyFont="1" applyFill="1" applyAlignment="1">
      <alignment horizontal="center"/>
    </xf>
    <xf numFmtId="6" fontId="0" fillId="9" borderId="35" xfId="0" applyNumberFormat="1" applyFont="1" applyFill="1" applyBorder="1"/>
    <xf numFmtId="6" fontId="0" fillId="9" borderId="0" xfId="0" applyNumberFormat="1" applyFont="1" applyFill="1"/>
    <xf numFmtId="6" fontId="18" fillId="13" borderId="32" xfId="0" applyNumberFormat="1" applyFont="1" applyFill="1" applyBorder="1"/>
    <xf numFmtId="6" fontId="0" fillId="0" borderId="0" xfId="0" applyNumberFormat="1" applyFont="1"/>
    <xf numFmtId="6" fontId="0" fillId="0" borderId="0" xfId="0" applyNumberFormat="1" applyAlignment="1">
      <alignment horizontal="right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27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5" fillId="0" borderId="27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1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45" xfId="0" applyNumberFormat="1" applyFont="1" applyFill="1" applyBorder="1" applyAlignment="1">
      <alignment horizontal="center"/>
    </xf>
    <xf numFmtId="40" fontId="3" fillId="0" borderId="44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40" fontId="3" fillId="3" borderId="4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14" fontId="6" fillId="3" borderId="27" xfId="0" applyNumberFormat="1" applyFont="1" applyFill="1" applyBorder="1" applyAlignment="1">
      <alignment horizontal="center"/>
    </xf>
    <xf numFmtId="42" fontId="23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4" fillId="0" borderId="0" xfId="0" applyFont="1" applyBorder="1"/>
    <xf numFmtId="41" fontId="2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3" borderId="38" xfId="1" applyNumberFormat="1" applyFont="1" applyFill="1" applyBorder="1" applyAlignment="1">
      <alignment horizontal="right"/>
    </xf>
    <xf numFmtId="0" fontId="25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26" fillId="0" borderId="27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27" fillId="0" borderId="0" xfId="0" applyFont="1" applyFill="1" applyBorder="1" applyAlignment="1">
      <alignment horizontal="left"/>
    </xf>
    <xf numFmtId="42" fontId="6" fillId="3" borderId="46" xfId="1" applyNumberFormat="1" applyFont="1" applyFill="1" applyBorder="1" applyAlignment="1"/>
    <xf numFmtId="42" fontId="3" fillId="3" borderId="35" xfId="0" applyNumberFormat="1" applyFont="1" applyFill="1" applyBorder="1"/>
    <xf numFmtId="0" fontId="0" fillId="0" borderId="49" xfId="0" applyFill="1" applyBorder="1"/>
    <xf numFmtId="0" fontId="0" fillId="0" borderId="46" xfId="0" applyFill="1" applyBorder="1"/>
    <xf numFmtId="42" fontId="3" fillId="3" borderId="27" xfId="0" applyNumberFormat="1" applyFont="1" applyFill="1" applyBorder="1"/>
    <xf numFmtId="42" fontId="3" fillId="3" borderId="27" xfId="0" applyNumberFormat="1" applyFont="1" applyFill="1" applyBorder="1" applyAlignment="1">
      <alignment horizontal="center"/>
    </xf>
    <xf numFmtId="14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42" fontId="3" fillId="3" borderId="40" xfId="0" applyNumberFormat="1" applyFont="1" applyFill="1" applyBorder="1" applyAlignment="1"/>
    <xf numFmtId="41" fontId="0" fillId="0" borderId="49" xfId="1" applyNumberFormat="1" applyFont="1" applyFill="1" applyBorder="1" applyAlignment="1"/>
    <xf numFmtId="41" fontId="0" fillId="0" borderId="46" xfId="1" applyNumberFormat="1" applyFont="1" applyFill="1" applyBorder="1" applyAlignment="1"/>
    <xf numFmtId="42" fontId="3" fillId="3" borderId="27" xfId="0" applyNumberFormat="1" applyFont="1" applyFill="1" applyBorder="1" applyAlignment="1"/>
    <xf numFmtId="42" fontId="3" fillId="3" borderId="52" xfId="0" applyNumberFormat="1" applyFont="1" applyFill="1" applyBorder="1" applyAlignment="1"/>
    <xf numFmtId="42" fontId="3" fillId="3" borderId="53" xfId="0" applyNumberFormat="1" applyFont="1" applyFill="1" applyBorder="1" applyAlignment="1"/>
    <xf numFmtId="0" fontId="6" fillId="4" borderId="34" xfId="0" applyFont="1" applyFill="1" applyBorder="1"/>
    <xf numFmtId="0" fontId="4" fillId="4" borderId="28" xfId="0" applyFont="1" applyFill="1" applyBorder="1"/>
    <xf numFmtId="0" fontId="4" fillId="4" borderId="28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40" fontId="4" fillId="4" borderId="28" xfId="0" applyNumberFormat="1" applyFont="1" applyFill="1" applyBorder="1" applyAlignment="1"/>
    <xf numFmtId="41" fontId="0" fillId="0" borderId="49" xfId="1" applyNumberFormat="1" applyFont="1" applyFill="1" applyBorder="1" applyAlignment="1">
      <alignment horizontal="center"/>
    </xf>
    <xf numFmtId="38" fontId="0" fillId="0" borderId="46" xfId="1" applyNumberFormat="1" applyFont="1" applyFill="1" applyBorder="1" applyAlignment="1"/>
    <xf numFmtId="40" fontId="4" fillId="4" borderId="41" xfId="0" applyNumberFormat="1" applyFont="1" applyFill="1" applyBorder="1" applyAlignment="1"/>
    <xf numFmtId="40" fontId="4" fillId="4" borderId="36" xfId="0" applyNumberFormat="1" applyFont="1" applyFill="1" applyBorder="1" applyAlignment="1"/>
    <xf numFmtId="14" fontId="0" fillId="0" borderId="48" xfId="0" applyNumberFormat="1" applyFill="1" applyBorder="1" applyAlignment="1">
      <alignment horizontal="center"/>
    </xf>
    <xf numFmtId="38" fontId="0" fillId="0" borderId="48" xfId="1" applyNumberFormat="1" applyFont="1" applyFill="1" applyBorder="1" applyAlignment="1"/>
    <xf numFmtId="41" fontId="0" fillId="0" borderId="48" xfId="1" applyNumberFormat="1" applyFont="1" applyFill="1" applyBorder="1" applyAlignment="1"/>
    <xf numFmtId="38" fontId="0" fillId="0" borderId="49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29" xfId="0" applyNumberFormat="1" applyFill="1" applyBorder="1" applyAlignment="1">
      <alignment horizontal="center"/>
    </xf>
    <xf numFmtId="14" fontId="0" fillId="0" borderId="53" xfId="0" applyNumberForma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42" fontId="3" fillId="3" borderId="32" xfId="0" applyNumberFormat="1" applyFont="1" applyFill="1" applyBorder="1"/>
    <xf numFmtId="42" fontId="3" fillId="3" borderId="33" xfId="0" applyNumberFormat="1" applyFont="1" applyFill="1" applyBorder="1"/>
    <xf numFmtId="42" fontId="3" fillId="3" borderId="42" xfId="0" applyNumberFormat="1" applyFont="1" applyFill="1" applyBorder="1"/>
    <xf numFmtId="40" fontId="3" fillId="3" borderId="44" xfId="0" applyNumberFormat="1" applyFont="1" applyFill="1" applyBorder="1" applyAlignment="1">
      <alignment horizontal="center" vertical="center"/>
    </xf>
    <xf numFmtId="40" fontId="3" fillId="3" borderId="44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42" fontId="11" fillId="0" borderId="31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41" fontId="13" fillId="0" borderId="57" xfId="0" applyNumberFormat="1" applyFont="1" applyBorder="1" applyAlignment="1">
      <alignment vertical="center"/>
    </xf>
    <xf numFmtId="41" fontId="11" fillId="0" borderId="57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8" fillId="5" borderId="16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54" xfId="0" applyFill="1" applyBorder="1"/>
    <xf numFmtId="41" fontId="0" fillId="0" borderId="55" xfId="1" applyNumberFormat="1" applyFont="1" applyFill="1" applyBorder="1" applyAlignment="1"/>
    <xf numFmtId="41" fontId="0" fillId="0" borderId="56" xfId="1" applyNumberFormat="1" applyFont="1" applyFill="1" applyBorder="1" applyAlignment="1"/>
    <xf numFmtId="0" fontId="0" fillId="0" borderId="15" xfId="0" applyFill="1" applyBorder="1"/>
    <xf numFmtId="41" fontId="0" fillId="0" borderId="58" xfId="1" applyNumberFormat="1" applyFont="1" applyFill="1" applyBorder="1" applyAlignment="1"/>
    <xf numFmtId="0" fontId="0" fillId="0" borderId="26" xfId="0" applyFill="1" applyBorder="1"/>
    <xf numFmtId="41" fontId="0" fillId="0" borderId="20" xfId="1" applyNumberFormat="1" applyFont="1" applyFill="1" applyBorder="1" applyAlignment="1"/>
    <xf numFmtId="41" fontId="0" fillId="0" borderId="21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18" fillId="12" borderId="34" xfId="0" applyNumberFormat="1" applyFont="1" applyFill="1" applyBorder="1"/>
    <xf numFmtId="49" fontId="18" fillId="12" borderId="28" xfId="0" applyNumberFormat="1" applyFont="1" applyFill="1" applyBorder="1"/>
    <xf numFmtId="6" fontId="18" fillId="12" borderId="39" xfId="1" applyNumberFormat="1" applyFont="1" applyFill="1" applyBorder="1" applyAlignment="1">
      <alignment horizontal="right"/>
    </xf>
    <xf numFmtId="6" fontId="18" fillId="12" borderId="41" xfId="1" applyNumberFormat="1" applyFont="1" applyFill="1" applyBorder="1" applyAlignment="1">
      <alignment horizontal="right"/>
    </xf>
    <xf numFmtId="49" fontId="18" fillId="12" borderId="16" xfId="0" applyNumberFormat="1" applyFont="1" applyFill="1" applyBorder="1"/>
    <xf numFmtId="49" fontId="18" fillId="12" borderId="24" xfId="0" applyNumberFormat="1" applyFont="1" applyFill="1" applyBorder="1"/>
    <xf numFmtId="6" fontId="18" fillId="12" borderId="40" xfId="1" applyNumberFormat="1" applyFont="1" applyFill="1" applyBorder="1" applyAlignment="1">
      <alignment horizontal="right"/>
    </xf>
    <xf numFmtId="49" fontId="19" fillId="12" borderId="0" xfId="0" applyNumberFormat="1" applyFont="1" applyFill="1" applyBorder="1"/>
    <xf numFmtId="49" fontId="19" fillId="12" borderId="2" xfId="0" applyNumberFormat="1" applyFont="1" applyFill="1" applyBorder="1"/>
    <xf numFmtId="38" fontId="18" fillId="12" borderId="29" xfId="1" applyNumberFormat="1" applyFont="1" applyFill="1" applyBorder="1" applyAlignment="1">
      <alignment horizontal="right"/>
    </xf>
    <xf numFmtId="38" fontId="18" fillId="12" borderId="43" xfId="1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2" fontId="12" fillId="0" borderId="57" xfId="0" applyNumberFormat="1" applyFont="1" applyBorder="1" applyAlignment="1">
      <alignment vertical="center"/>
    </xf>
    <xf numFmtId="0" fontId="0" fillId="0" borderId="49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38" fontId="18" fillId="12" borderId="39" xfId="1" applyNumberFormat="1" applyFont="1" applyFill="1" applyBorder="1" applyAlignment="1">
      <alignment horizontal="right"/>
    </xf>
    <xf numFmtId="49" fontId="18" fillId="8" borderId="16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59" xfId="0" applyFill="1" applyBorder="1" applyAlignment="1">
      <alignment horizontal="left"/>
    </xf>
    <xf numFmtId="0" fontId="0" fillId="0" borderId="59" xfId="0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41" fontId="0" fillId="0" borderId="49" xfId="1" applyNumberFormat="1" applyFont="1" applyFill="1" applyBorder="1" applyAlignment="1">
      <alignment horizontal="right"/>
    </xf>
    <xf numFmtId="41" fontId="0" fillId="0" borderId="59" xfId="1" applyNumberFormat="1" applyFont="1" applyFill="1" applyBorder="1" applyAlignment="1"/>
    <xf numFmtId="41" fontId="0" fillId="0" borderId="48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9" borderId="16" xfId="0" applyNumberFormat="1" applyFont="1" applyFill="1" applyBorder="1"/>
    <xf numFmtId="49" fontId="18" fillId="9" borderId="24" xfId="0" applyNumberFormat="1" applyFont="1" applyFill="1" applyBorder="1"/>
    <xf numFmtId="49" fontId="18" fillId="14" borderId="33" xfId="0" applyNumberFormat="1" applyFont="1" applyFill="1" applyBorder="1"/>
    <xf numFmtId="6" fontId="18" fillId="14" borderId="38" xfId="1" applyNumberFormat="1" applyFont="1" applyFill="1" applyBorder="1" applyAlignment="1">
      <alignment horizontal="right"/>
    </xf>
    <xf numFmtId="38" fontId="18" fillId="14" borderId="38" xfId="1" applyNumberFormat="1" applyFont="1" applyFill="1" applyBorder="1" applyAlignment="1">
      <alignment horizontal="right"/>
    </xf>
    <xf numFmtId="6" fontId="18" fillId="14" borderId="42" xfId="1" applyNumberFormat="1" applyFont="1" applyFill="1" applyBorder="1" applyAlignment="1">
      <alignment horizontal="right"/>
    </xf>
    <xf numFmtId="42" fontId="3" fillId="3" borderId="60" xfId="1" applyNumberFormat="1" applyFont="1" applyFill="1" applyBorder="1" applyAlignment="1"/>
    <xf numFmtId="42" fontId="3" fillId="3" borderId="38" xfId="1" applyNumberFormat="1" applyFont="1" applyFill="1" applyBorder="1" applyAlignment="1"/>
    <xf numFmtId="42" fontId="3" fillId="3" borderId="61" xfId="1" applyNumberFormat="1" applyFont="1" applyFill="1" applyBorder="1" applyAlignment="1"/>
    <xf numFmtId="42" fontId="3" fillId="3" borderId="62" xfId="1" applyNumberFormat="1" applyFont="1" applyFill="1" applyBorder="1" applyAlignment="1"/>
    <xf numFmtId="41" fontId="24" fillId="0" borderId="27" xfId="0" applyNumberFormat="1" applyFont="1" applyBorder="1" applyAlignment="1">
      <alignment vertical="center"/>
    </xf>
    <xf numFmtId="42" fontId="24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0" fillId="0" borderId="49" xfId="1" applyNumberFormat="1" applyFont="1" applyFill="1" applyBorder="1" applyAlignment="1"/>
    <xf numFmtId="38" fontId="0" fillId="0" borderId="49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/>
    <xf numFmtId="0" fontId="0" fillId="0" borderId="46" xfId="0" applyFill="1" applyBorder="1" applyAlignment="1"/>
    <xf numFmtId="14" fontId="0" fillId="0" borderId="46" xfId="0" applyNumberFormat="1" applyFill="1" applyBorder="1" applyAlignment="1">
      <alignment horizontal="center"/>
    </xf>
    <xf numFmtId="6" fontId="0" fillId="0" borderId="57" xfId="0" applyNumberFormat="1" applyBorder="1" applyAlignment="1">
      <alignment horizontal="right"/>
    </xf>
    <xf numFmtId="14" fontId="0" fillId="0" borderId="63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46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41" fontId="2" fillId="0" borderId="49" xfId="1" applyNumberFormat="1" applyFon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166" fontId="26" fillId="0" borderId="27" xfId="0" applyNumberFormat="1" applyFont="1" applyBorder="1" applyAlignment="1">
      <alignment horizontal="center"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right" vertical="center"/>
    </xf>
    <xf numFmtId="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8" fontId="42" fillId="0" borderId="0" xfId="0" applyNumberFormat="1" applyFont="1"/>
    <xf numFmtId="0" fontId="3" fillId="3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24" xfId="0" applyFill="1" applyBorder="1"/>
    <xf numFmtId="41" fontId="2" fillId="0" borderId="4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9" borderId="34" xfId="0" applyFont="1" applyFill="1" applyBorder="1" applyAlignment="1">
      <alignment horizontal="center"/>
    </xf>
    <xf numFmtId="38" fontId="0" fillId="9" borderId="39" xfId="0" applyNumberFormat="1" applyFont="1" applyFill="1" applyBorder="1" applyAlignment="1">
      <alignment horizontal="center"/>
    </xf>
    <xf numFmtId="38" fontId="0" fillId="9" borderId="37" xfId="0" applyNumberFormat="1" applyFont="1" applyFill="1" applyBorder="1" applyAlignment="1">
      <alignment horizontal="center"/>
    </xf>
    <xf numFmtId="38" fontId="0" fillId="9" borderId="36" xfId="0" applyNumberFormat="1" applyFont="1" applyFill="1" applyBorder="1" applyAlignment="1">
      <alignment horizontal="center"/>
    </xf>
    <xf numFmtId="6" fontId="18" fillId="9" borderId="40" xfId="1" applyNumberFormat="1" applyFont="1" applyFill="1" applyBorder="1" applyAlignment="1">
      <alignment horizontal="right"/>
    </xf>
    <xf numFmtId="6" fontId="18" fillId="9" borderId="51" xfId="1" applyNumberFormat="1" applyFont="1" applyFill="1" applyBorder="1" applyAlignment="1">
      <alignment horizontal="right"/>
    </xf>
    <xf numFmtId="165" fontId="43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Fill="1"/>
    <xf numFmtId="38" fontId="0" fillId="0" borderId="48" xfId="1" applyNumberFormat="1" applyFont="1" applyFill="1" applyBorder="1" applyAlignment="1">
      <alignment horizontal="right"/>
    </xf>
    <xf numFmtId="6" fontId="19" fillId="9" borderId="0" xfId="0" applyNumberFormat="1" applyFont="1" applyFill="1" applyBorder="1"/>
    <xf numFmtId="6" fontId="18" fillId="9" borderId="19" xfId="0" applyNumberFormat="1" applyFont="1" applyFill="1" applyBorder="1" applyAlignment="1">
      <alignment horizontal="center"/>
    </xf>
    <xf numFmtId="38" fontId="18" fillId="9" borderId="9" xfId="1" applyNumberFormat="1" applyFont="1" applyFill="1" applyBorder="1" applyAlignment="1">
      <alignment horizontal="right"/>
    </xf>
    <xf numFmtId="38" fontId="18" fillId="9" borderId="1" xfId="1" applyNumberFormat="1" applyFont="1" applyFill="1" applyBorder="1" applyAlignment="1">
      <alignment horizontal="right"/>
    </xf>
    <xf numFmtId="38" fontId="18" fillId="9" borderId="17" xfId="1" applyNumberFormat="1" applyFont="1" applyFill="1" applyBorder="1" applyAlignment="1">
      <alignment horizontal="right"/>
    </xf>
    <xf numFmtId="38" fontId="18" fillId="9" borderId="10" xfId="1" applyNumberFormat="1" applyFont="1" applyFill="1" applyBorder="1" applyAlignment="1">
      <alignment horizontal="right"/>
    </xf>
    <xf numFmtId="38" fontId="18" fillId="9" borderId="4" xfId="1" applyNumberFormat="1" applyFont="1" applyFill="1" applyBorder="1" applyAlignment="1">
      <alignment horizontal="right"/>
    </xf>
    <xf numFmtId="38" fontId="18" fillId="9" borderId="64" xfId="1" applyNumberFormat="1" applyFont="1" applyFill="1" applyBorder="1" applyAlignment="1">
      <alignment horizontal="right"/>
    </xf>
    <xf numFmtId="6" fontId="18" fillId="0" borderId="0" xfId="1" applyNumberFormat="1" applyFont="1" applyFill="1" applyBorder="1" applyAlignment="1">
      <alignment horizontal="right"/>
    </xf>
    <xf numFmtId="6" fontId="18" fillId="15" borderId="38" xfId="1" applyNumberFormat="1" applyFont="1" applyFill="1" applyBorder="1" applyAlignment="1">
      <alignment horizontal="right"/>
    </xf>
    <xf numFmtId="38" fontId="18" fillId="15" borderId="38" xfId="1" applyNumberFormat="1" applyFont="1" applyFill="1" applyBorder="1" applyAlignment="1">
      <alignment horizontal="right"/>
    </xf>
    <xf numFmtId="6" fontId="18" fillId="15" borderId="42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42" fontId="3" fillId="2" borderId="44" xfId="0" applyNumberFormat="1" applyFont="1" applyFill="1" applyBorder="1" applyAlignment="1"/>
    <xf numFmtId="40" fontId="45" fillId="0" borderId="0" xfId="0" applyNumberFormat="1" applyFont="1" applyAlignment="1">
      <alignment horizontal="center" vertical="center"/>
    </xf>
    <xf numFmtId="165" fontId="44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horizontal="right" wrapText="1"/>
    </xf>
    <xf numFmtId="41" fontId="35" fillId="0" borderId="0" xfId="0" applyNumberFormat="1" applyFont="1" applyFill="1" applyAlignment="1">
      <alignment horizont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quotePrefix="1" applyFont="1" applyFill="1" applyAlignment="1">
      <alignment horizontal="center" vertical="center" wrapText="1"/>
    </xf>
    <xf numFmtId="42" fontId="35" fillId="0" borderId="31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Alignment="1">
      <alignment horizontal="center" wrapText="1"/>
    </xf>
    <xf numFmtId="41" fontId="35" fillId="0" borderId="0" xfId="0" applyNumberFormat="1" applyFont="1" applyFill="1" applyBorder="1" applyAlignment="1">
      <alignment horizontal="center" wrapText="1"/>
    </xf>
    <xf numFmtId="6" fontId="35" fillId="0" borderId="31" xfId="0" applyNumberFormat="1" applyFont="1" applyFill="1" applyBorder="1" applyAlignment="1">
      <alignment horizontal="right" wrapText="1"/>
    </xf>
    <xf numFmtId="42" fontId="35" fillId="0" borderId="3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8" fontId="19" fillId="9" borderId="9" xfId="1" applyNumberFormat="1" applyFont="1" applyFill="1" applyBorder="1" applyAlignment="1">
      <alignment horizontal="right"/>
    </xf>
    <xf numFmtId="38" fontId="19" fillId="9" borderId="10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0" xfId="1" applyNumberFormat="1" applyFont="1" applyFill="1" applyBorder="1" applyAlignment="1">
      <alignment horizontal="right"/>
    </xf>
    <xf numFmtId="6" fontId="18" fillId="13" borderId="33" xfId="0" applyNumberFormat="1" applyFont="1" applyFill="1" applyBorder="1" applyAlignment="1">
      <alignment horizontal="center" vertical="center"/>
    </xf>
    <xf numFmtId="49" fontId="18" fillId="15" borderId="33" xfId="0" applyNumberFormat="1" applyFont="1" applyFill="1" applyBorder="1" applyAlignment="1">
      <alignment vertical="center"/>
    </xf>
    <xf numFmtId="49" fontId="18" fillId="15" borderId="32" xfId="0" applyNumberFormat="1" applyFont="1" applyFill="1" applyBorder="1" applyAlignment="1">
      <alignment vertical="center"/>
    </xf>
    <xf numFmtId="49" fontId="18" fillId="16" borderId="33" xfId="0" applyNumberFormat="1" applyFont="1" applyFill="1" applyBorder="1"/>
    <xf numFmtId="6" fontId="18" fillId="16" borderId="38" xfId="1" applyNumberFormat="1" applyFont="1" applyFill="1" applyBorder="1" applyAlignment="1">
      <alignment horizontal="right"/>
    </xf>
    <xf numFmtId="38" fontId="18" fillId="16" borderId="38" xfId="1" applyNumberFormat="1" applyFont="1" applyFill="1" applyBorder="1" applyAlignment="1">
      <alignment horizontal="right"/>
    </xf>
    <xf numFmtId="6" fontId="18" fillId="16" borderId="42" xfId="1" applyNumberFormat="1" applyFont="1" applyFill="1" applyBorder="1" applyAlignment="1">
      <alignment horizontal="right"/>
    </xf>
    <xf numFmtId="49" fontId="18" fillId="16" borderId="32" xfId="0" applyNumberFormat="1" applyFont="1" applyFill="1" applyBorder="1" applyAlignment="1">
      <alignment vertical="center"/>
    </xf>
    <xf numFmtId="43" fontId="0" fillId="0" borderId="49" xfId="1" applyNumberFormat="1" applyFont="1" applyFill="1" applyBorder="1" applyAlignment="1"/>
    <xf numFmtId="0" fontId="0" fillId="0" borderId="63" xfId="0" applyFill="1" applyBorder="1" applyAlignment="1">
      <alignment horizontal="left"/>
    </xf>
    <xf numFmtId="0" fontId="0" fillId="0" borderId="63" xfId="0" applyFill="1" applyBorder="1" applyAlignment="1">
      <alignment horizontal="center"/>
    </xf>
    <xf numFmtId="38" fontId="0" fillId="0" borderId="63" xfId="1" applyNumberFormat="1" applyFont="1" applyFill="1" applyBorder="1" applyAlignment="1"/>
    <xf numFmtId="41" fontId="0" fillId="0" borderId="63" xfId="1" applyNumberFormat="1" applyFont="1" applyFill="1" applyBorder="1" applyAlignment="1"/>
    <xf numFmtId="0" fontId="10" fillId="0" borderId="0" xfId="0" applyFont="1" applyBorder="1"/>
    <xf numFmtId="165" fontId="44" fillId="0" borderId="27" xfId="0" applyNumberFormat="1" applyFont="1" applyBorder="1" applyAlignment="1">
      <alignment horizontal="center" vertical="center"/>
    </xf>
    <xf numFmtId="42" fontId="24" fillId="0" borderId="31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/>
    </xf>
    <xf numFmtId="41" fontId="15" fillId="0" borderId="19" xfId="0" applyNumberFormat="1" applyFont="1" applyFill="1" applyBorder="1" applyAlignment="1">
      <alignment vertical="center"/>
    </xf>
    <xf numFmtId="42" fontId="15" fillId="0" borderId="27" xfId="0" applyNumberFormat="1" applyFont="1" applyFill="1" applyBorder="1" applyAlignment="1">
      <alignment vertical="center"/>
    </xf>
    <xf numFmtId="42" fontId="15" fillId="0" borderId="3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38" fillId="0" borderId="0" xfId="0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center" vertical="center" wrapText="1"/>
    </xf>
    <xf numFmtId="6" fontId="0" fillId="0" borderId="0" xfId="0" applyNumberFormat="1" applyFill="1"/>
    <xf numFmtId="17" fontId="0" fillId="0" borderId="0" xfId="0" applyNumberFormat="1" applyFill="1"/>
    <xf numFmtId="0" fontId="3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 wrapText="1"/>
    </xf>
    <xf numFmtId="0" fontId="0" fillId="0" borderId="35" xfId="0" applyFill="1" applyBorder="1" applyAlignment="1"/>
    <xf numFmtId="38" fontId="0" fillId="0" borderId="0" xfId="0" applyNumberFormat="1" applyFill="1"/>
    <xf numFmtId="6" fontId="35" fillId="0" borderId="0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17" fontId="0" fillId="0" borderId="11" xfId="0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right" vertical="top" wrapText="1"/>
    </xf>
    <xf numFmtId="42" fontId="0" fillId="0" borderId="10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4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41" fontId="35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38" fontId="15" fillId="0" borderId="0" xfId="0" applyNumberFormat="1" applyFont="1" applyFill="1" applyBorder="1" applyAlignment="1">
      <alignment vertical="center"/>
    </xf>
    <xf numFmtId="41" fontId="35" fillId="0" borderId="0" xfId="0" applyNumberFormat="1" applyFont="1" applyFill="1" applyAlignment="1">
      <alignment horizontal="right" vertical="center" wrapText="1"/>
    </xf>
    <xf numFmtId="40" fontId="0" fillId="0" borderId="0" xfId="0" applyNumberFormat="1" applyFill="1"/>
    <xf numFmtId="49" fontId="15" fillId="0" borderId="0" xfId="0" applyNumberFormat="1" applyFont="1" applyAlignment="1">
      <alignment horizontal="left" vertical="center"/>
    </xf>
    <xf numFmtId="38" fontId="0" fillId="0" borderId="0" xfId="0" applyNumberFormat="1" applyFill="1" applyBorder="1" applyAlignment="1">
      <alignment horizontal="right"/>
    </xf>
    <xf numFmtId="42" fontId="6" fillId="2" borderId="44" xfId="0" applyNumberFormat="1" applyFont="1" applyFill="1" applyBorder="1" applyAlignment="1"/>
    <xf numFmtId="42" fontId="0" fillId="0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8" fillId="0" borderId="65" xfId="0" applyNumberFormat="1" applyFont="1" applyBorder="1" applyAlignment="1">
      <alignment horizontal="center"/>
    </xf>
    <xf numFmtId="38" fontId="8" fillId="0" borderId="0" xfId="0" applyNumberFormat="1" applyFont="1"/>
    <xf numFmtId="38" fontId="51" fillId="0" borderId="0" xfId="0" applyNumberFormat="1" applyFont="1"/>
    <xf numFmtId="38" fontId="51" fillId="0" borderId="0" xfId="0" applyNumberFormat="1" applyFont="1" applyBorder="1"/>
    <xf numFmtId="38" fontId="50" fillId="0" borderId="0" xfId="0" applyNumberFormat="1" applyFont="1"/>
    <xf numFmtId="168" fontId="52" fillId="0" borderId="0" xfId="0" applyNumberFormat="1" applyFont="1"/>
    <xf numFmtId="17" fontId="0" fillId="0" borderId="0" xfId="0" applyNumberFormat="1"/>
    <xf numFmtId="6" fontId="0" fillId="0" borderId="0" xfId="0" applyNumberFormat="1"/>
    <xf numFmtId="10" fontId="0" fillId="0" borderId="0" xfId="0" applyNumberFormat="1" applyFill="1"/>
    <xf numFmtId="0" fontId="35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/>
    <xf numFmtId="10" fontId="0" fillId="0" borderId="57" xfId="0" applyNumberForma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8" fillId="14" borderId="32" xfId="0" applyNumberFormat="1" applyFont="1" applyFill="1" applyBorder="1" applyAlignment="1">
      <alignment vertical="center"/>
    </xf>
    <xf numFmtId="6" fontId="0" fillId="0" borderId="0" xfId="0" applyNumberFormat="1" applyFill="1" applyBorder="1" applyAlignment="1"/>
    <xf numFmtId="165" fontId="44" fillId="0" borderId="31" xfId="0" applyNumberFormat="1" applyFont="1" applyBorder="1" applyAlignment="1">
      <alignment horizontal="center" vertical="center"/>
    </xf>
    <xf numFmtId="164" fontId="50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 wrapText="1" indent="4"/>
    </xf>
    <xf numFmtId="0" fontId="1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41" fontId="13" fillId="0" borderId="30" xfId="0" applyNumberFormat="1" applyFont="1" applyBorder="1" applyAlignment="1">
      <alignment horizontal="center" vertical="center"/>
    </xf>
    <xf numFmtId="6" fontId="0" fillId="0" borderId="49" xfId="1" applyNumberFormat="1" applyFont="1" applyFill="1" applyBorder="1" applyAlignment="1">
      <alignment horizontal="center"/>
    </xf>
    <xf numFmtId="165" fontId="44" fillId="0" borderId="33" xfId="0" applyNumberFormat="1" applyFont="1" applyBorder="1" applyAlignment="1">
      <alignment horizontal="center" vertical="center"/>
    </xf>
    <xf numFmtId="41" fontId="54" fillId="0" borderId="0" xfId="0" applyNumberFormat="1" applyFont="1" applyBorder="1" applyAlignment="1">
      <alignment vertical="center"/>
    </xf>
    <xf numFmtId="41" fontId="53" fillId="0" borderId="27" xfId="0" applyNumberFormat="1" applyFont="1" applyBorder="1" applyAlignment="1">
      <alignment vertical="center"/>
    </xf>
    <xf numFmtId="165" fontId="44" fillId="0" borderId="2" xfId="0" applyNumberFormat="1" applyFont="1" applyBorder="1" applyAlignment="1">
      <alignment horizontal="center" vertical="center"/>
    </xf>
    <xf numFmtId="41" fontId="54" fillId="0" borderId="2" xfId="0" applyNumberFormat="1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7" xfId="0" applyFont="1" applyBorder="1" applyAlignment="1">
      <alignment vertical="center"/>
    </xf>
    <xf numFmtId="41" fontId="19" fillId="5" borderId="1" xfId="0" applyNumberFormat="1" applyFont="1" applyFill="1" applyBorder="1" applyAlignment="1"/>
    <xf numFmtId="38" fontId="19" fillId="9" borderId="1" xfId="1" applyNumberFormat="1" applyFont="1" applyFill="1" applyBorder="1" applyAlignment="1">
      <alignment horizontal="right"/>
    </xf>
    <xf numFmtId="0" fontId="0" fillId="0" borderId="66" xfId="0" applyFill="1" applyBorder="1"/>
    <xf numFmtId="38" fontId="0" fillId="2" borderId="49" xfId="1" applyNumberFormat="1" applyFont="1" applyFill="1" applyBorder="1" applyAlignment="1">
      <alignment horizontal="right"/>
    </xf>
    <xf numFmtId="38" fontId="0" fillId="2" borderId="49" xfId="1" applyNumberFormat="1" applyFont="1" applyFill="1" applyBorder="1" applyAlignment="1"/>
    <xf numFmtId="38" fontId="0" fillId="2" borderId="48" xfId="1" applyNumberFormat="1" applyFont="1" applyFill="1" applyBorder="1" applyAlignment="1"/>
    <xf numFmtId="168" fontId="55" fillId="0" borderId="0" xfId="0" applyNumberFormat="1" applyFont="1"/>
    <xf numFmtId="3" fontId="51" fillId="0" borderId="0" xfId="0" applyNumberFormat="1" applyFont="1"/>
    <xf numFmtId="168" fontId="8" fillId="0" borderId="65" xfId="0" applyNumberFormat="1" applyFont="1" applyBorder="1" applyAlignment="1">
      <alignment horizontal="center"/>
    </xf>
    <xf numFmtId="168" fontId="8" fillId="0" borderId="0" xfId="0" applyNumberFormat="1" applyFont="1"/>
    <xf numFmtId="168" fontId="51" fillId="0" borderId="0" xfId="0" applyNumberFormat="1" applyFont="1"/>
    <xf numFmtId="168" fontId="0" fillId="0" borderId="0" xfId="0" applyNumberFormat="1"/>
    <xf numFmtId="38" fontId="0" fillId="0" borderId="11" xfId="0" applyNumberFormat="1" applyBorder="1"/>
    <xf numFmtId="38" fontId="0" fillId="0" borderId="0" xfId="0" applyNumberFormat="1" applyBorder="1"/>
    <xf numFmtId="38" fontId="0" fillId="0" borderId="31" xfId="0" applyNumberFormat="1" applyBorder="1"/>
    <xf numFmtId="0" fontId="56" fillId="0" borderId="0" xfId="0" applyNumberFormat="1" applyFont="1" applyBorder="1" applyAlignment="1">
      <alignment horizontal="center"/>
    </xf>
    <xf numFmtId="0" fontId="57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41" fontId="5" fillId="0" borderId="0" xfId="0" applyNumberFormat="1" applyFont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/>
    <xf numFmtId="0" fontId="34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43" fontId="0" fillId="0" borderId="48" xfId="1" applyNumberFormat="1" applyFont="1" applyFill="1" applyBorder="1" applyAlignment="1"/>
    <xf numFmtId="1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>
      <alignment horizontal="center" vertical="center" wrapText="1"/>
    </xf>
    <xf numFmtId="42" fontId="0" fillId="0" borderId="0" xfId="0" applyNumberFormat="1" applyFont="1" applyFill="1" applyBorder="1" applyAlignment="1">
      <alignment horizontal="left" vertical="top" wrapText="1"/>
    </xf>
    <xf numFmtId="44" fontId="58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left" vertical="top" wrapText="1"/>
    </xf>
    <xf numFmtId="0" fontId="50" fillId="0" borderId="11" xfId="0" applyFont="1" applyBorder="1" applyAlignment="1">
      <alignment horizontal="center" vertical="center" wrapText="1"/>
    </xf>
    <xf numFmtId="42" fontId="35" fillId="0" borderId="0" xfId="0" applyNumberFormat="1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5" fillId="0" borderId="0" xfId="0" applyFont="1" applyFill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21" fillId="0" borderId="11" xfId="0" applyFont="1" applyFill="1" applyBorder="1" applyAlignment="1">
      <alignment horizontal="center" vertical="top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5" fillId="0" borderId="0" xfId="0" applyFont="1" applyFill="1" applyAlignment="1">
      <alignment horizontal="left" vertical="center" wrapText="1" indent="2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3" borderId="3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49" fontId="18" fillId="5" borderId="34" xfId="0" applyNumberFormat="1" applyFont="1" applyFill="1" applyBorder="1" applyAlignment="1">
      <alignment horizontal="left"/>
    </xf>
    <xf numFmtId="49" fontId="18" fillId="5" borderId="28" xfId="0" applyNumberFormat="1" applyFont="1" applyFill="1" applyBorder="1" applyAlignment="1">
      <alignment horizontal="left"/>
    </xf>
    <xf numFmtId="49" fontId="18" fillId="12" borderId="35" xfId="0" applyNumberFormat="1" applyFont="1" applyFill="1" applyBorder="1" applyAlignment="1">
      <alignment horizontal="center" vertical="center"/>
    </xf>
    <xf numFmtId="49" fontId="18" fillId="12" borderId="52" xfId="0" applyNumberFormat="1" applyFont="1" applyFill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1FFB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Checking</a:t>
            </a:r>
            <a:r>
              <a:rPr lang="en-US" baseline="0"/>
              <a:t> Account Balance</a:t>
            </a:r>
            <a:endParaRPr lang="en-US"/>
          </a:p>
        </c:rich>
      </c:tx>
      <c:layout>
        <c:manualLayout>
          <c:xMode val="edge"/>
          <c:yMode val="edge"/>
          <c:x val="0.33707013072641284"/>
          <c:y val="2.6666675998836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Data!$A$265:$A$405</c:f>
              <c:numCache>
                <c:formatCode>[$-F800]dddd\,\ mmmm\ dd\,\ yyyy</c:formatCode>
                <c:ptCount val="14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42785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</c:numCache>
            </c:numRef>
          </c:cat>
          <c:val>
            <c:numRef>
              <c:f>Data!$B$265:$B$405</c:f>
              <c:numCache>
                <c:formatCode>#,##0</c:formatCode>
                <c:ptCount val="141"/>
                <c:pt idx="0">
                  <c:v>354814</c:v>
                </c:pt>
                <c:pt idx="1">
                  <c:v>361866.86</c:v>
                </c:pt>
                <c:pt idx="2">
                  <c:v>363519.32</c:v>
                </c:pt>
                <c:pt idx="3">
                  <c:v>361866.66</c:v>
                </c:pt>
                <c:pt idx="4">
                  <c:v>363519</c:v>
                </c:pt>
                <c:pt idx="5">
                  <c:v>363543.47</c:v>
                </c:pt>
                <c:pt idx="6">
                  <c:v>328707.83</c:v>
                </c:pt>
                <c:pt idx="7">
                  <c:v>328708</c:v>
                </c:pt>
                <c:pt idx="8">
                  <c:v>321086.01</c:v>
                </c:pt>
                <c:pt idx="9">
                  <c:v>334097.28000000003</c:v>
                </c:pt>
                <c:pt idx="10">
                  <c:v>334097</c:v>
                </c:pt>
                <c:pt idx="11">
                  <c:v>268850.96000000002</c:v>
                </c:pt>
                <c:pt idx="12">
                  <c:v>268851</c:v>
                </c:pt>
                <c:pt idx="13">
                  <c:v>269075.21000000002</c:v>
                </c:pt>
                <c:pt idx="14">
                  <c:v>270983.21000000002</c:v>
                </c:pt>
                <c:pt idx="15">
                  <c:v>270983</c:v>
                </c:pt>
                <c:pt idx="16">
                  <c:v>270723.98</c:v>
                </c:pt>
                <c:pt idx="17">
                  <c:v>281353.09999999998</c:v>
                </c:pt>
                <c:pt idx="18">
                  <c:v>274313.84999999998</c:v>
                </c:pt>
                <c:pt idx="19">
                  <c:v>296447.59999999998</c:v>
                </c:pt>
                <c:pt idx="20">
                  <c:v>295107.96000000002</c:v>
                </c:pt>
                <c:pt idx="21">
                  <c:v>314030.53000000003</c:v>
                </c:pt>
                <c:pt idx="22">
                  <c:v>314031</c:v>
                </c:pt>
                <c:pt idx="23">
                  <c:v>312808.53999999998</c:v>
                </c:pt>
                <c:pt idx="24">
                  <c:v>316461.53999999998</c:v>
                </c:pt>
                <c:pt idx="25">
                  <c:v>316462</c:v>
                </c:pt>
                <c:pt idx="26">
                  <c:v>289560.21999999997</c:v>
                </c:pt>
                <c:pt idx="27">
                  <c:v>297310.21999999997</c:v>
                </c:pt>
                <c:pt idx="28">
                  <c:v>352433.91</c:v>
                </c:pt>
                <c:pt idx="29">
                  <c:v>352434</c:v>
                </c:pt>
                <c:pt idx="30">
                  <c:v>352434</c:v>
                </c:pt>
                <c:pt idx="31">
                  <c:v>352434</c:v>
                </c:pt>
                <c:pt idx="32">
                  <c:v>352542.46</c:v>
                </c:pt>
                <c:pt idx="33">
                  <c:v>383231.99</c:v>
                </c:pt>
                <c:pt idx="34">
                  <c:v>404679.36</c:v>
                </c:pt>
                <c:pt idx="35">
                  <c:v>404679</c:v>
                </c:pt>
                <c:pt idx="36">
                  <c:v>368703.72</c:v>
                </c:pt>
                <c:pt idx="37">
                  <c:v>368203.72</c:v>
                </c:pt>
                <c:pt idx="38">
                  <c:v>349211.92</c:v>
                </c:pt>
                <c:pt idx="39">
                  <c:v>384176.45</c:v>
                </c:pt>
                <c:pt idx="40">
                  <c:v>384176</c:v>
                </c:pt>
                <c:pt idx="41">
                  <c:v>384176</c:v>
                </c:pt>
                <c:pt idx="42">
                  <c:v>384176</c:v>
                </c:pt>
                <c:pt idx="43">
                  <c:v>395396.43</c:v>
                </c:pt>
                <c:pt idx="44">
                  <c:v>395396</c:v>
                </c:pt>
                <c:pt idx="45">
                  <c:v>395396</c:v>
                </c:pt>
                <c:pt idx="46">
                  <c:v>361856.47</c:v>
                </c:pt>
                <c:pt idx="47">
                  <c:v>361856</c:v>
                </c:pt>
                <c:pt idx="48">
                  <c:v>349877.16</c:v>
                </c:pt>
                <c:pt idx="49">
                  <c:v>359297.81</c:v>
                </c:pt>
                <c:pt idx="50">
                  <c:v>361678.91</c:v>
                </c:pt>
                <c:pt idx="51">
                  <c:v>361679</c:v>
                </c:pt>
                <c:pt idx="52">
                  <c:v>370843.37</c:v>
                </c:pt>
                <c:pt idx="53">
                  <c:v>377566.07</c:v>
                </c:pt>
                <c:pt idx="54">
                  <c:v>370373.97</c:v>
                </c:pt>
                <c:pt idx="55">
                  <c:v>338340.3</c:v>
                </c:pt>
                <c:pt idx="56">
                  <c:v>338340</c:v>
                </c:pt>
                <c:pt idx="57">
                  <c:v>338340</c:v>
                </c:pt>
                <c:pt idx="58">
                  <c:v>348438.37</c:v>
                </c:pt>
                <c:pt idx="59">
                  <c:v>348438</c:v>
                </c:pt>
                <c:pt idx="60">
                  <c:v>348360.51</c:v>
                </c:pt>
                <c:pt idx="61" formatCode="#,##0_);[Red]\(#,##0\)">
                  <c:v>348440.48</c:v>
                </c:pt>
                <c:pt idx="62" formatCode="#,##0_);[Red]\(#,##0\)">
                  <c:v>348440</c:v>
                </c:pt>
                <c:pt idx="63" formatCode="#,##0_);[Red]\(#,##0\)">
                  <c:v>350305.92</c:v>
                </c:pt>
                <c:pt idx="64" formatCode="#,##0_);[Red]\(#,##0\)">
                  <c:v>350306</c:v>
                </c:pt>
                <c:pt idx="65" formatCode="#,##0_);[Red]\(#,##0\)">
                  <c:v>350306</c:v>
                </c:pt>
                <c:pt idx="66" formatCode="#,##0_);[Red]\(#,##0\)">
                  <c:v>320389.65000000002</c:v>
                </c:pt>
                <c:pt idx="67" formatCode="#,##0_);[Red]\(#,##0\)">
                  <c:v>320390</c:v>
                </c:pt>
                <c:pt idx="68" formatCode="#,##0_);[Red]\(#,##0\)">
                  <c:v>313344</c:v>
                </c:pt>
                <c:pt idx="69" formatCode="#,##0_);[Red]\(#,##0\)">
                  <c:v>313344</c:v>
                </c:pt>
                <c:pt idx="70" formatCode="#,##0_);[Red]\(#,##0\)">
                  <c:v>306132.78000000003</c:v>
                </c:pt>
                <c:pt idx="71" formatCode="#,##0_);[Red]\(#,##0\)">
                  <c:v>286047.34999999998</c:v>
                </c:pt>
                <c:pt idx="72" formatCode="#,##0_);[Red]\(#,##0\)">
                  <c:v>286047</c:v>
                </c:pt>
                <c:pt idx="73" formatCode="#,##0_);[Red]\(#,##0\)">
                  <c:v>272128.99</c:v>
                </c:pt>
                <c:pt idx="74" formatCode="#,##0_);[Red]\(#,##0\)">
                  <c:v>272229.71000000002</c:v>
                </c:pt>
                <c:pt idx="75" formatCode="#,##0_);[Red]\(#,##0\)">
                  <c:v>236683.56</c:v>
                </c:pt>
                <c:pt idx="76" formatCode="#,##0_);[Red]\(#,##0\)">
                  <c:v>244114.64</c:v>
                </c:pt>
                <c:pt idx="77" formatCode="#,##0_);[Red]\(#,##0\)">
                  <c:v>244115</c:v>
                </c:pt>
                <c:pt idx="78" formatCode="#,##0_);[Red]\(#,##0\)">
                  <c:v>241798.76</c:v>
                </c:pt>
                <c:pt idx="79" formatCode="#,##0_);[Red]\(#,##0\)">
                  <c:v>241799</c:v>
                </c:pt>
                <c:pt idx="80" formatCode="#,##0_);[Red]\(#,##0\)">
                  <c:v>241973.76000000001</c:v>
                </c:pt>
                <c:pt idx="81" formatCode="#,##0_);[Red]\(#,##0\)">
                  <c:v>243364.2</c:v>
                </c:pt>
                <c:pt idx="82" formatCode="#,##0_);[Red]\(#,##0\)">
                  <c:v>243364</c:v>
                </c:pt>
                <c:pt idx="83" formatCode="#,##0_);[Red]\(#,##0\)">
                  <c:v>259265.45</c:v>
                </c:pt>
                <c:pt idx="84" formatCode="#,##0_);[Red]\(#,##0\)">
                  <c:v>290731.18</c:v>
                </c:pt>
                <c:pt idx="85" formatCode="#,##0_);[Red]\(#,##0\)">
                  <c:v>251486.17</c:v>
                </c:pt>
                <c:pt idx="86" formatCode="#,##0_);[Red]\(#,##0\)">
                  <c:v>253188.17</c:v>
                </c:pt>
                <c:pt idx="87" formatCode="#,##0_);[Red]\(#,##0\)">
                  <c:v>253188</c:v>
                </c:pt>
                <c:pt idx="88" formatCode="#,##0_);[Red]\(#,##0\)">
                  <c:v>232739.33</c:v>
                </c:pt>
                <c:pt idx="89" formatCode="#,##0_);[Red]\(#,##0\)">
                  <c:v>234049.33</c:v>
                </c:pt>
                <c:pt idx="90" formatCode="#,##0_);[Red]\(#,##0\)">
                  <c:v>314317.77</c:v>
                </c:pt>
                <c:pt idx="91" formatCode="#,##0_);[Red]\(#,##0\)">
                  <c:v>314318</c:v>
                </c:pt>
                <c:pt idx="92" formatCode="#,##0_);[Red]\(#,##0\)">
                  <c:v>314318</c:v>
                </c:pt>
                <c:pt idx="93" formatCode="#,##0_);[Red]\(#,##0\)">
                  <c:v>313971.28000000003</c:v>
                </c:pt>
                <c:pt idx="94" formatCode="#,##0_);[Red]\(#,##0\)">
                  <c:v>313971</c:v>
                </c:pt>
                <c:pt idx="95" formatCode="#,##0_);[Red]\(#,##0\)">
                  <c:v>271063.69</c:v>
                </c:pt>
                <c:pt idx="96" formatCode="#,##0_);[Red]\(#,##0\)">
                  <c:v>271064</c:v>
                </c:pt>
                <c:pt idx="97" formatCode="#,##0_);[Red]\(#,##0\)">
                  <c:v>271064</c:v>
                </c:pt>
                <c:pt idx="98" formatCode="#,##0_);[Red]\(#,##0\)">
                  <c:v>261497.73</c:v>
                </c:pt>
                <c:pt idx="99" formatCode="#,##0_);[Red]\(#,##0\)">
                  <c:v>311507.92</c:v>
                </c:pt>
                <c:pt idx="100" formatCode="#,##0_);[Red]\(#,##0\)">
                  <c:v>290080.52</c:v>
                </c:pt>
                <c:pt idx="101" formatCode="#,##0_);[Red]\(#,##0\)">
                  <c:v>290081</c:v>
                </c:pt>
                <c:pt idx="102" formatCode="#,##0_);[Red]\(#,##0\)">
                  <c:v>327080.46000000002</c:v>
                </c:pt>
                <c:pt idx="103" formatCode="#,##0_);[Red]\(#,##0\)">
                  <c:v>327080</c:v>
                </c:pt>
                <c:pt idx="104" formatCode="#,##0_);[Red]\(#,##0\)">
                  <c:v>336844.12</c:v>
                </c:pt>
                <c:pt idx="105" formatCode="#,##0_);[Red]\(#,##0\)">
                  <c:v>336844</c:v>
                </c:pt>
                <c:pt idx="106" formatCode="#,##0_);[Red]\(#,##0\)">
                  <c:v>300553.48</c:v>
                </c:pt>
                <c:pt idx="107" formatCode="#,##0_);[Red]\(#,##0\)">
                  <c:v>296887.5</c:v>
                </c:pt>
                <c:pt idx="108" formatCode="#,##0_);[Red]\(#,##0\)">
                  <c:v>297355.68</c:v>
                </c:pt>
                <c:pt idx="109" formatCode="#,##0_);[Red]\(#,##0\)">
                  <c:v>298760.68</c:v>
                </c:pt>
                <c:pt idx="110" formatCode="#,##0_);[Red]\(#,##0\)">
                  <c:v>279006.82</c:v>
                </c:pt>
                <c:pt idx="111" formatCode="#,##0_);[Red]\(#,##0\)">
                  <c:v>279007</c:v>
                </c:pt>
                <c:pt idx="112" formatCode="#,##0_);[Red]\(#,##0\)">
                  <c:v>279007</c:v>
                </c:pt>
                <c:pt idx="113" formatCode="#,##0_);[Red]\(#,##0\)">
                  <c:v>279112.07</c:v>
                </c:pt>
                <c:pt idx="114" formatCode="#,##0_);[Red]\(#,##0\)">
                  <c:v>279112</c:v>
                </c:pt>
                <c:pt idx="115" formatCode="#,##0_);[Red]\(#,##0\)">
                  <c:v>244072.02</c:v>
                </c:pt>
                <c:pt idx="116" formatCode="#,##0_);[Red]\(#,##0\)">
                  <c:v>249325.41</c:v>
                </c:pt>
                <c:pt idx="117" formatCode="#,##0_);[Red]\(#,##0\)">
                  <c:v>249325</c:v>
                </c:pt>
                <c:pt idx="118" formatCode="#,##0_);[Red]\(#,##0\)">
                  <c:v>252874.48</c:v>
                </c:pt>
                <c:pt idx="119" formatCode="#,##0_);[Red]\(#,##0\)">
                  <c:v>253128.65</c:v>
                </c:pt>
                <c:pt idx="120" formatCode="#,##0_);[Red]\(#,##0\)">
                  <c:v>255098.96</c:v>
                </c:pt>
                <c:pt idx="121" formatCode="#,##0_);[Red]\(#,##0\)">
                  <c:v>253521.42</c:v>
                </c:pt>
                <c:pt idx="122" formatCode="#,##0_);[Red]\(#,##0\)">
                  <c:v>253521</c:v>
                </c:pt>
                <c:pt idx="123" formatCode="#,##0_);[Red]\(#,##0\)">
                  <c:v>235912.36</c:v>
                </c:pt>
                <c:pt idx="124" formatCode="#,##0_);[Red]\(#,##0\)">
                  <c:v>235912</c:v>
                </c:pt>
                <c:pt idx="125" formatCode="#,##0_);[Red]\(#,##0\)">
                  <c:v>198879.76</c:v>
                </c:pt>
                <c:pt idx="126" formatCode="#,##0_);[Red]\(#,##0\)">
                  <c:v>199009.76</c:v>
                </c:pt>
                <c:pt idx="127" formatCode="#,##0_);[Red]\(#,##0\)">
                  <c:v>199010</c:v>
                </c:pt>
                <c:pt idx="128" formatCode="#,##0_);[Red]\(#,##0\)">
                  <c:v>210354</c:v>
                </c:pt>
                <c:pt idx="129" formatCode="#,##0_);[Red]\(#,##0\)">
                  <c:v>260779.62</c:v>
                </c:pt>
                <c:pt idx="130" formatCode="#,##0_);[Red]\(#,##0\)">
                  <c:v>260780</c:v>
                </c:pt>
                <c:pt idx="131" formatCode="#,##0_);[Red]\(#,##0\)">
                  <c:v>260780</c:v>
                </c:pt>
                <c:pt idx="132" formatCode="#,##0_);[Red]\(#,##0\)">
                  <c:v>260780</c:v>
                </c:pt>
                <c:pt idx="133" formatCode="#,##0_);[Red]\(#,##0\)">
                  <c:v>261774.11</c:v>
                </c:pt>
                <c:pt idx="134" formatCode="#,##0_);[Red]\(#,##0\)">
                  <c:v>261774</c:v>
                </c:pt>
                <c:pt idx="135" formatCode="#,##0_);[Red]\(#,##0\)">
                  <c:v>226950.89</c:v>
                </c:pt>
                <c:pt idx="136" formatCode="#,##0_);[Red]\(#,##0\)">
                  <c:v>226951</c:v>
                </c:pt>
                <c:pt idx="137" formatCode="#,##0_);[Red]\(#,##0\)">
                  <c:v>248711.94</c:v>
                </c:pt>
                <c:pt idx="138" formatCode="#,##0_);[Red]\(#,##0\)">
                  <c:v>256201.58</c:v>
                </c:pt>
                <c:pt idx="139" formatCode="#,##0_);[Red]\(#,##0\)">
                  <c:v>256272.97</c:v>
                </c:pt>
                <c:pt idx="140" formatCode="#,##0_);[Red]\(#,##0\)">
                  <c:v>255446.32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92168"/>
        <c:axId val="105192552"/>
      </c:lineChart>
      <c:dateAx>
        <c:axId val="105192168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92552"/>
        <c:crosses val="autoZero"/>
        <c:auto val="1"/>
        <c:lblOffset val="100"/>
        <c:baseTimeUnit val="days"/>
        <c:majorUnit val="30"/>
        <c:majorTimeUnit val="days"/>
        <c:minorUnit val="4"/>
        <c:minorTimeUnit val="months"/>
      </c:dateAx>
      <c:valAx>
        <c:axId val="105192552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92168"/>
        <c:crossesAt val="42737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Grant Receivable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365824961535"/>
          <c:y val="0.18097222222222226"/>
          <c:w val="0.82764107611548554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Data!$D$184:$D$197</c:f>
              <c:numCache>
                <c:formatCode>mmm\-yy</c:formatCode>
                <c:ptCount val="14"/>
                <c:pt idx="0">
                  <c:v>42522</c:v>
                </c:pt>
                <c:pt idx="1">
                  <c:v>42552</c:v>
                </c:pt>
                <c:pt idx="2">
                  <c:v>42583</c:v>
                </c:pt>
                <c:pt idx="3">
                  <c:v>42614</c:v>
                </c:pt>
                <c:pt idx="4">
                  <c:v>42644</c:v>
                </c:pt>
                <c:pt idx="5">
                  <c:v>42675</c:v>
                </c:pt>
                <c:pt idx="6">
                  <c:v>42705</c:v>
                </c:pt>
                <c:pt idx="7">
                  <c:v>42736</c:v>
                </c:pt>
                <c:pt idx="8">
                  <c:v>42767</c:v>
                </c:pt>
                <c:pt idx="9">
                  <c:v>42795</c:v>
                </c:pt>
                <c:pt idx="10">
                  <c:v>42826</c:v>
                </c:pt>
                <c:pt idx="11">
                  <c:v>42856</c:v>
                </c:pt>
                <c:pt idx="12">
                  <c:v>42887</c:v>
                </c:pt>
              </c:numCache>
            </c:numRef>
          </c:cat>
          <c:val>
            <c:numRef>
              <c:f>Data!$E$184:$E$197</c:f>
              <c:numCache>
                <c:formatCode>"$"#,##0_);[Red]\("$"#,##0\)</c:formatCode>
                <c:ptCount val="14"/>
                <c:pt idx="0">
                  <c:v>383807.83</c:v>
                </c:pt>
                <c:pt idx="1">
                  <c:v>291806.19</c:v>
                </c:pt>
                <c:pt idx="2">
                  <c:v>182364.32</c:v>
                </c:pt>
                <c:pt idx="3">
                  <c:v>242244.9</c:v>
                </c:pt>
                <c:pt idx="4">
                  <c:v>246906.4</c:v>
                </c:pt>
                <c:pt idx="5">
                  <c:v>246462.95</c:v>
                </c:pt>
                <c:pt idx="6">
                  <c:v>249807.51</c:v>
                </c:pt>
                <c:pt idx="7">
                  <c:v>351420.1</c:v>
                </c:pt>
                <c:pt idx="8">
                  <c:v>253330.36</c:v>
                </c:pt>
                <c:pt idx="9">
                  <c:v>280744.2</c:v>
                </c:pt>
                <c:pt idx="10">
                  <c:v>320171.44</c:v>
                </c:pt>
                <c:pt idx="11">
                  <c:v>238887.33</c:v>
                </c:pt>
                <c:pt idx="12">
                  <c:v>256329.25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-83"/>
        <c:axId val="104745632"/>
        <c:axId val="105166648"/>
      </c:barChart>
      <c:dateAx>
        <c:axId val="104745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66648"/>
        <c:crosses val="autoZero"/>
        <c:auto val="1"/>
        <c:lblOffset val="100"/>
        <c:baseTimeUnit val="months"/>
      </c:dateAx>
      <c:valAx>
        <c:axId val="10516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4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'June''17 AR Aging '!$B$180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'June''17 AR Aging '!$C$180:$N$180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'June''17 AR Aging '!$B$181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'June''17 AR Aging '!$C$181:$N$181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'June''17 AR Aging '!$B$182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'June''17 AR Aging '!$C$182:$N$182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'June''17 AR Aging '!$B$183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'June''17 AR Aging '!$C$183:$N$183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'June''17 AR Aging '!$C$179:$N$179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05343104"/>
        <c:axId val="105343496"/>
      </c:barChart>
      <c:catAx>
        <c:axId val="105343104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105343496"/>
        <c:crosses val="autoZero"/>
        <c:auto val="0"/>
        <c:lblAlgn val="ctr"/>
        <c:lblOffset val="100"/>
        <c:tickLblSkip val="1"/>
        <c:noMultiLvlLbl val="0"/>
      </c:catAx>
      <c:valAx>
        <c:axId val="10534349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10534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7</xdr:col>
      <xdr:colOff>990600</xdr:colOff>
      <xdr:row>26</xdr:row>
      <xdr:rowOff>800099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19</xdr:row>
      <xdr:rowOff>95250</xdr:rowOff>
    </xdr:from>
    <xdr:to>
      <xdr:col>7</xdr:col>
      <xdr:colOff>323850</xdr:colOff>
      <xdr:row>22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173</xdr:row>
      <xdr:rowOff>47625</xdr:rowOff>
    </xdr:from>
    <xdr:to>
      <xdr:col>8</xdr:col>
      <xdr:colOff>523875</xdr:colOff>
      <xdr:row>210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zoomScaleNormal="100" workbookViewId="0">
      <selection activeCell="A2" sqref="A2:H2"/>
    </sheetView>
  </sheetViews>
  <sheetFormatPr defaultRowHeight="14.25" x14ac:dyDescent="0.2"/>
  <cols>
    <col min="1" max="1" width="5" style="4" customWidth="1"/>
    <col min="2" max="6" width="14.875" style="4" customWidth="1"/>
    <col min="7" max="7" width="16.125" style="4" customWidth="1"/>
    <col min="8" max="8" width="16.625" style="4" customWidth="1"/>
    <col min="9" max="9" width="9.5" style="4" bestFit="1" customWidth="1"/>
    <col min="10" max="16384" width="9" style="4"/>
  </cols>
  <sheetData>
    <row r="1" spans="1:12" ht="23.25" x14ac:dyDescent="0.2">
      <c r="A1" s="683" t="s">
        <v>197</v>
      </c>
      <c r="B1" s="683"/>
      <c r="C1" s="683"/>
      <c r="D1" s="683"/>
      <c r="E1" s="683"/>
      <c r="F1" s="683"/>
      <c r="G1" s="683"/>
      <c r="H1" s="683"/>
    </row>
    <row r="2" spans="1:12" ht="23.25" x14ac:dyDescent="0.2">
      <c r="A2" s="683" t="s">
        <v>198</v>
      </c>
      <c r="B2" s="683"/>
      <c r="C2" s="683"/>
      <c r="D2" s="683"/>
      <c r="E2" s="683"/>
      <c r="F2" s="683"/>
      <c r="G2" s="683"/>
      <c r="H2" s="683"/>
    </row>
    <row r="3" spans="1:12" ht="23.25" x14ac:dyDescent="0.2">
      <c r="A3" s="684">
        <v>42934</v>
      </c>
      <c r="B3" s="684"/>
      <c r="C3" s="684"/>
      <c r="D3" s="684"/>
      <c r="E3" s="684"/>
      <c r="F3" s="684"/>
      <c r="G3" s="684"/>
      <c r="H3" s="684"/>
    </row>
    <row r="4" spans="1:12" ht="27.75" customHeight="1" x14ac:dyDescent="0.25">
      <c r="A4" s="671" t="s">
        <v>228</v>
      </c>
      <c r="B4" s="671"/>
      <c r="C4" s="671"/>
      <c r="D4" s="671"/>
      <c r="E4" s="671"/>
      <c r="F4" s="671"/>
      <c r="G4" s="671"/>
      <c r="H4" s="671"/>
    </row>
    <row r="5" spans="1:12" ht="50.25" customHeight="1" x14ac:dyDescent="0.2">
      <c r="A5" s="672" t="s">
        <v>449</v>
      </c>
      <c r="B5" s="672"/>
      <c r="C5" s="672"/>
      <c r="D5" s="672"/>
      <c r="E5" s="672"/>
      <c r="F5" s="672"/>
      <c r="G5" s="672"/>
      <c r="H5" s="672"/>
      <c r="L5" s="604"/>
    </row>
    <row r="6" spans="1:12" ht="42" hidden="1" customHeight="1" x14ac:dyDescent="0.2">
      <c r="A6" s="685"/>
      <c r="B6" s="685"/>
      <c r="C6" s="685"/>
      <c r="D6" s="685"/>
      <c r="E6" s="685"/>
      <c r="F6" s="685"/>
      <c r="G6" s="685"/>
      <c r="H6" s="685"/>
    </row>
    <row r="7" spans="1:12" ht="48" hidden="1" customHeight="1" x14ac:dyDescent="0.2">
      <c r="A7" s="685"/>
      <c r="B7" s="685"/>
      <c r="C7" s="685"/>
      <c r="D7" s="685"/>
      <c r="E7" s="685"/>
      <c r="F7" s="685"/>
      <c r="G7" s="685"/>
      <c r="H7" s="685"/>
    </row>
    <row r="8" spans="1:12" ht="42" customHeight="1" x14ac:dyDescent="0.2">
      <c r="A8" s="685"/>
      <c r="B8" s="685"/>
      <c r="C8" s="685"/>
      <c r="D8" s="685"/>
      <c r="E8" s="685"/>
      <c r="F8" s="685"/>
      <c r="G8" s="685"/>
      <c r="H8" s="685"/>
    </row>
    <row r="9" spans="1:12" ht="25.5" customHeight="1" x14ac:dyDescent="0.25">
      <c r="A9" s="671" t="s">
        <v>218</v>
      </c>
      <c r="B9" s="671"/>
      <c r="C9" s="671"/>
      <c r="D9" s="671"/>
      <c r="E9" s="671"/>
      <c r="F9" s="671"/>
      <c r="G9" s="671"/>
      <c r="H9" s="671"/>
    </row>
    <row r="10" spans="1:12" ht="42" customHeight="1" x14ac:dyDescent="0.2">
      <c r="A10" s="672" t="s">
        <v>436</v>
      </c>
      <c r="B10" s="672"/>
      <c r="C10" s="672"/>
      <c r="D10" s="672"/>
      <c r="E10" s="672"/>
      <c r="F10" s="672"/>
      <c r="G10" s="672"/>
      <c r="H10" s="672"/>
    </row>
    <row r="11" spans="1:12" ht="15.75" x14ac:dyDescent="0.25">
      <c r="A11" s="521"/>
      <c r="B11" s="667"/>
      <c r="C11" s="667"/>
      <c r="D11" s="511"/>
      <c r="E11" s="517" t="s">
        <v>59</v>
      </c>
      <c r="F11" s="511"/>
      <c r="G11" s="512"/>
      <c r="H11" s="521"/>
    </row>
    <row r="12" spans="1:12" ht="15.75" customHeight="1" x14ac:dyDescent="0.25">
      <c r="A12" s="521"/>
      <c r="C12" s="667" t="s">
        <v>205</v>
      </c>
      <c r="D12" s="667"/>
      <c r="E12" s="561">
        <f>'June''17 AR Aging '!G8</f>
        <v>46168.14</v>
      </c>
      <c r="F12" s="513"/>
      <c r="G12" s="513"/>
      <c r="H12" s="521"/>
    </row>
    <row r="13" spans="1:12" ht="15.75" customHeight="1" x14ac:dyDescent="0.25">
      <c r="A13" s="521"/>
      <c r="C13" s="667" t="s">
        <v>241</v>
      </c>
      <c r="D13" s="667"/>
      <c r="E13" s="561">
        <f>'June''17 AR Aging '!G32</f>
        <v>68417.950000000012</v>
      </c>
      <c r="F13" s="513"/>
      <c r="G13" s="513"/>
      <c r="H13" s="521"/>
    </row>
    <row r="14" spans="1:12" ht="15.75" customHeight="1" x14ac:dyDescent="0.25">
      <c r="A14" s="521"/>
      <c r="C14" s="667" t="s">
        <v>242</v>
      </c>
      <c r="D14" s="667"/>
      <c r="E14" s="561">
        <f>'June''17 AR Aging '!G14</f>
        <v>59560.04</v>
      </c>
      <c r="F14" s="513"/>
      <c r="G14" s="513"/>
      <c r="H14" s="521"/>
    </row>
    <row r="15" spans="1:12" ht="15.75" customHeight="1" x14ac:dyDescent="0.25">
      <c r="A15" s="521"/>
      <c r="C15" s="667" t="s">
        <v>243</v>
      </c>
      <c r="D15" s="667"/>
      <c r="E15" s="561">
        <f>'June''17 AR Aging '!G23</f>
        <v>29824.769999999997</v>
      </c>
      <c r="F15" s="513"/>
      <c r="G15" s="513"/>
      <c r="H15" s="521"/>
    </row>
    <row r="16" spans="1:12" ht="15.75" customHeight="1" x14ac:dyDescent="0.25">
      <c r="A16" s="521"/>
      <c r="C16" s="667" t="s">
        <v>244</v>
      </c>
      <c r="D16" s="667"/>
      <c r="E16" s="561">
        <f>'June''17 AR Aging '!G41</f>
        <v>19981.41</v>
      </c>
      <c r="F16" s="513"/>
      <c r="G16" s="513"/>
      <c r="H16" s="521"/>
    </row>
    <row r="17" spans="1:12" ht="15.75" customHeight="1" x14ac:dyDescent="0.25">
      <c r="A17" s="521"/>
      <c r="C17" s="667" t="s">
        <v>245</v>
      </c>
      <c r="D17" s="667"/>
      <c r="E17" s="561">
        <f>'June''17 AR Aging '!G49+'June''17 AR Aging '!G54+'June''17 AR Aging '!G56+'June''17 AR Aging '!G39+'June''17 AR Aging '!G60</f>
        <v>29542.23</v>
      </c>
      <c r="F17" s="513"/>
      <c r="G17" s="513"/>
      <c r="H17" s="521"/>
    </row>
    <row r="18" spans="1:12" ht="15.75" customHeight="1" x14ac:dyDescent="0.25">
      <c r="A18" s="521"/>
      <c r="C18" s="667" t="s">
        <v>212</v>
      </c>
      <c r="D18" s="667"/>
      <c r="E18" s="561">
        <f>'June''17 AR Aging '!G58</f>
        <v>2834.71</v>
      </c>
      <c r="F18" s="513"/>
      <c r="G18" s="513"/>
      <c r="H18" s="521"/>
    </row>
    <row r="19" spans="1:12" ht="16.5" thickBot="1" x14ac:dyDescent="0.3">
      <c r="A19" s="521"/>
      <c r="B19" s="667" t="s">
        <v>246</v>
      </c>
      <c r="C19" s="667"/>
      <c r="D19" s="518"/>
      <c r="E19" s="519">
        <f>SUM(E12:E18)</f>
        <v>256329.25</v>
      </c>
      <c r="F19" s="518"/>
      <c r="G19" s="518"/>
      <c r="H19" s="521"/>
    </row>
    <row r="20" spans="1:12" ht="123.75" customHeight="1" thickTop="1" x14ac:dyDescent="0.25">
      <c r="A20" s="559"/>
      <c r="B20" s="557"/>
      <c r="C20" s="557"/>
      <c r="D20" s="518"/>
      <c r="E20" s="562"/>
      <c r="F20" s="518"/>
      <c r="G20" s="518"/>
      <c r="H20" s="559"/>
    </row>
    <row r="21" spans="1:12" ht="74.25" customHeight="1" x14ac:dyDescent="0.25">
      <c r="A21" s="559"/>
      <c r="B21" s="557"/>
      <c r="C21" s="557"/>
      <c r="D21" s="518"/>
      <c r="E21" s="562"/>
      <c r="F21" s="518"/>
      <c r="G21" s="518"/>
      <c r="H21" s="559"/>
    </row>
    <row r="22" spans="1:12" ht="74.25" customHeight="1" x14ac:dyDescent="0.25">
      <c r="A22" s="559"/>
      <c r="B22" s="557"/>
      <c r="C22" s="557"/>
      <c r="D22" s="518"/>
      <c r="E22" s="562"/>
      <c r="F22" s="518"/>
      <c r="G22" s="518"/>
      <c r="H22" s="559"/>
    </row>
    <row r="23" spans="1:12" ht="21.75" customHeight="1" x14ac:dyDescent="0.25">
      <c r="A23" s="671" t="s">
        <v>215</v>
      </c>
      <c r="B23" s="671"/>
      <c r="C23" s="671"/>
      <c r="D23" s="671"/>
      <c r="E23" s="671"/>
      <c r="F23" s="671"/>
      <c r="G23" s="671"/>
      <c r="H23" s="671"/>
    </row>
    <row r="24" spans="1:12" ht="51" customHeight="1" x14ac:dyDescent="0.2">
      <c r="A24" s="672" t="s">
        <v>435</v>
      </c>
      <c r="B24" s="672"/>
      <c r="C24" s="672"/>
      <c r="D24" s="672"/>
      <c r="E24" s="672"/>
      <c r="F24" s="672"/>
      <c r="G24" s="672"/>
      <c r="H24" s="672"/>
    </row>
    <row r="25" spans="1:12" ht="81" customHeight="1" x14ac:dyDescent="0.2">
      <c r="A25" s="558"/>
      <c r="B25" s="558"/>
      <c r="C25" s="558"/>
      <c r="D25" s="558"/>
      <c r="E25" s="558"/>
      <c r="F25" s="558"/>
      <c r="G25" s="558"/>
      <c r="H25" s="558"/>
    </row>
    <row r="26" spans="1:12" ht="81" customHeight="1" x14ac:dyDescent="0.2">
      <c r="A26" s="558"/>
      <c r="B26" s="558"/>
      <c r="C26" s="558"/>
      <c r="D26" s="558"/>
      <c r="E26" s="558"/>
      <c r="F26" s="558"/>
      <c r="G26" s="558"/>
      <c r="H26" s="558"/>
    </row>
    <row r="27" spans="1:12" ht="81" customHeight="1" x14ac:dyDescent="0.2">
      <c r="A27" s="558"/>
      <c r="B27" s="558"/>
      <c r="C27" s="558"/>
      <c r="D27" s="558"/>
      <c r="E27" s="558"/>
      <c r="F27" s="558"/>
      <c r="G27" s="558"/>
      <c r="H27" s="558"/>
    </row>
    <row r="28" spans="1:12" ht="26.25" customHeight="1" x14ac:dyDescent="0.2">
      <c r="A28" s="672" t="s">
        <v>437</v>
      </c>
      <c r="B28" s="672"/>
      <c r="C28" s="672"/>
      <c r="D28" s="672"/>
      <c r="E28" s="672"/>
      <c r="F28" s="672"/>
      <c r="G28" s="672"/>
      <c r="H28" s="672"/>
    </row>
    <row r="29" spans="1:12" ht="17.25" customHeight="1" x14ac:dyDescent="0.2">
      <c r="A29" s="558"/>
      <c r="B29"/>
      <c r="C29" s="573" t="s">
        <v>315</v>
      </c>
      <c r="D29" s="574" t="s">
        <v>304</v>
      </c>
      <c r="E29" s="574" t="s">
        <v>305</v>
      </c>
      <c r="F29" s="574" t="s">
        <v>306</v>
      </c>
      <c r="G29" s="574" t="s">
        <v>307</v>
      </c>
      <c r="H29" s="596"/>
    </row>
    <row r="30" spans="1:12" ht="15" x14ac:dyDescent="0.2">
      <c r="A30" s="558"/>
      <c r="B30" s="43" t="s">
        <v>308</v>
      </c>
      <c r="C30" s="630">
        <v>-0.03</v>
      </c>
      <c r="D30" s="630">
        <f>-SUM(D32:D37)</f>
        <v>-1514.86</v>
      </c>
      <c r="E30" s="630">
        <f>SUM(E32:E37)</f>
        <v>1514.86</v>
      </c>
      <c r="F30" s="630"/>
      <c r="G30" s="630">
        <f>C30+D30+E30</f>
        <v>-2.9999999999972715E-2</v>
      </c>
      <c r="H30" s="597"/>
      <c r="J30" s="580"/>
    </row>
    <row r="31" spans="1:12" ht="15" x14ac:dyDescent="0.2">
      <c r="A31" s="558"/>
      <c r="B31" s="43"/>
      <c r="C31" s="630"/>
      <c r="D31" s="630"/>
      <c r="E31" s="630"/>
      <c r="F31" s="630"/>
      <c r="G31" s="630"/>
      <c r="H31" s="597"/>
    </row>
    <row r="32" spans="1:12" ht="15" x14ac:dyDescent="0.2">
      <c r="A32" s="558"/>
      <c r="B32" s="43" t="s">
        <v>309</v>
      </c>
      <c r="C32" s="630">
        <v>26400.080000000002</v>
      </c>
      <c r="D32" s="630">
        <f>E32</f>
        <v>617.91</v>
      </c>
      <c r="E32" s="630">
        <v>617.91</v>
      </c>
      <c r="F32" s="630">
        <v>461.94</v>
      </c>
      <c r="G32" s="630">
        <f>C32+D32+F32</f>
        <v>27479.93</v>
      </c>
      <c r="H32" s="603"/>
      <c r="I32" s="580"/>
      <c r="L32" s="594"/>
    </row>
    <row r="33" spans="1:12" ht="15" x14ac:dyDescent="0.2">
      <c r="A33" s="558"/>
      <c r="B33" s="43" t="s">
        <v>310</v>
      </c>
      <c r="C33" s="630">
        <v>24919.01</v>
      </c>
      <c r="D33" s="630">
        <f t="shared" ref="D33:D37" si="0">E33</f>
        <v>267.7</v>
      </c>
      <c r="E33" s="630">
        <v>267.7</v>
      </c>
      <c r="F33" s="630">
        <v>-291.62</v>
      </c>
      <c r="G33" s="630">
        <f t="shared" ref="G33:G37" si="1">C33+D33+F33</f>
        <v>24895.09</v>
      </c>
      <c r="H33" s="603"/>
      <c r="I33" s="580"/>
      <c r="L33" s="594"/>
    </row>
    <row r="34" spans="1:12" ht="15" x14ac:dyDescent="0.2">
      <c r="A34" s="558"/>
      <c r="B34" s="43" t="s">
        <v>311</v>
      </c>
      <c r="C34" s="630">
        <v>25840.51</v>
      </c>
      <c r="D34" s="630">
        <f t="shared" si="0"/>
        <v>0</v>
      </c>
      <c r="E34" s="630">
        <v>0</v>
      </c>
      <c r="F34" s="630">
        <v>3442.16</v>
      </c>
      <c r="G34" s="630">
        <f t="shared" si="1"/>
        <v>29282.67</v>
      </c>
      <c r="H34" s="603"/>
      <c r="I34" s="580"/>
      <c r="L34" s="594"/>
    </row>
    <row r="35" spans="1:12" ht="15" x14ac:dyDescent="0.2">
      <c r="A35" s="558"/>
      <c r="B35" s="43" t="s">
        <v>312</v>
      </c>
      <c r="C35" s="630">
        <v>25201.86</v>
      </c>
      <c r="D35" s="630">
        <f t="shared" si="0"/>
        <v>177.69</v>
      </c>
      <c r="E35" s="630">
        <v>177.69</v>
      </c>
      <c r="F35" s="630">
        <v>-271.88</v>
      </c>
      <c r="G35" s="630">
        <f t="shared" si="1"/>
        <v>25107.67</v>
      </c>
      <c r="H35" s="603"/>
      <c r="I35" s="580"/>
      <c r="L35" s="594"/>
    </row>
    <row r="36" spans="1:12" ht="15" x14ac:dyDescent="0.2">
      <c r="A36" s="558"/>
      <c r="B36" s="43" t="s">
        <v>313</v>
      </c>
      <c r="C36" s="630">
        <v>25507.19</v>
      </c>
      <c r="D36" s="630">
        <f t="shared" si="0"/>
        <v>131.36000000000001</v>
      </c>
      <c r="E36" s="630">
        <v>131.36000000000001</v>
      </c>
      <c r="F36" s="630">
        <v>579.53</v>
      </c>
      <c r="G36" s="630">
        <f t="shared" si="1"/>
        <v>26218.079999999998</v>
      </c>
      <c r="H36" s="603"/>
      <c r="I36" s="580"/>
      <c r="L36" s="594"/>
    </row>
    <row r="37" spans="1:12" ht="15" x14ac:dyDescent="0.2">
      <c r="A37" s="558"/>
      <c r="B37" s="43" t="s">
        <v>314</v>
      </c>
      <c r="C37" s="630">
        <v>26664.45</v>
      </c>
      <c r="D37" s="630">
        <f t="shared" si="0"/>
        <v>320.2</v>
      </c>
      <c r="E37" s="630">
        <v>320.2</v>
      </c>
      <c r="F37" s="630">
        <v>475.1</v>
      </c>
      <c r="G37" s="630">
        <f t="shared" si="1"/>
        <v>27459.75</v>
      </c>
      <c r="H37" s="603"/>
      <c r="I37" s="580"/>
      <c r="L37" s="594"/>
    </row>
    <row r="38" spans="1:12" ht="15" x14ac:dyDescent="0.2">
      <c r="A38" s="558"/>
      <c r="B38" s="43"/>
      <c r="C38" s="630"/>
      <c r="D38" s="630"/>
      <c r="E38" s="630"/>
      <c r="F38" s="630"/>
      <c r="G38" s="630"/>
      <c r="H38" s="596"/>
    </row>
    <row r="39" spans="1:12" ht="15.75" thickBot="1" x14ac:dyDescent="0.25">
      <c r="A39" s="577"/>
      <c r="B39" s="18"/>
      <c r="C39" s="632">
        <f>SUM(C32:C38)</f>
        <v>154533.1</v>
      </c>
      <c r="D39" s="631"/>
      <c r="E39" s="631" t="s">
        <v>333</v>
      </c>
      <c r="F39" s="632">
        <f>SUM(F32:F38)</f>
        <v>4395.2300000000005</v>
      </c>
      <c r="G39" s="632">
        <f>SUM(G30:G38)+0.5</f>
        <v>160443.66</v>
      </c>
      <c r="H39" s="598">
        <f>(G39-154533.13)/154533.13</f>
        <v>3.8247656020427456E-2</v>
      </c>
    </row>
    <row r="40" spans="1:12" ht="15.75" thickTop="1" x14ac:dyDescent="0.2">
      <c r="A40" s="558"/>
      <c r="B40" s="558"/>
      <c r="C40" s="558"/>
      <c r="D40" s="558"/>
      <c r="E40" s="558"/>
      <c r="F40" s="558"/>
      <c r="G40" s="558"/>
      <c r="H40" s="558"/>
    </row>
    <row r="41" spans="1:12" ht="47.25" customHeight="1" x14ac:dyDescent="0.2">
      <c r="A41" s="558"/>
      <c r="B41" s="668" t="s">
        <v>321</v>
      </c>
      <c r="C41" s="669"/>
      <c r="D41" s="669"/>
      <c r="E41" s="669"/>
      <c r="F41" s="669"/>
      <c r="G41" s="669"/>
      <c r="H41" s="595"/>
    </row>
    <row r="42" spans="1:12" ht="47.25" customHeight="1" x14ac:dyDescent="0.2">
      <c r="A42" s="558"/>
      <c r="B42" s="668" t="s">
        <v>322</v>
      </c>
      <c r="C42" s="669"/>
      <c r="D42" s="669"/>
      <c r="E42" s="669"/>
      <c r="F42" s="669"/>
      <c r="G42" s="669"/>
      <c r="H42" s="595"/>
    </row>
    <row r="43" spans="1:12" ht="47.25" customHeight="1" x14ac:dyDescent="0.2">
      <c r="A43" s="558"/>
      <c r="B43" s="668" t="s">
        <v>323</v>
      </c>
      <c r="C43" s="669"/>
      <c r="D43" s="669"/>
      <c r="E43" s="669"/>
      <c r="F43" s="669"/>
      <c r="G43" s="669"/>
      <c r="H43" s="595"/>
    </row>
    <row r="44" spans="1:12" ht="47.25" customHeight="1" x14ac:dyDescent="0.2">
      <c r="A44" s="558"/>
      <c r="B44" s="674" t="s">
        <v>324</v>
      </c>
      <c r="C44" s="675"/>
      <c r="D44" s="675"/>
      <c r="E44" s="675"/>
      <c r="F44" s="675"/>
      <c r="G44" s="675"/>
      <c r="H44" s="595"/>
    </row>
    <row r="45" spans="1:12" ht="47.25" customHeight="1" x14ac:dyDescent="0.2">
      <c r="A45" s="558"/>
      <c r="B45" s="668" t="s">
        <v>327</v>
      </c>
      <c r="C45" s="669"/>
      <c r="D45" s="669"/>
      <c r="E45" s="669"/>
      <c r="F45" s="669"/>
      <c r="G45" s="669"/>
      <c r="H45" s="595"/>
    </row>
    <row r="46" spans="1:12" ht="47.25" customHeight="1" x14ac:dyDescent="0.2">
      <c r="A46" s="558"/>
      <c r="B46" s="668" t="s">
        <v>325</v>
      </c>
      <c r="C46" s="669"/>
      <c r="D46" s="669"/>
      <c r="E46" s="669"/>
      <c r="F46" s="669"/>
      <c r="G46" s="669"/>
      <c r="H46" s="595"/>
    </row>
    <row r="47" spans="1:12" ht="7.5" customHeight="1" x14ac:dyDescent="0.2">
      <c r="A47" s="558"/>
      <c r="B47" s="558"/>
      <c r="C47" s="558"/>
      <c r="D47" s="558"/>
      <c r="E47" s="558"/>
      <c r="F47" s="558"/>
      <c r="G47" s="558"/>
      <c r="H47" s="558"/>
    </row>
    <row r="48" spans="1:12" ht="25.5" customHeight="1" x14ac:dyDescent="0.25">
      <c r="A48" s="673" t="s">
        <v>425</v>
      </c>
      <c r="B48" s="673"/>
      <c r="C48" s="673"/>
      <c r="D48" s="673"/>
      <c r="E48" s="673"/>
      <c r="F48" s="673"/>
      <c r="G48" s="673"/>
      <c r="H48" s="673"/>
    </row>
    <row r="49" spans="1:8" ht="15" x14ac:dyDescent="0.25">
      <c r="A49" s="558"/>
      <c r="B49" s="563" t="s">
        <v>316</v>
      </c>
      <c r="C49" s="564" t="s">
        <v>317</v>
      </c>
      <c r="D49" s="563" t="s">
        <v>318</v>
      </c>
      <c r="E49" s="670" t="s">
        <v>28</v>
      </c>
      <c r="F49" s="670"/>
      <c r="G49" s="563" t="s">
        <v>319</v>
      </c>
      <c r="H49" s="558"/>
    </row>
    <row r="50" spans="1:8" ht="15" x14ac:dyDescent="0.2">
      <c r="A50" s="558"/>
      <c r="B50" s="565">
        <v>42856</v>
      </c>
      <c r="C50" s="572" t="s">
        <v>381</v>
      </c>
      <c r="D50" s="657" t="s">
        <v>384</v>
      </c>
      <c r="E50" s="662" t="s">
        <v>383</v>
      </c>
      <c r="F50" s="662"/>
      <c r="G50" s="567">
        <v>5995</v>
      </c>
      <c r="H50" s="558"/>
    </row>
    <row r="51" spans="1:8" ht="15" x14ac:dyDescent="0.2">
      <c r="A51" s="558"/>
      <c r="B51" s="565">
        <v>42856</v>
      </c>
      <c r="C51" s="572" t="s">
        <v>381</v>
      </c>
      <c r="D51" s="566" t="s">
        <v>386</v>
      </c>
      <c r="E51" s="662" t="s">
        <v>385</v>
      </c>
      <c r="F51" s="662"/>
      <c r="G51" s="568">
        <v>21427.4</v>
      </c>
      <c r="H51" s="558"/>
    </row>
    <row r="52" spans="1:8" ht="15" x14ac:dyDescent="0.2">
      <c r="A52" s="575"/>
      <c r="B52" s="565">
        <v>42856</v>
      </c>
      <c r="C52" s="572" t="s">
        <v>381</v>
      </c>
      <c r="D52" s="566" t="s">
        <v>387</v>
      </c>
      <c r="E52" s="662" t="s">
        <v>382</v>
      </c>
      <c r="F52" s="662"/>
      <c r="G52" s="568">
        <v>21625</v>
      </c>
      <c r="H52" s="575"/>
    </row>
    <row r="53" spans="1:8" ht="15" x14ac:dyDescent="0.2">
      <c r="A53" s="643"/>
      <c r="B53" s="648"/>
      <c r="C53" s="649"/>
      <c r="D53" s="650"/>
      <c r="E53" s="651"/>
      <c r="F53" s="570" t="s">
        <v>320</v>
      </c>
      <c r="G53" s="658">
        <f>SUM(G50:G52)</f>
        <v>49047.4</v>
      </c>
      <c r="H53" s="643"/>
    </row>
    <row r="54" spans="1:8" ht="15" x14ac:dyDescent="0.2">
      <c r="A54" s="643"/>
      <c r="B54" s="648"/>
      <c r="C54" s="649"/>
      <c r="D54" s="650"/>
      <c r="E54" s="651"/>
      <c r="F54" s="570"/>
      <c r="G54" s="656"/>
      <c r="H54" s="643"/>
    </row>
    <row r="55" spans="1:8" ht="15" x14ac:dyDescent="0.2">
      <c r="A55" s="643"/>
      <c r="B55" s="652" t="s">
        <v>427</v>
      </c>
      <c r="C55" s="653" t="s">
        <v>434</v>
      </c>
      <c r="D55" s="654" t="s">
        <v>430</v>
      </c>
      <c r="E55" s="663" t="s">
        <v>28</v>
      </c>
      <c r="F55" s="664"/>
      <c r="G55" s="655" t="s">
        <v>428</v>
      </c>
      <c r="H55" s="643"/>
    </row>
    <row r="56" spans="1:8" ht="15" x14ac:dyDescent="0.2">
      <c r="A56" s="643"/>
      <c r="B56" s="565">
        <v>42917</v>
      </c>
      <c r="C56" s="659" t="s">
        <v>433</v>
      </c>
      <c r="D56" s="566" t="s">
        <v>432</v>
      </c>
      <c r="E56" s="662" t="s">
        <v>426</v>
      </c>
      <c r="F56" s="662"/>
      <c r="G56" s="568">
        <v>1825</v>
      </c>
      <c r="H56" s="643"/>
    </row>
    <row r="57" spans="1:8" ht="15" x14ac:dyDescent="0.2">
      <c r="A57" s="643"/>
      <c r="B57" s="565">
        <v>42917</v>
      </c>
      <c r="C57" s="659" t="s">
        <v>433</v>
      </c>
      <c r="D57" s="566" t="s">
        <v>431</v>
      </c>
      <c r="E57" s="662" t="s">
        <v>429</v>
      </c>
      <c r="F57" s="662"/>
      <c r="G57" s="568">
        <v>5700</v>
      </c>
      <c r="H57" s="643"/>
    </row>
    <row r="58" spans="1:8" ht="15" x14ac:dyDescent="0.2">
      <c r="A58" s="558"/>
      <c r="B58" s="569"/>
      <c r="C58" s="569"/>
      <c r="D58" s="569"/>
      <c r="E58" s="569"/>
      <c r="F58" s="570" t="s">
        <v>320</v>
      </c>
      <c r="G58" s="571">
        <f>G56+G57</f>
        <v>7525</v>
      </c>
      <c r="H58" s="558"/>
    </row>
    <row r="59" spans="1:8" ht="11.25" customHeight="1" x14ac:dyDescent="0.2">
      <c r="A59" s="558"/>
      <c r="B59" s="558"/>
      <c r="C59" s="558"/>
      <c r="D59" s="558"/>
      <c r="E59" s="558"/>
      <c r="F59" s="558"/>
      <c r="G59" s="558"/>
      <c r="H59" s="558"/>
    </row>
    <row r="60" spans="1:8" ht="37.5" customHeight="1" x14ac:dyDescent="0.2">
      <c r="A60" s="672" t="s">
        <v>443</v>
      </c>
      <c r="B60" s="672"/>
      <c r="C60" s="672"/>
      <c r="D60" s="672"/>
      <c r="E60" s="672"/>
      <c r="F60" s="672"/>
      <c r="G60" s="672"/>
      <c r="H60" s="672"/>
    </row>
    <row r="61" spans="1:8" ht="15.75" customHeight="1" x14ac:dyDescent="0.2">
      <c r="A61" s="514"/>
      <c r="C61" s="665" t="s">
        <v>439</v>
      </c>
      <c r="D61" s="665"/>
      <c r="E61" s="660">
        <f>3443</f>
        <v>3443</v>
      </c>
      <c r="F61" s="666" t="s">
        <v>388</v>
      </c>
      <c r="G61" s="666"/>
      <c r="H61" s="514"/>
    </row>
    <row r="62" spans="1:8" ht="15.75" customHeight="1" x14ac:dyDescent="0.2">
      <c r="A62" s="514"/>
      <c r="C62" s="665" t="s">
        <v>389</v>
      </c>
      <c r="D62" s="665"/>
      <c r="E62" s="579">
        <v>4996.13</v>
      </c>
      <c r="F62" s="666" t="s">
        <v>388</v>
      </c>
      <c r="G62" s="666"/>
      <c r="H62" s="514"/>
    </row>
    <row r="63" spans="1:8" ht="15.75" customHeight="1" x14ac:dyDescent="0.2">
      <c r="A63" s="514"/>
      <c r="C63" s="665" t="s">
        <v>438</v>
      </c>
      <c r="D63" s="665"/>
      <c r="E63" s="579">
        <v>3270</v>
      </c>
      <c r="F63" s="666" t="s">
        <v>388</v>
      </c>
      <c r="G63" s="666"/>
      <c r="H63" s="514"/>
    </row>
    <row r="64" spans="1:8" ht="15.75" customHeight="1" x14ac:dyDescent="0.2">
      <c r="A64" s="514"/>
      <c r="C64" s="665" t="s">
        <v>441</v>
      </c>
      <c r="D64" s="665"/>
      <c r="E64" s="579">
        <v>2750</v>
      </c>
      <c r="F64" s="666" t="s">
        <v>388</v>
      </c>
      <c r="G64" s="666"/>
      <c r="H64" s="514"/>
    </row>
    <row r="65" spans="1:23" ht="15.75" customHeight="1" x14ac:dyDescent="0.2">
      <c r="A65" s="514"/>
      <c r="C65" s="665" t="s">
        <v>442</v>
      </c>
      <c r="D65" s="665"/>
      <c r="E65" s="579">
        <v>1600</v>
      </c>
      <c r="F65" s="666" t="s">
        <v>388</v>
      </c>
      <c r="G65" s="666"/>
      <c r="H65" s="514"/>
    </row>
    <row r="66" spans="1:23" ht="15.75" customHeight="1" x14ac:dyDescent="0.2">
      <c r="A66" s="514"/>
      <c r="C66" s="665" t="s">
        <v>384</v>
      </c>
      <c r="D66" s="665"/>
      <c r="E66" s="579">
        <f>1336.81</f>
        <v>1336.81</v>
      </c>
      <c r="F66" s="666" t="s">
        <v>440</v>
      </c>
      <c r="G66" s="666"/>
      <c r="H66" s="514"/>
    </row>
    <row r="67" spans="1:23" ht="15.75" hidden="1" customHeight="1" x14ac:dyDescent="0.2">
      <c r="A67" s="514"/>
      <c r="C67" s="665"/>
      <c r="D67" s="665"/>
      <c r="E67" s="579"/>
      <c r="F67" s="666"/>
      <c r="G67" s="666"/>
      <c r="H67" s="514"/>
    </row>
    <row r="68" spans="1:23" ht="15.75" hidden="1" customHeight="1" x14ac:dyDescent="0.2">
      <c r="A68" s="514"/>
      <c r="C68" s="665"/>
      <c r="D68" s="665"/>
      <c r="E68" s="579"/>
      <c r="F68" s="666"/>
      <c r="G68" s="666"/>
      <c r="H68" s="514"/>
    </row>
    <row r="69" spans="1:23" ht="15.75" customHeight="1" x14ac:dyDescent="0.2">
      <c r="A69" s="514"/>
      <c r="C69" s="665" t="s">
        <v>294</v>
      </c>
      <c r="D69" s="665"/>
      <c r="E69" s="579">
        <f>2685.42+4400.79</f>
        <v>7086.21</v>
      </c>
      <c r="F69" s="666" t="s">
        <v>447</v>
      </c>
      <c r="G69" s="666"/>
      <c r="H69" s="514"/>
    </row>
    <row r="70" spans="1:23" ht="16.5" thickBot="1" x14ac:dyDescent="0.25">
      <c r="A70" s="514"/>
      <c r="B70" s="523"/>
      <c r="C70" s="679" t="s">
        <v>257</v>
      </c>
      <c r="D70" s="679"/>
      <c r="E70" s="520">
        <f>SUM(E61:E69)</f>
        <v>24482.15</v>
      </c>
      <c r="F70" s="523"/>
      <c r="G70" s="523"/>
      <c r="H70" s="514"/>
    </row>
    <row r="71" spans="1:23" ht="16.5" thickTop="1" x14ac:dyDescent="0.2">
      <c r="A71" s="514"/>
      <c r="B71" s="644"/>
      <c r="C71" s="645"/>
      <c r="D71" s="645"/>
      <c r="E71" s="661"/>
      <c r="F71" s="644"/>
      <c r="G71" s="644"/>
      <c r="H71" s="514"/>
    </row>
    <row r="72" spans="1:23" ht="33" customHeight="1" x14ac:dyDescent="0.25">
      <c r="A72" s="673" t="s">
        <v>448</v>
      </c>
      <c r="B72" s="673"/>
      <c r="C72" s="673"/>
      <c r="D72" s="673"/>
      <c r="E72" s="673"/>
      <c r="F72" s="673"/>
      <c r="G72" s="673"/>
      <c r="H72" s="673"/>
    </row>
    <row r="73" spans="1:23" ht="15.75" x14ac:dyDescent="0.2">
      <c r="A73" s="514"/>
      <c r="B73" s="644"/>
      <c r="C73" s="645"/>
      <c r="D73" s="645"/>
      <c r="E73" s="661"/>
      <c r="F73" s="644"/>
      <c r="G73" s="644"/>
      <c r="H73" s="514"/>
    </row>
    <row r="74" spans="1:23" ht="22.5" customHeight="1" x14ac:dyDescent="0.25">
      <c r="A74" s="673" t="s">
        <v>444</v>
      </c>
      <c r="B74" s="673"/>
      <c r="C74" s="673"/>
      <c r="D74" s="673"/>
      <c r="E74" s="673"/>
      <c r="F74" s="673"/>
      <c r="G74" s="673"/>
      <c r="H74" s="673"/>
      <c r="V74" s="556">
        <v>42278</v>
      </c>
      <c r="W74" s="555">
        <v>224005.57</v>
      </c>
    </row>
    <row r="75" spans="1:23" ht="47.25" x14ac:dyDescent="0.2">
      <c r="A75" s="522"/>
      <c r="B75" s="681" t="s">
        <v>247</v>
      </c>
      <c r="C75" s="681"/>
      <c r="D75" s="525" t="s">
        <v>248</v>
      </c>
      <c r="E75" s="515" t="s">
        <v>249</v>
      </c>
      <c r="F75" s="525" t="s">
        <v>250</v>
      </c>
      <c r="G75" s="525" t="s">
        <v>445</v>
      </c>
      <c r="H75" s="522"/>
      <c r="V75" s="556">
        <v>42309</v>
      </c>
      <c r="W75" s="555">
        <v>212998.66</v>
      </c>
    </row>
    <row r="76" spans="1:23" ht="15.75" customHeight="1" x14ac:dyDescent="0.2">
      <c r="A76" s="522"/>
      <c r="B76" s="677" t="s">
        <v>15</v>
      </c>
      <c r="C76" s="677"/>
      <c r="D76" s="677"/>
      <c r="E76" s="524"/>
      <c r="F76" s="524"/>
      <c r="G76" s="524"/>
      <c r="H76" s="522"/>
      <c r="V76" s="556">
        <v>42339</v>
      </c>
      <c r="W76" s="555">
        <v>256955.64</v>
      </c>
    </row>
    <row r="77" spans="1:23" ht="15.75" customHeight="1" x14ac:dyDescent="0.2">
      <c r="A77" s="522"/>
      <c r="B77" s="676" t="s">
        <v>295</v>
      </c>
      <c r="C77" s="676"/>
      <c r="D77" s="524">
        <v>12113.27</v>
      </c>
      <c r="E77" s="524"/>
      <c r="F77" s="524">
        <f>-'June''17 Revenues &amp; Expenses'!H37</f>
        <v>-1665.27</v>
      </c>
      <c r="G77" s="524">
        <v>10448</v>
      </c>
      <c r="H77" s="522"/>
      <c r="V77" s="556">
        <v>42370</v>
      </c>
      <c r="W77" s="555">
        <v>370456.38</v>
      </c>
    </row>
    <row r="78" spans="1:23" ht="15.75" customHeight="1" x14ac:dyDescent="0.2">
      <c r="A78" s="522"/>
      <c r="B78" s="676" t="s">
        <v>296</v>
      </c>
      <c r="C78" s="676"/>
      <c r="D78" s="524">
        <v>0</v>
      </c>
      <c r="E78" s="524">
        <v>25000</v>
      </c>
      <c r="F78" s="524">
        <f>G78-E78</f>
        <v>-11802.86</v>
      </c>
      <c r="G78" s="524">
        <v>13197.14</v>
      </c>
      <c r="H78" s="522"/>
      <c r="V78" s="556">
        <v>42401</v>
      </c>
      <c r="W78" s="555">
        <v>299251.62</v>
      </c>
    </row>
    <row r="79" spans="1:23" ht="15.75" customHeight="1" x14ac:dyDescent="0.2">
      <c r="A79" s="522"/>
      <c r="B79" s="676" t="s">
        <v>297</v>
      </c>
      <c r="C79" s="676"/>
      <c r="D79" s="524">
        <v>1745.88</v>
      </c>
      <c r="E79" s="524"/>
      <c r="F79" s="524">
        <v>-1745.88</v>
      </c>
      <c r="G79" s="524">
        <f t="shared" ref="G79" si="2">D79+E79+F79</f>
        <v>0</v>
      </c>
      <c r="H79" s="522"/>
      <c r="V79" s="556">
        <v>42430</v>
      </c>
      <c r="W79" s="555">
        <v>253801.15</v>
      </c>
    </row>
    <row r="80" spans="1:23" ht="15.75" customHeight="1" x14ac:dyDescent="0.2">
      <c r="A80" s="522"/>
      <c r="B80" s="677" t="s">
        <v>21</v>
      </c>
      <c r="C80" s="677"/>
      <c r="D80" s="524"/>
      <c r="E80" s="524"/>
      <c r="F80" s="524"/>
      <c r="G80" s="524"/>
      <c r="H80" s="522"/>
      <c r="V80" s="556"/>
    </row>
    <row r="81" spans="1:22" ht="15.75" customHeight="1" x14ac:dyDescent="0.2">
      <c r="A81" s="522"/>
      <c r="B81" s="676" t="s">
        <v>295</v>
      </c>
      <c r="C81" s="676"/>
      <c r="D81" s="524">
        <v>0</v>
      </c>
      <c r="E81" s="524">
        <v>22000</v>
      </c>
      <c r="F81" s="524">
        <f>-E81+G81</f>
        <v>-9466.94</v>
      </c>
      <c r="G81" s="524">
        <v>12533.06</v>
      </c>
      <c r="H81" s="522"/>
      <c r="V81" s="556"/>
    </row>
    <row r="82" spans="1:22" ht="15.75" customHeight="1" x14ac:dyDescent="0.2">
      <c r="A82" s="522"/>
      <c r="B82" s="677" t="s">
        <v>298</v>
      </c>
      <c r="C82" s="677"/>
      <c r="D82" s="524"/>
      <c r="E82" s="524"/>
      <c r="F82" s="524"/>
      <c r="G82" s="524"/>
      <c r="H82" s="522"/>
      <c r="V82" s="556"/>
    </row>
    <row r="83" spans="1:22" ht="15.75" customHeight="1" x14ac:dyDescent="0.2">
      <c r="A83" s="522"/>
      <c r="B83" s="676" t="s">
        <v>243</v>
      </c>
      <c r="C83" s="676"/>
      <c r="D83" s="524">
        <v>7610.32</v>
      </c>
      <c r="E83" s="524"/>
      <c r="F83" s="576">
        <f>-D83+G83-E83</f>
        <v>-7610.32</v>
      </c>
      <c r="G83" s="524">
        <f>'June''17 Revenues &amp; Expenses'!K12</f>
        <v>0</v>
      </c>
      <c r="H83" s="522"/>
      <c r="V83" s="556"/>
    </row>
    <row r="84" spans="1:22" ht="15.75" customHeight="1" x14ac:dyDescent="0.2">
      <c r="A84" s="522"/>
      <c r="B84" s="676" t="s">
        <v>299</v>
      </c>
      <c r="C84" s="676"/>
      <c r="D84" s="524">
        <v>43703.99</v>
      </c>
      <c r="E84" s="524">
        <v>0</v>
      </c>
      <c r="F84" s="524">
        <f>-D84+G84-E84</f>
        <v>-43703.99</v>
      </c>
      <c r="G84" s="524">
        <f>'June''17 Revenues &amp; Expenses'!K10</f>
        <v>0</v>
      </c>
      <c r="H84" s="522"/>
      <c r="V84" s="556"/>
    </row>
    <row r="85" spans="1:22" ht="15.75" customHeight="1" x14ac:dyDescent="0.2">
      <c r="A85" s="522"/>
      <c r="B85" s="665" t="str">
        <f>'June''17 Revenues &amp; Expenses'!A22</f>
        <v>Health &amp; Recovery Plan (HCBS - HARP)</v>
      </c>
      <c r="C85" s="665"/>
      <c r="D85" s="524">
        <v>49850</v>
      </c>
      <c r="E85" s="524">
        <f>'June''17 Revenues &amp; Expenses'!K22</f>
        <v>0</v>
      </c>
      <c r="F85" s="524">
        <v>-49850</v>
      </c>
      <c r="G85" s="524">
        <f>E85</f>
        <v>0</v>
      </c>
      <c r="H85" s="522"/>
      <c r="V85" s="556"/>
    </row>
    <row r="86" spans="1:22" ht="15.75" customHeight="1" thickBot="1" x14ac:dyDescent="0.25">
      <c r="A86" s="522"/>
      <c r="B86" s="680" t="s">
        <v>300</v>
      </c>
      <c r="C86" s="680"/>
      <c r="D86" s="516">
        <f>SUM(D76:D85)</f>
        <v>115023.45999999999</v>
      </c>
      <c r="E86" s="516">
        <f>SUM(E76:E85)</f>
        <v>47000</v>
      </c>
      <c r="F86" s="516">
        <f t="shared" ref="F86:G86" si="3">SUM(F76:F85)</f>
        <v>-125845.26000000001</v>
      </c>
      <c r="G86" s="516">
        <f t="shared" si="3"/>
        <v>36178.199999999997</v>
      </c>
      <c r="H86" s="522"/>
      <c r="V86" s="556"/>
    </row>
    <row r="87" spans="1:22" ht="11.25" customHeight="1" thickTop="1" x14ac:dyDescent="0.2">
      <c r="A87" s="522"/>
      <c r="B87" s="553"/>
      <c r="C87" s="553"/>
      <c r="D87" s="554"/>
      <c r="E87" s="554"/>
      <c r="F87" s="554"/>
      <c r="G87" s="554"/>
      <c r="H87" s="522"/>
      <c r="V87" s="556"/>
    </row>
    <row r="88" spans="1:22" ht="21.75" customHeight="1" x14ac:dyDescent="0.25">
      <c r="A88" s="673" t="s">
        <v>446</v>
      </c>
      <c r="B88" s="673"/>
      <c r="C88" s="673"/>
      <c r="D88" s="673"/>
      <c r="E88" s="673"/>
      <c r="F88" s="673"/>
      <c r="G88" s="673"/>
      <c r="H88" s="673"/>
    </row>
    <row r="89" spans="1:22" ht="47.25" x14ac:dyDescent="0.2">
      <c r="A89" s="522"/>
      <c r="B89" s="681" t="s">
        <v>247</v>
      </c>
      <c r="C89" s="681"/>
      <c r="D89" s="525" t="s">
        <v>248</v>
      </c>
      <c r="E89" s="515" t="s">
        <v>249</v>
      </c>
      <c r="F89" s="525" t="s">
        <v>250</v>
      </c>
      <c r="G89" s="646" t="s">
        <v>445</v>
      </c>
      <c r="H89" s="522"/>
    </row>
    <row r="90" spans="1:22" ht="15.75" customHeight="1" x14ac:dyDescent="0.2">
      <c r="A90" s="522"/>
      <c r="B90" s="678" t="s">
        <v>251</v>
      </c>
      <c r="C90" s="678"/>
      <c r="D90" s="524">
        <v>0</v>
      </c>
      <c r="E90" s="524">
        <v>49000</v>
      </c>
      <c r="F90" s="524">
        <f>-'June''17 Revenues &amp; Expenses'!J51</f>
        <v>-24500</v>
      </c>
      <c r="G90" s="524">
        <f t="shared" ref="G90:G96" si="4">D90+E90+F90</f>
        <v>24500</v>
      </c>
      <c r="H90" s="522"/>
    </row>
    <row r="91" spans="1:22" ht="15.75" customHeight="1" x14ac:dyDescent="0.2">
      <c r="A91" s="522"/>
      <c r="B91" s="678" t="s">
        <v>326</v>
      </c>
      <c r="C91" s="678"/>
      <c r="D91" s="524">
        <v>0</v>
      </c>
      <c r="E91" s="524">
        <v>19000</v>
      </c>
      <c r="F91" s="524">
        <f>-'June''17 Revenues &amp; Expenses'!J52</f>
        <v>-9500</v>
      </c>
      <c r="G91" s="524">
        <f t="shared" si="4"/>
        <v>9500</v>
      </c>
      <c r="H91" s="522"/>
    </row>
    <row r="92" spans="1:22" ht="15.75" customHeight="1" x14ac:dyDescent="0.2">
      <c r="A92" s="522"/>
      <c r="B92" s="678" t="s">
        <v>252</v>
      </c>
      <c r="C92" s="678"/>
      <c r="D92" s="524">
        <v>17437.849999999999</v>
      </c>
      <c r="E92" s="524">
        <f>'June''17 Revenues &amp; Expenses'!H55</f>
        <v>3274.15</v>
      </c>
      <c r="F92" s="524">
        <f>-'June''17 Revenues &amp; Expenses'!J55</f>
        <v>-5729.29</v>
      </c>
      <c r="G92" s="524">
        <f t="shared" si="4"/>
        <v>14982.71</v>
      </c>
      <c r="H92" s="522"/>
    </row>
    <row r="93" spans="1:22" ht="15.75" customHeight="1" x14ac:dyDescent="0.2">
      <c r="A93" s="522"/>
      <c r="B93" s="678" t="s">
        <v>253</v>
      </c>
      <c r="C93" s="678"/>
      <c r="D93" s="524">
        <v>8260.73</v>
      </c>
      <c r="E93" s="524">
        <f>'June''17 Revenues &amp; Expenses'!H56</f>
        <v>3660</v>
      </c>
      <c r="F93" s="524">
        <f>-'June''17 Revenues &amp; Expenses'!J56</f>
        <v>-1166.1199999999999</v>
      </c>
      <c r="G93" s="524">
        <f t="shared" si="4"/>
        <v>10754.61</v>
      </c>
      <c r="H93" s="522"/>
    </row>
    <row r="94" spans="1:22" ht="15.75" customHeight="1" x14ac:dyDescent="0.2">
      <c r="A94" s="522"/>
      <c r="B94" s="678" t="s">
        <v>254</v>
      </c>
      <c r="C94" s="678"/>
      <c r="D94" s="524">
        <v>5854.58</v>
      </c>
      <c r="E94" s="524"/>
      <c r="F94" s="524">
        <f>-'June''17 Revenues &amp; Expenses'!H41</f>
        <v>-200</v>
      </c>
      <c r="G94" s="524">
        <f t="shared" si="4"/>
        <v>5654.58</v>
      </c>
      <c r="H94" s="522"/>
    </row>
    <row r="95" spans="1:22" ht="15.75" x14ac:dyDescent="0.2">
      <c r="A95" s="522"/>
      <c r="B95" s="678" t="s">
        <v>255</v>
      </c>
      <c r="C95" s="678"/>
      <c r="D95" s="524">
        <v>1100.82</v>
      </c>
      <c r="E95" s="524"/>
      <c r="F95" s="524">
        <f>-'June''17 Revenues &amp; Expenses'!J54</f>
        <v>0</v>
      </c>
      <c r="G95" s="524">
        <f t="shared" si="4"/>
        <v>1100.82</v>
      </c>
      <c r="H95" s="522"/>
    </row>
    <row r="96" spans="1:22" ht="15.75" x14ac:dyDescent="0.2">
      <c r="A96" s="522"/>
      <c r="B96" s="678"/>
      <c r="C96" s="678"/>
      <c r="D96" s="524">
        <v>0</v>
      </c>
      <c r="E96" s="524"/>
      <c r="F96" s="524">
        <v>0</v>
      </c>
      <c r="G96" s="524">
        <f t="shared" si="4"/>
        <v>0</v>
      </c>
      <c r="H96" s="522"/>
    </row>
    <row r="97" spans="1:8" ht="15.75" customHeight="1" thickBot="1" x14ac:dyDescent="0.25">
      <c r="A97" s="522"/>
      <c r="B97" s="682" t="s">
        <v>256</v>
      </c>
      <c r="C97" s="682"/>
      <c r="D97" s="516">
        <f>SUM(D90:D96)</f>
        <v>32653.979999999996</v>
      </c>
      <c r="E97" s="516">
        <f>SUM(E90:E96)</f>
        <v>74934.149999999994</v>
      </c>
      <c r="F97" s="516">
        <f>SUM(F90:F96)</f>
        <v>-41095.410000000003</v>
      </c>
      <c r="G97" s="516">
        <f>SUM(G90:G96)</f>
        <v>66492.72</v>
      </c>
      <c r="H97" s="522"/>
    </row>
    <row r="98" spans="1:8" ht="16.5" thickTop="1" x14ac:dyDescent="0.2">
      <c r="A98" s="514"/>
      <c r="B98" s="523"/>
      <c r="C98" s="523"/>
      <c r="D98" s="523"/>
      <c r="E98" s="523"/>
      <c r="F98" s="523"/>
      <c r="G98" s="523"/>
      <c r="H98" s="514"/>
    </row>
    <row r="99" spans="1:8" ht="15.75" customHeight="1" x14ac:dyDescent="0.2"/>
    <row r="100" spans="1:8" ht="6.75" customHeight="1" x14ac:dyDescent="0.2"/>
    <row r="101" spans="1:8" ht="37.5" customHeight="1" x14ac:dyDescent="0.2"/>
  </sheetData>
  <mergeCells count="80">
    <mergeCell ref="C67:D67"/>
    <mergeCell ref="F67:G67"/>
    <mergeCell ref="C68:D68"/>
    <mergeCell ref="F68:G68"/>
    <mergeCell ref="C63:D63"/>
    <mergeCell ref="F63:G63"/>
    <mergeCell ref="A1:H1"/>
    <mergeCell ref="A2:H2"/>
    <mergeCell ref="A3:H3"/>
    <mergeCell ref="C12:D12"/>
    <mergeCell ref="C13:D13"/>
    <mergeCell ref="A9:H9"/>
    <mergeCell ref="A10:H10"/>
    <mergeCell ref="B11:C11"/>
    <mergeCell ref="A4:H4"/>
    <mergeCell ref="A5:H5"/>
    <mergeCell ref="A7:H7"/>
    <mergeCell ref="A6:H6"/>
    <mergeCell ref="A8:H8"/>
    <mergeCell ref="B93:C93"/>
    <mergeCell ref="B94:C94"/>
    <mergeCell ref="B96:C96"/>
    <mergeCell ref="B97:C97"/>
    <mergeCell ref="B95:C95"/>
    <mergeCell ref="B90:C90"/>
    <mergeCell ref="B91:C91"/>
    <mergeCell ref="C70:D70"/>
    <mergeCell ref="B92:C92"/>
    <mergeCell ref="B84:C84"/>
    <mergeCell ref="B86:C86"/>
    <mergeCell ref="B82:C82"/>
    <mergeCell ref="B83:C83"/>
    <mergeCell ref="A74:H74"/>
    <mergeCell ref="B75:C75"/>
    <mergeCell ref="B77:C77"/>
    <mergeCell ref="B78:C78"/>
    <mergeCell ref="B89:C89"/>
    <mergeCell ref="B76:D76"/>
    <mergeCell ref="C69:D69"/>
    <mergeCell ref="F69:G69"/>
    <mergeCell ref="A88:H88"/>
    <mergeCell ref="B85:C85"/>
    <mergeCell ref="B79:C79"/>
    <mergeCell ref="B80:C80"/>
    <mergeCell ref="B81:C81"/>
    <mergeCell ref="A72:H72"/>
    <mergeCell ref="A23:H23"/>
    <mergeCell ref="A24:H24"/>
    <mergeCell ref="A28:H28"/>
    <mergeCell ref="A48:H48"/>
    <mergeCell ref="B41:G41"/>
    <mergeCell ref="B42:G42"/>
    <mergeCell ref="B43:G43"/>
    <mergeCell ref="B44:G44"/>
    <mergeCell ref="E52:F52"/>
    <mergeCell ref="B45:G45"/>
    <mergeCell ref="B46:G46"/>
    <mergeCell ref="E51:F51"/>
    <mergeCell ref="E50:F50"/>
    <mergeCell ref="E49:F49"/>
    <mergeCell ref="C14:D14"/>
    <mergeCell ref="C15:D15"/>
    <mergeCell ref="C16:D16"/>
    <mergeCell ref="B19:C19"/>
    <mergeCell ref="C17:D17"/>
    <mergeCell ref="C18:D18"/>
    <mergeCell ref="E56:F56"/>
    <mergeCell ref="E57:F57"/>
    <mergeCell ref="E55:F55"/>
    <mergeCell ref="C66:D66"/>
    <mergeCell ref="F66:G66"/>
    <mergeCell ref="C62:D62"/>
    <mergeCell ref="F62:G62"/>
    <mergeCell ref="C64:D64"/>
    <mergeCell ref="F64:G64"/>
    <mergeCell ref="C65:D65"/>
    <mergeCell ref="F65:G65"/>
    <mergeCell ref="A60:H60"/>
    <mergeCell ref="C61:D61"/>
    <mergeCell ref="F61:G61"/>
  </mergeCells>
  <pageMargins left="0.75" right="0.25" top="0.75" bottom="0.75" header="0.3" footer="0.3"/>
  <pageSetup scale="74" fitToHeight="2" orientation="portrait" r:id="rId1"/>
  <headerFooter>
    <oddFooter>&amp;CPage #&amp;P of &amp;N</odd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9"/>
  <sheetViews>
    <sheetView topLeftCell="A168" workbookViewId="0">
      <selection activeCell="E190" sqref="E190"/>
    </sheetView>
  </sheetViews>
  <sheetFormatPr defaultRowHeight="14.25" x14ac:dyDescent="0.2"/>
  <cols>
    <col min="1" max="1" width="22.875" style="629" customWidth="1"/>
    <col min="2" max="2" width="9" style="590"/>
  </cols>
  <sheetData>
    <row r="3" spans="1:2" ht="15" thickBot="1" x14ac:dyDescent="0.25">
      <c r="A3" s="626" t="s">
        <v>351</v>
      </c>
      <c r="B3" s="586" t="s">
        <v>352</v>
      </c>
    </row>
    <row r="4" spans="1:2" ht="15" thickTop="1" x14ac:dyDescent="0.2">
      <c r="A4" s="627">
        <v>42370</v>
      </c>
      <c r="B4" s="587">
        <v>316020.78000000003</v>
      </c>
    </row>
    <row r="5" spans="1:2" x14ac:dyDescent="0.2">
      <c r="A5" s="628">
        <v>42373</v>
      </c>
      <c r="B5" s="588">
        <v>315970.78000000003</v>
      </c>
    </row>
    <row r="6" spans="1:2" x14ac:dyDescent="0.2">
      <c r="A6" s="628">
        <v>42374</v>
      </c>
      <c r="B6" s="588">
        <v>320557.63</v>
      </c>
    </row>
    <row r="7" spans="1:2" x14ac:dyDescent="0.2">
      <c r="A7" s="628">
        <v>42375</v>
      </c>
      <c r="B7" s="588">
        <f>B6</f>
        <v>320557.63</v>
      </c>
    </row>
    <row r="8" spans="1:2" x14ac:dyDescent="0.2">
      <c r="A8" s="628">
        <v>42376</v>
      </c>
      <c r="B8" s="588">
        <v>323108.86</v>
      </c>
    </row>
    <row r="9" spans="1:2" x14ac:dyDescent="0.2">
      <c r="A9" s="628">
        <v>42377</v>
      </c>
      <c r="B9" s="588">
        <f>B8</f>
        <v>323108.86</v>
      </c>
    </row>
    <row r="10" spans="1:2" x14ac:dyDescent="0.2">
      <c r="A10" s="628">
        <v>42380</v>
      </c>
      <c r="B10" s="588">
        <v>323239.86</v>
      </c>
    </row>
    <row r="11" spans="1:2" x14ac:dyDescent="0.2">
      <c r="A11" s="628">
        <v>42381</v>
      </c>
      <c r="B11" s="588">
        <v>288792.71999999997</v>
      </c>
    </row>
    <row r="12" spans="1:2" x14ac:dyDescent="0.2">
      <c r="A12" s="628">
        <v>42382</v>
      </c>
      <c r="B12" s="588">
        <f>B11</f>
        <v>288792.71999999997</v>
      </c>
    </row>
    <row r="13" spans="1:2" x14ac:dyDescent="0.2">
      <c r="A13" s="628">
        <v>42383</v>
      </c>
      <c r="B13" s="588">
        <v>277881.3</v>
      </c>
    </row>
    <row r="14" spans="1:2" x14ac:dyDescent="0.2">
      <c r="A14" s="628">
        <v>42384</v>
      </c>
      <c r="B14" s="588">
        <v>293922.15000000002</v>
      </c>
    </row>
    <row r="15" spans="1:2" x14ac:dyDescent="0.2">
      <c r="A15" s="628">
        <v>42387</v>
      </c>
      <c r="B15" s="588">
        <f>B14</f>
        <v>293922.15000000002</v>
      </c>
    </row>
    <row r="16" spans="1:2" x14ac:dyDescent="0.2">
      <c r="A16" s="628">
        <v>42388</v>
      </c>
      <c r="B16" s="588">
        <f>B14</f>
        <v>293922.15000000002</v>
      </c>
    </row>
    <row r="17" spans="1:2" x14ac:dyDescent="0.2">
      <c r="A17" s="628">
        <v>42389</v>
      </c>
      <c r="B17" s="588">
        <v>294002.2</v>
      </c>
    </row>
    <row r="18" spans="1:2" x14ac:dyDescent="0.2">
      <c r="A18" s="628">
        <v>42390</v>
      </c>
      <c r="B18" s="588">
        <v>285645.33</v>
      </c>
    </row>
    <row r="19" spans="1:2" x14ac:dyDescent="0.2">
      <c r="A19" s="628">
        <v>42391</v>
      </c>
      <c r="B19" s="588">
        <f>B18</f>
        <v>285645.33</v>
      </c>
    </row>
    <row r="20" spans="1:2" x14ac:dyDescent="0.2">
      <c r="A20" s="628">
        <v>42394</v>
      </c>
      <c r="B20" s="588">
        <v>310939.57</v>
      </c>
    </row>
    <row r="21" spans="1:2" x14ac:dyDescent="0.2">
      <c r="A21" s="628">
        <v>42395</v>
      </c>
      <c r="B21" s="588">
        <v>285520.28000000003</v>
      </c>
    </row>
    <row r="22" spans="1:2" x14ac:dyDescent="0.2">
      <c r="A22" s="628">
        <v>42396</v>
      </c>
      <c r="B22" s="588">
        <f>B21</f>
        <v>285520.28000000003</v>
      </c>
    </row>
    <row r="23" spans="1:2" x14ac:dyDescent="0.2">
      <c r="A23" s="628">
        <v>42397</v>
      </c>
      <c r="B23" s="588">
        <v>282022.58</v>
      </c>
    </row>
    <row r="24" spans="1:2" x14ac:dyDescent="0.2">
      <c r="A24" s="628">
        <v>42398</v>
      </c>
      <c r="B24" s="588">
        <v>294848.15999999997</v>
      </c>
    </row>
    <row r="25" spans="1:2" x14ac:dyDescent="0.2">
      <c r="A25" s="628">
        <v>42401</v>
      </c>
      <c r="B25" s="588">
        <v>295971.7</v>
      </c>
    </row>
    <row r="26" spans="1:2" x14ac:dyDescent="0.2">
      <c r="A26" s="628">
        <v>42402</v>
      </c>
      <c r="B26" s="588">
        <v>342700.41</v>
      </c>
    </row>
    <row r="27" spans="1:2" x14ac:dyDescent="0.2">
      <c r="A27" s="628">
        <v>42403</v>
      </c>
      <c r="B27" s="588">
        <f>B26</f>
        <v>342700.41</v>
      </c>
    </row>
    <row r="28" spans="1:2" x14ac:dyDescent="0.2">
      <c r="A28" s="628">
        <v>42404</v>
      </c>
      <c r="B28" s="588">
        <v>337638.63</v>
      </c>
    </row>
    <row r="29" spans="1:2" x14ac:dyDescent="0.2">
      <c r="A29" s="628">
        <v>42405</v>
      </c>
      <c r="B29" s="588">
        <v>367843.39</v>
      </c>
    </row>
    <row r="30" spans="1:2" x14ac:dyDescent="0.2">
      <c r="A30" s="628">
        <v>42408</v>
      </c>
      <c r="B30" s="588">
        <v>367773.39</v>
      </c>
    </row>
    <row r="31" spans="1:2" x14ac:dyDescent="0.2">
      <c r="A31" s="628">
        <v>42409</v>
      </c>
      <c r="B31" s="588">
        <v>339527.33</v>
      </c>
    </row>
    <row r="32" spans="1:2" x14ac:dyDescent="0.2">
      <c r="A32" s="628">
        <v>42410</v>
      </c>
      <c r="B32" s="588">
        <f>B31</f>
        <v>339527.33</v>
      </c>
    </row>
    <row r="33" spans="1:2" x14ac:dyDescent="0.2">
      <c r="A33" s="628">
        <v>42411</v>
      </c>
      <c r="B33" s="588">
        <v>336968.79</v>
      </c>
    </row>
    <row r="34" spans="1:2" x14ac:dyDescent="0.2">
      <c r="A34" s="628">
        <v>42412</v>
      </c>
      <c r="B34" s="588">
        <v>337055.76</v>
      </c>
    </row>
    <row r="35" spans="1:2" x14ac:dyDescent="0.2">
      <c r="A35" s="628">
        <v>42415</v>
      </c>
      <c r="B35" s="588">
        <f>B34</f>
        <v>337055.76</v>
      </c>
    </row>
    <row r="36" spans="1:2" x14ac:dyDescent="0.2">
      <c r="A36" s="628">
        <v>42416</v>
      </c>
      <c r="B36" s="588">
        <f>B35</f>
        <v>337055.76</v>
      </c>
    </row>
    <row r="37" spans="1:2" x14ac:dyDescent="0.2">
      <c r="A37" s="628">
        <v>42417</v>
      </c>
      <c r="B37" s="588">
        <v>365266.06</v>
      </c>
    </row>
    <row r="38" spans="1:2" x14ac:dyDescent="0.2">
      <c r="A38" s="628">
        <v>42418</v>
      </c>
      <c r="B38" s="588">
        <v>360871.98</v>
      </c>
    </row>
    <row r="39" spans="1:2" x14ac:dyDescent="0.2">
      <c r="A39" s="628">
        <v>42419</v>
      </c>
      <c r="B39" s="588">
        <f>B38</f>
        <v>360871.98</v>
      </c>
    </row>
    <row r="40" spans="1:2" x14ac:dyDescent="0.2">
      <c r="A40" s="628">
        <v>42421</v>
      </c>
      <c r="B40" s="588">
        <f>B39</f>
        <v>360871.98</v>
      </c>
    </row>
    <row r="41" spans="1:2" x14ac:dyDescent="0.2">
      <c r="A41" s="628">
        <v>42423</v>
      </c>
      <c r="B41" s="588">
        <v>355845.62</v>
      </c>
    </row>
    <row r="42" spans="1:2" x14ac:dyDescent="0.2">
      <c r="A42" s="628">
        <v>42424</v>
      </c>
      <c r="B42" s="588">
        <f>B41</f>
        <v>355845.62</v>
      </c>
    </row>
    <row r="43" spans="1:2" x14ac:dyDescent="0.2">
      <c r="A43" s="628">
        <v>42425</v>
      </c>
      <c r="B43" s="588">
        <v>345399.7</v>
      </c>
    </row>
    <row r="44" spans="1:2" x14ac:dyDescent="0.2">
      <c r="A44" s="628">
        <v>42426</v>
      </c>
      <c r="B44" s="588">
        <v>370500.69</v>
      </c>
    </row>
    <row r="45" spans="1:2" x14ac:dyDescent="0.2">
      <c r="A45" s="628">
        <v>42429</v>
      </c>
      <c r="B45" s="588">
        <v>389846.49</v>
      </c>
    </row>
    <row r="46" spans="1:2" x14ac:dyDescent="0.2">
      <c r="A46" s="628">
        <v>42430</v>
      </c>
      <c r="B46" s="588">
        <f>B45</f>
        <v>389846.49</v>
      </c>
    </row>
    <row r="47" spans="1:2" x14ac:dyDescent="0.2">
      <c r="A47" s="628">
        <v>42431</v>
      </c>
      <c r="B47" s="588">
        <f>B46</f>
        <v>389846.49</v>
      </c>
    </row>
    <row r="48" spans="1:2" x14ac:dyDescent="0.2">
      <c r="A48" s="628">
        <v>42432</v>
      </c>
      <c r="B48" s="588">
        <v>378391.97</v>
      </c>
    </row>
    <row r="49" spans="1:2" x14ac:dyDescent="0.2">
      <c r="A49" s="628">
        <v>42433</v>
      </c>
      <c r="B49" s="588">
        <v>424034.23</v>
      </c>
    </row>
    <row r="50" spans="1:2" x14ac:dyDescent="0.2">
      <c r="A50" s="628">
        <v>42436</v>
      </c>
      <c r="B50" s="588">
        <f>B49</f>
        <v>424034.23</v>
      </c>
    </row>
    <row r="51" spans="1:2" x14ac:dyDescent="0.2">
      <c r="A51" s="628">
        <v>42437</v>
      </c>
      <c r="B51" s="588">
        <v>386665.73</v>
      </c>
    </row>
    <row r="52" spans="1:2" x14ac:dyDescent="0.2">
      <c r="A52" s="628">
        <v>42438</v>
      </c>
      <c r="B52" s="588">
        <f>B51</f>
        <v>386665.73</v>
      </c>
    </row>
    <row r="53" spans="1:2" x14ac:dyDescent="0.2">
      <c r="A53" s="628">
        <v>42439</v>
      </c>
      <c r="B53" s="588">
        <v>389219.85</v>
      </c>
    </row>
    <row r="54" spans="1:2" x14ac:dyDescent="0.2">
      <c r="A54" s="628">
        <v>42440</v>
      </c>
      <c r="B54" s="588">
        <v>406100.98</v>
      </c>
    </row>
    <row r="55" spans="1:2" x14ac:dyDescent="0.2">
      <c r="A55" s="628">
        <v>42443</v>
      </c>
      <c r="B55" s="588">
        <v>407873.33</v>
      </c>
    </row>
    <row r="56" spans="1:2" x14ac:dyDescent="0.2">
      <c r="A56" s="628">
        <v>42444</v>
      </c>
      <c r="B56" s="588">
        <v>407992.23</v>
      </c>
    </row>
    <row r="57" spans="1:2" x14ac:dyDescent="0.2">
      <c r="A57" s="628">
        <v>42445</v>
      </c>
      <c r="B57" s="588">
        <v>433808.81</v>
      </c>
    </row>
    <row r="58" spans="1:2" x14ac:dyDescent="0.2">
      <c r="A58" s="628">
        <v>42446</v>
      </c>
      <c r="B58" s="588">
        <v>422290.94</v>
      </c>
    </row>
    <row r="59" spans="1:2" x14ac:dyDescent="0.2">
      <c r="A59" s="628">
        <v>42447</v>
      </c>
      <c r="B59" s="588">
        <v>468026.54</v>
      </c>
    </row>
    <row r="60" spans="1:2" x14ac:dyDescent="0.2">
      <c r="A60" s="628">
        <v>42450</v>
      </c>
      <c r="B60" s="588">
        <v>348026.54</v>
      </c>
    </row>
    <row r="61" spans="1:2" x14ac:dyDescent="0.2">
      <c r="A61" s="628">
        <v>42451</v>
      </c>
      <c r="B61" s="588">
        <v>312876.71000000002</v>
      </c>
    </row>
    <row r="62" spans="1:2" x14ac:dyDescent="0.2">
      <c r="A62" s="628">
        <v>42452</v>
      </c>
      <c r="B62" s="588">
        <v>314939.26</v>
      </c>
    </row>
    <row r="63" spans="1:2" x14ac:dyDescent="0.2">
      <c r="A63" s="628">
        <v>42453</v>
      </c>
      <c r="B63" s="588">
        <v>309254.23</v>
      </c>
    </row>
    <row r="64" spans="1:2" x14ac:dyDescent="0.2">
      <c r="A64" s="628">
        <v>42454</v>
      </c>
      <c r="B64" s="588">
        <v>308314.94</v>
      </c>
    </row>
    <row r="65" spans="1:2" x14ac:dyDescent="0.2">
      <c r="A65" s="628">
        <v>42457</v>
      </c>
      <c r="B65" s="588">
        <f>B64</f>
        <v>308314.94</v>
      </c>
    </row>
    <row r="66" spans="1:2" x14ac:dyDescent="0.2">
      <c r="A66" s="628">
        <v>42458</v>
      </c>
      <c r="B66" s="588">
        <v>308501.75</v>
      </c>
    </row>
    <row r="67" spans="1:2" x14ac:dyDescent="0.2">
      <c r="A67" s="628">
        <v>42459</v>
      </c>
      <c r="B67" s="588">
        <f>B66</f>
        <v>308501.75</v>
      </c>
    </row>
    <row r="68" spans="1:2" x14ac:dyDescent="0.2">
      <c r="A68" s="628">
        <v>42460</v>
      </c>
      <c r="B68" s="588">
        <v>309191.53000000003</v>
      </c>
    </row>
    <row r="69" spans="1:2" x14ac:dyDescent="0.2">
      <c r="A69" s="628">
        <v>42461</v>
      </c>
      <c r="B69" s="588">
        <f>B68</f>
        <v>309191.53000000003</v>
      </c>
    </row>
    <row r="70" spans="1:2" x14ac:dyDescent="0.2">
      <c r="A70" s="628">
        <v>42464</v>
      </c>
      <c r="B70" s="588">
        <v>273521.59999999998</v>
      </c>
    </row>
    <row r="71" spans="1:2" x14ac:dyDescent="0.2">
      <c r="A71" s="628">
        <v>42465</v>
      </c>
      <c r="B71" s="588">
        <f>B70</f>
        <v>273521.59999999998</v>
      </c>
    </row>
    <row r="72" spans="1:2" x14ac:dyDescent="0.2">
      <c r="A72" s="628">
        <v>42466</v>
      </c>
      <c r="B72" s="588">
        <v>272690.59999999998</v>
      </c>
    </row>
    <row r="73" spans="1:2" x14ac:dyDescent="0.2">
      <c r="A73" s="628">
        <v>42467</v>
      </c>
      <c r="B73" s="588">
        <v>269582.73</v>
      </c>
    </row>
    <row r="74" spans="1:2" x14ac:dyDescent="0.2">
      <c r="A74" s="628">
        <v>42468</v>
      </c>
      <c r="B74" s="588">
        <f>B73</f>
        <v>269582.73</v>
      </c>
    </row>
    <row r="75" spans="1:2" x14ac:dyDescent="0.2">
      <c r="A75" s="628">
        <v>42471</v>
      </c>
      <c r="B75" s="588">
        <v>269763.98</v>
      </c>
    </row>
    <row r="76" spans="1:2" x14ac:dyDescent="0.2">
      <c r="A76" s="628">
        <v>42472</v>
      </c>
      <c r="B76" s="588">
        <f>B75</f>
        <v>269763.98</v>
      </c>
    </row>
    <row r="77" spans="1:2" x14ac:dyDescent="0.2">
      <c r="A77" s="628">
        <v>42473</v>
      </c>
      <c r="B77" s="588">
        <v>269925.98</v>
      </c>
    </row>
    <row r="78" spans="1:2" x14ac:dyDescent="0.2">
      <c r="A78" s="628">
        <v>42474</v>
      </c>
      <c r="B78" s="588">
        <v>262853.87</v>
      </c>
    </row>
    <row r="79" spans="1:2" x14ac:dyDescent="0.2">
      <c r="A79" s="628">
        <v>42475</v>
      </c>
      <c r="B79" s="588">
        <v>285492.90999999997</v>
      </c>
    </row>
    <row r="80" spans="1:2" x14ac:dyDescent="0.2">
      <c r="A80" s="628">
        <v>42478</v>
      </c>
      <c r="B80" s="588">
        <v>248936.49</v>
      </c>
    </row>
    <row r="81" spans="1:2" x14ac:dyDescent="0.2">
      <c r="A81" s="628">
        <v>42479</v>
      </c>
      <c r="B81" s="588">
        <v>299276.93</v>
      </c>
    </row>
    <row r="82" spans="1:2" x14ac:dyDescent="0.2">
      <c r="A82" s="628">
        <v>42480</v>
      </c>
      <c r="B82" s="588">
        <v>298671.93</v>
      </c>
    </row>
    <row r="83" spans="1:2" x14ac:dyDescent="0.2">
      <c r="A83" s="628">
        <v>42481</v>
      </c>
      <c r="B83" s="588">
        <v>300188.76</v>
      </c>
    </row>
    <row r="84" spans="1:2" x14ac:dyDescent="0.2">
      <c r="A84" s="628">
        <v>42482</v>
      </c>
      <c r="B84" s="588">
        <v>320014.86</v>
      </c>
    </row>
    <row r="85" spans="1:2" x14ac:dyDescent="0.2">
      <c r="A85" s="628">
        <v>42485</v>
      </c>
      <c r="B85" s="588">
        <v>316702.44</v>
      </c>
    </row>
    <row r="86" spans="1:2" x14ac:dyDescent="0.2">
      <c r="A86" s="628">
        <v>42486</v>
      </c>
      <c r="B86" s="588">
        <f>B85</f>
        <v>316702.44</v>
      </c>
    </row>
    <row r="87" spans="1:2" x14ac:dyDescent="0.2">
      <c r="A87" s="628">
        <v>42487</v>
      </c>
      <c r="B87" s="588">
        <v>316945.44</v>
      </c>
    </row>
    <row r="88" spans="1:2" x14ac:dyDescent="0.2">
      <c r="A88" s="628">
        <v>42488</v>
      </c>
      <c r="B88" s="588">
        <v>320979.96999999997</v>
      </c>
    </row>
    <row r="89" spans="1:2" x14ac:dyDescent="0.2">
      <c r="A89" s="628">
        <v>42489</v>
      </c>
      <c r="B89" s="588">
        <f>B88</f>
        <v>320979.96999999997</v>
      </c>
    </row>
    <row r="90" spans="1:2" x14ac:dyDescent="0.2">
      <c r="A90" s="628">
        <v>42492</v>
      </c>
      <c r="B90" s="588">
        <v>285992.84000000003</v>
      </c>
    </row>
    <row r="91" spans="1:2" x14ac:dyDescent="0.2">
      <c r="A91" s="628">
        <v>42493</v>
      </c>
      <c r="B91" s="588">
        <v>286063.08</v>
      </c>
    </row>
    <row r="92" spans="1:2" x14ac:dyDescent="0.2">
      <c r="A92" s="628">
        <v>42494</v>
      </c>
      <c r="B92" s="588">
        <v>314586.46000000002</v>
      </c>
    </row>
    <row r="93" spans="1:2" x14ac:dyDescent="0.2">
      <c r="A93" s="628">
        <v>42495</v>
      </c>
      <c r="B93" s="588">
        <v>317747.52</v>
      </c>
    </row>
    <row r="94" spans="1:2" x14ac:dyDescent="0.2">
      <c r="A94" s="628">
        <v>42496</v>
      </c>
      <c r="B94" s="588">
        <f>B93</f>
        <v>317747.52</v>
      </c>
    </row>
    <row r="95" spans="1:2" x14ac:dyDescent="0.2">
      <c r="A95" s="628">
        <v>42499</v>
      </c>
      <c r="B95" s="588">
        <v>317647.52</v>
      </c>
    </row>
    <row r="96" spans="1:2" x14ac:dyDescent="0.2">
      <c r="A96" s="628">
        <v>42500</v>
      </c>
      <c r="B96" s="588">
        <v>354645.16</v>
      </c>
    </row>
    <row r="97" spans="1:2" x14ac:dyDescent="0.2">
      <c r="A97" s="628">
        <v>42501</v>
      </c>
      <c r="B97" s="588">
        <f>B96</f>
        <v>354645.16</v>
      </c>
    </row>
    <row r="98" spans="1:2" x14ac:dyDescent="0.2">
      <c r="A98" s="628">
        <v>42502</v>
      </c>
      <c r="B98" s="588">
        <v>334676.08</v>
      </c>
    </row>
    <row r="99" spans="1:2" x14ac:dyDescent="0.2">
      <c r="A99" s="628">
        <v>42503</v>
      </c>
      <c r="B99" s="588">
        <v>335053.34999999998</v>
      </c>
    </row>
    <row r="100" spans="1:2" x14ac:dyDescent="0.2">
      <c r="A100" s="628">
        <v>42506</v>
      </c>
      <c r="B100" s="588">
        <v>299641.7</v>
      </c>
    </row>
    <row r="101" spans="1:2" x14ac:dyDescent="0.2">
      <c r="A101" s="628">
        <v>42507</v>
      </c>
      <c r="B101" s="588">
        <f>B100</f>
        <v>299641.7</v>
      </c>
    </row>
    <row r="102" spans="1:2" x14ac:dyDescent="0.2">
      <c r="A102" s="628">
        <v>42508</v>
      </c>
      <c r="B102" s="588">
        <v>316034.81</v>
      </c>
    </row>
    <row r="103" spans="1:2" x14ac:dyDescent="0.2">
      <c r="A103" s="628">
        <v>42509</v>
      </c>
      <c r="B103" s="588">
        <v>320069.11</v>
      </c>
    </row>
    <row r="104" spans="1:2" x14ac:dyDescent="0.2">
      <c r="A104" s="628">
        <v>42510</v>
      </c>
      <c r="B104" s="588">
        <v>328514.03000000003</v>
      </c>
    </row>
    <row r="105" spans="1:2" x14ac:dyDescent="0.2">
      <c r="A105" s="628">
        <v>42513</v>
      </c>
      <c r="B105" s="588">
        <f>B104</f>
        <v>328514.03000000003</v>
      </c>
    </row>
    <row r="106" spans="1:2" x14ac:dyDescent="0.2">
      <c r="A106" s="628">
        <v>42514</v>
      </c>
      <c r="B106" s="588">
        <v>334541.26</v>
      </c>
    </row>
    <row r="107" spans="1:2" x14ac:dyDescent="0.2">
      <c r="A107" s="628">
        <v>42515</v>
      </c>
      <c r="B107" s="589">
        <v>329880.45</v>
      </c>
    </row>
    <row r="108" spans="1:2" x14ac:dyDescent="0.2">
      <c r="A108" s="628">
        <v>42516</v>
      </c>
      <c r="B108" s="590">
        <v>337992.17</v>
      </c>
    </row>
    <row r="109" spans="1:2" x14ac:dyDescent="0.2">
      <c r="A109" s="628">
        <v>42517</v>
      </c>
      <c r="B109" s="590">
        <v>347755.4</v>
      </c>
    </row>
    <row r="110" spans="1:2" x14ac:dyDescent="0.2">
      <c r="A110" s="628">
        <v>42520</v>
      </c>
      <c r="B110" s="590">
        <v>347755.4</v>
      </c>
    </row>
    <row r="111" spans="1:2" x14ac:dyDescent="0.2">
      <c r="A111" s="628">
        <v>42521</v>
      </c>
      <c r="B111" s="590">
        <v>312817.88</v>
      </c>
    </row>
    <row r="112" spans="1:2" x14ac:dyDescent="0.2">
      <c r="A112" s="628">
        <v>42522</v>
      </c>
      <c r="B112" s="590">
        <v>314571.3</v>
      </c>
    </row>
    <row r="113" spans="1:2" x14ac:dyDescent="0.2">
      <c r="A113" s="628">
        <v>42523</v>
      </c>
      <c r="B113" s="590">
        <v>302515.78000000003</v>
      </c>
    </row>
    <row r="114" spans="1:2" x14ac:dyDescent="0.2">
      <c r="A114" s="628">
        <v>42524</v>
      </c>
      <c r="B114" s="590">
        <v>302516</v>
      </c>
    </row>
    <row r="115" spans="1:2" x14ac:dyDescent="0.2">
      <c r="A115" s="628">
        <v>42527</v>
      </c>
      <c r="B115" s="590">
        <v>302516</v>
      </c>
    </row>
    <row r="116" spans="1:2" x14ac:dyDescent="0.2">
      <c r="A116" s="628">
        <v>42528</v>
      </c>
      <c r="B116" s="590">
        <v>302516</v>
      </c>
    </row>
    <row r="117" spans="1:2" x14ac:dyDescent="0.2">
      <c r="A117" s="628">
        <v>42529</v>
      </c>
      <c r="B117" s="590">
        <v>279865.95</v>
      </c>
    </row>
    <row r="118" spans="1:2" x14ac:dyDescent="0.2">
      <c r="A118" s="628">
        <v>42530</v>
      </c>
      <c r="B118" s="590">
        <v>279866</v>
      </c>
    </row>
    <row r="119" spans="1:2" x14ac:dyDescent="0.2">
      <c r="A119" s="628">
        <v>42531</v>
      </c>
      <c r="B119" s="590">
        <v>279866</v>
      </c>
    </row>
    <row r="120" spans="1:2" x14ac:dyDescent="0.2">
      <c r="A120" s="628">
        <v>42534</v>
      </c>
      <c r="B120" s="590">
        <v>279866</v>
      </c>
    </row>
    <row r="121" spans="1:2" x14ac:dyDescent="0.2">
      <c r="A121" s="628">
        <v>42535</v>
      </c>
      <c r="B121" s="590">
        <v>279866</v>
      </c>
    </row>
    <row r="122" spans="1:2" x14ac:dyDescent="0.2">
      <c r="A122" s="628">
        <v>42536</v>
      </c>
      <c r="B122" s="590">
        <v>290096.01</v>
      </c>
    </row>
    <row r="123" spans="1:2" x14ac:dyDescent="0.2">
      <c r="A123" s="628">
        <v>42537</v>
      </c>
      <c r="B123" s="590">
        <v>247423.5</v>
      </c>
    </row>
    <row r="124" spans="1:2" x14ac:dyDescent="0.2">
      <c r="A124" s="628">
        <v>42538</v>
      </c>
      <c r="B124" s="590">
        <v>247424</v>
      </c>
    </row>
    <row r="125" spans="1:2" x14ac:dyDescent="0.2">
      <c r="A125" s="628">
        <v>42541</v>
      </c>
      <c r="B125" s="590">
        <v>247424</v>
      </c>
    </row>
    <row r="126" spans="1:2" x14ac:dyDescent="0.2">
      <c r="A126" s="628">
        <v>42542</v>
      </c>
      <c r="B126" s="590">
        <v>255459.85</v>
      </c>
    </row>
    <row r="127" spans="1:2" x14ac:dyDescent="0.2">
      <c r="A127" s="628">
        <v>42543</v>
      </c>
      <c r="B127" s="590">
        <v>255460</v>
      </c>
    </row>
    <row r="128" spans="1:2" x14ac:dyDescent="0.2">
      <c r="A128" s="591">
        <f>A127+1</f>
        <v>42544</v>
      </c>
      <c r="B128" s="590">
        <v>240780.4</v>
      </c>
    </row>
    <row r="129" spans="1:2" x14ac:dyDescent="0.2">
      <c r="A129" s="591">
        <f>A128+1</f>
        <v>42545</v>
      </c>
      <c r="B129" s="590">
        <v>240780</v>
      </c>
    </row>
    <row r="130" spans="1:2" x14ac:dyDescent="0.2">
      <c r="A130" s="591">
        <f>A125+7</f>
        <v>42548</v>
      </c>
      <c r="B130" s="590">
        <v>205735.12</v>
      </c>
    </row>
    <row r="131" spans="1:2" x14ac:dyDescent="0.2">
      <c r="A131" s="591">
        <f>A126+7</f>
        <v>42549</v>
      </c>
      <c r="B131" s="590">
        <v>207489.37</v>
      </c>
    </row>
    <row r="132" spans="1:2" x14ac:dyDescent="0.2">
      <c r="A132" s="591">
        <f t="shared" ref="A132:A195" si="0">A127+7</f>
        <v>42550</v>
      </c>
      <c r="B132" s="590">
        <v>213757.9</v>
      </c>
    </row>
    <row r="133" spans="1:2" x14ac:dyDescent="0.2">
      <c r="A133" s="591">
        <f t="shared" si="0"/>
        <v>42551</v>
      </c>
      <c r="B133" s="590">
        <v>220332.56</v>
      </c>
    </row>
    <row r="134" spans="1:2" x14ac:dyDescent="0.2">
      <c r="A134" s="591">
        <f t="shared" si="0"/>
        <v>42552</v>
      </c>
      <c r="B134" s="590">
        <v>212813.84</v>
      </c>
    </row>
    <row r="135" spans="1:2" x14ac:dyDescent="0.2">
      <c r="A135" s="591">
        <f t="shared" si="0"/>
        <v>42555</v>
      </c>
      <c r="B135" s="590">
        <v>212814</v>
      </c>
    </row>
    <row r="136" spans="1:2" x14ac:dyDescent="0.2">
      <c r="A136" s="591">
        <f t="shared" si="0"/>
        <v>42556</v>
      </c>
      <c r="B136" s="590">
        <v>236539.45</v>
      </c>
    </row>
    <row r="137" spans="1:2" x14ac:dyDescent="0.2">
      <c r="A137" s="591">
        <f t="shared" si="0"/>
        <v>42557</v>
      </c>
      <c r="B137" s="590">
        <v>234224.42</v>
      </c>
    </row>
    <row r="138" spans="1:2" x14ac:dyDescent="0.2">
      <c r="A138" s="591">
        <f t="shared" si="0"/>
        <v>42558</v>
      </c>
      <c r="B138" s="590">
        <v>234132.08</v>
      </c>
    </row>
    <row r="139" spans="1:2" x14ac:dyDescent="0.2">
      <c r="A139" s="591">
        <f t="shared" si="0"/>
        <v>42559</v>
      </c>
      <c r="B139" s="590">
        <v>234132.08</v>
      </c>
    </row>
    <row r="140" spans="1:2" x14ac:dyDescent="0.2">
      <c r="A140" s="591">
        <f t="shared" si="0"/>
        <v>42562</v>
      </c>
      <c r="B140" s="590">
        <v>199890.85</v>
      </c>
    </row>
    <row r="141" spans="1:2" x14ac:dyDescent="0.2">
      <c r="A141" s="591">
        <f t="shared" si="0"/>
        <v>42563</v>
      </c>
      <c r="B141" s="590">
        <v>221114.27</v>
      </c>
    </row>
    <row r="142" spans="1:2" x14ac:dyDescent="0.2">
      <c r="A142" s="591">
        <f t="shared" si="0"/>
        <v>42564</v>
      </c>
      <c r="B142" s="590">
        <v>221114</v>
      </c>
    </row>
    <row r="143" spans="1:2" x14ac:dyDescent="0.2">
      <c r="A143" s="591">
        <f t="shared" si="0"/>
        <v>42565</v>
      </c>
      <c r="B143" s="590">
        <v>214752.25</v>
      </c>
    </row>
    <row r="144" spans="1:2" x14ac:dyDescent="0.2">
      <c r="A144" s="591">
        <f t="shared" si="0"/>
        <v>42566</v>
      </c>
      <c r="B144" s="590">
        <v>294578.96999999997</v>
      </c>
    </row>
    <row r="145" spans="1:2" x14ac:dyDescent="0.2">
      <c r="A145" s="591">
        <f t="shared" si="0"/>
        <v>42569</v>
      </c>
      <c r="B145" s="590">
        <v>294579</v>
      </c>
    </row>
    <row r="146" spans="1:2" x14ac:dyDescent="0.2">
      <c r="A146" s="591">
        <f t="shared" si="0"/>
        <v>42570</v>
      </c>
      <c r="B146" s="590">
        <v>294579</v>
      </c>
    </row>
    <row r="147" spans="1:2" x14ac:dyDescent="0.2">
      <c r="A147" s="591">
        <f t="shared" si="0"/>
        <v>42571</v>
      </c>
      <c r="B147" s="590">
        <v>328195.42</v>
      </c>
    </row>
    <row r="148" spans="1:2" x14ac:dyDescent="0.2">
      <c r="A148" s="591">
        <f t="shared" si="0"/>
        <v>42572</v>
      </c>
      <c r="B148" s="590">
        <v>407865.86</v>
      </c>
    </row>
    <row r="149" spans="1:2" x14ac:dyDescent="0.2">
      <c r="A149" s="591">
        <f t="shared" si="0"/>
        <v>42573</v>
      </c>
      <c r="B149" s="590">
        <v>409053.93</v>
      </c>
    </row>
    <row r="150" spans="1:2" x14ac:dyDescent="0.2">
      <c r="A150" s="591">
        <f t="shared" si="0"/>
        <v>42576</v>
      </c>
      <c r="B150" s="590">
        <v>372421.56</v>
      </c>
    </row>
    <row r="151" spans="1:2" x14ac:dyDescent="0.2">
      <c r="A151" s="591">
        <f t="shared" si="0"/>
        <v>42577</v>
      </c>
      <c r="B151" s="590">
        <v>375562.78</v>
      </c>
    </row>
    <row r="152" spans="1:2" x14ac:dyDescent="0.2">
      <c r="A152" s="591">
        <f t="shared" si="0"/>
        <v>42578</v>
      </c>
      <c r="B152" s="590">
        <v>375563</v>
      </c>
    </row>
    <row r="153" spans="1:2" x14ac:dyDescent="0.2">
      <c r="A153" s="591">
        <f t="shared" si="0"/>
        <v>42579</v>
      </c>
      <c r="B153" s="590">
        <v>366510.98</v>
      </c>
    </row>
    <row r="154" spans="1:2" x14ac:dyDescent="0.2">
      <c r="A154" s="591">
        <f t="shared" si="0"/>
        <v>42580</v>
      </c>
      <c r="B154" s="590">
        <v>366609.48</v>
      </c>
    </row>
    <row r="155" spans="1:2" x14ac:dyDescent="0.2">
      <c r="A155" s="591">
        <f t="shared" si="0"/>
        <v>42583</v>
      </c>
      <c r="B155" s="590">
        <v>382689.69</v>
      </c>
    </row>
    <row r="156" spans="1:2" x14ac:dyDescent="0.2">
      <c r="A156" s="591">
        <f t="shared" si="0"/>
        <v>42584</v>
      </c>
      <c r="B156" s="590">
        <v>382690</v>
      </c>
    </row>
    <row r="157" spans="1:2" x14ac:dyDescent="0.2">
      <c r="A157" s="591">
        <f t="shared" si="0"/>
        <v>42585</v>
      </c>
      <c r="B157" s="590">
        <v>387013.59</v>
      </c>
    </row>
    <row r="158" spans="1:2" x14ac:dyDescent="0.2">
      <c r="A158" s="591">
        <f t="shared" si="0"/>
        <v>42586</v>
      </c>
      <c r="B158" s="590">
        <v>382543.7</v>
      </c>
    </row>
    <row r="159" spans="1:2" x14ac:dyDescent="0.2">
      <c r="A159" s="591">
        <f t="shared" si="0"/>
        <v>42587</v>
      </c>
      <c r="B159" s="590">
        <v>382544</v>
      </c>
    </row>
    <row r="160" spans="1:2" x14ac:dyDescent="0.2">
      <c r="A160" s="591">
        <f t="shared" si="0"/>
        <v>42590</v>
      </c>
      <c r="B160" s="590">
        <v>344510.17</v>
      </c>
    </row>
    <row r="161" spans="1:2" x14ac:dyDescent="0.2">
      <c r="A161" s="591">
        <f t="shared" si="0"/>
        <v>42591</v>
      </c>
      <c r="B161" s="590">
        <v>350095.94</v>
      </c>
    </row>
    <row r="162" spans="1:2" x14ac:dyDescent="0.2">
      <c r="A162" s="591">
        <f t="shared" si="0"/>
        <v>42592</v>
      </c>
      <c r="B162" s="590">
        <v>350096</v>
      </c>
    </row>
    <row r="163" spans="1:2" x14ac:dyDescent="0.2">
      <c r="A163" s="591">
        <f t="shared" si="0"/>
        <v>42593</v>
      </c>
      <c r="B163" s="590">
        <v>355079.15</v>
      </c>
    </row>
    <row r="164" spans="1:2" x14ac:dyDescent="0.2">
      <c r="A164" s="591">
        <f t="shared" si="0"/>
        <v>42594</v>
      </c>
      <c r="B164" s="590">
        <v>356502.11</v>
      </c>
    </row>
    <row r="165" spans="1:2" x14ac:dyDescent="0.2">
      <c r="A165" s="591">
        <f t="shared" si="0"/>
        <v>42597</v>
      </c>
      <c r="B165" s="590">
        <v>408622.46</v>
      </c>
    </row>
    <row r="166" spans="1:2" x14ac:dyDescent="0.2">
      <c r="A166" s="591">
        <f t="shared" si="0"/>
        <v>42598</v>
      </c>
      <c r="B166" s="590">
        <v>408622</v>
      </c>
    </row>
    <row r="167" spans="1:2" x14ac:dyDescent="0.2">
      <c r="A167" s="591">
        <f t="shared" si="0"/>
        <v>42599</v>
      </c>
      <c r="B167" s="590">
        <v>408622</v>
      </c>
    </row>
    <row r="168" spans="1:2" x14ac:dyDescent="0.2">
      <c r="A168" s="591">
        <f t="shared" si="0"/>
        <v>42600</v>
      </c>
      <c r="B168" s="590">
        <v>409931.67</v>
      </c>
    </row>
    <row r="169" spans="1:2" x14ac:dyDescent="0.2">
      <c r="A169" s="591">
        <f t="shared" si="0"/>
        <v>42601</v>
      </c>
      <c r="B169" s="590">
        <v>410189.3</v>
      </c>
    </row>
    <row r="170" spans="1:2" x14ac:dyDescent="0.2">
      <c r="A170" s="591">
        <f t="shared" si="0"/>
        <v>42604</v>
      </c>
      <c r="B170" s="590">
        <v>370399.56</v>
      </c>
    </row>
    <row r="171" spans="1:2" x14ac:dyDescent="0.2">
      <c r="A171" s="591">
        <f t="shared" si="0"/>
        <v>42605</v>
      </c>
      <c r="B171" s="590">
        <v>370399.56</v>
      </c>
    </row>
    <row r="172" spans="1:2" x14ac:dyDescent="0.2">
      <c r="A172" s="591">
        <f t="shared" si="0"/>
        <v>42606</v>
      </c>
      <c r="B172" s="590">
        <v>370400</v>
      </c>
    </row>
    <row r="173" spans="1:2" x14ac:dyDescent="0.2">
      <c r="A173" s="591">
        <f t="shared" si="0"/>
        <v>42607</v>
      </c>
      <c r="B173" s="590">
        <v>359591.19</v>
      </c>
    </row>
    <row r="174" spans="1:2" x14ac:dyDescent="0.2">
      <c r="A174" s="591">
        <f t="shared" si="0"/>
        <v>42608</v>
      </c>
      <c r="B174" s="590">
        <v>399163.14</v>
      </c>
    </row>
    <row r="175" spans="1:2" x14ac:dyDescent="0.2">
      <c r="A175" s="591">
        <f t="shared" si="0"/>
        <v>42611</v>
      </c>
      <c r="B175" s="590">
        <v>407196.62</v>
      </c>
    </row>
    <row r="176" spans="1:2" x14ac:dyDescent="0.2">
      <c r="A176" s="591">
        <f t="shared" si="0"/>
        <v>42612</v>
      </c>
      <c r="B176" s="590">
        <v>422526.97</v>
      </c>
    </row>
    <row r="177" spans="1:5" x14ac:dyDescent="0.2">
      <c r="A177" s="591">
        <f t="shared" si="0"/>
        <v>42613</v>
      </c>
      <c r="B177" s="590">
        <v>479216.05</v>
      </c>
    </row>
    <row r="178" spans="1:5" x14ac:dyDescent="0.2">
      <c r="A178" s="591">
        <f t="shared" si="0"/>
        <v>42614</v>
      </c>
      <c r="B178" s="590">
        <v>479216</v>
      </c>
    </row>
    <row r="179" spans="1:5" x14ac:dyDescent="0.2">
      <c r="A179" s="591">
        <f t="shared" si="0"/>
        <v>42615</v>
      </c>
      <c r="B179" s="590">
        <v>479216</v>
      </c>
    </row>
    <row r="180" spans="1:5" x14ac:dyDescent="0.2">
      <c r="A180" s="591">
        <f t="shared" si="0"/>
        <v>42618</v>
      </c>
      <c r="B180" s="590">
        <v>479216</v>
      </c>
    </row>
    <row r="181" spans="1:5" x14ac:dyDescent="0.2">
      <c r="A181" s="591">
        <f t="shared" si="0"/>
        <v>42619</v>
      </c>
      <c r="B181" s="590">
        <v>440784.82</v>
      </c>
    </row>
    <row r="182" spans="1:5" x14ac:dyDescent="0.2">
      <c r="A182" s="591">
        <f t="shared" si="0"/>
        <v>42620</v>
      </c>
      <c r="B182" s="590">
        <v>440785</v>
      </c>
      <c r="D182" s="592"/>
      <c r="E182" s="593"/>
    </row>
    <row r="183" spans="1:5" x14ac:dyDescent="0.2">
      <c r="A183" s="591">
        <f t="shared" si="0"/>
        <v>42621</v>
      </c>
      <c r="B183" s="590">
        <v>445373.31</v>
      </c>
    </row>
    <row r="184" spans="1:5" x14ac:dyDescent="0.2">
      <c r="A184" s="591">
        <f t="shared" si="0"/>
        <v>42622</v>
      </c>
      <c r="B184" s="590">
        <v>463896.46</v>
      </c>
      <c r="D184" s="592">
        <v>42522</v>
      </c>
      <c r="E184" s="593">
        <v>383807.83</v>
      </c>
    </row>
    <row r="185" spans="1:5" x14ac:dyDescent="0.2">
      <c r="A185" s="591">
        <f t="shared" si="0"/>
        <v>42625</v>
      </c>
      <c r="B185" s="590">
        <v>463296.46</v>
      </c>
      <c r="D185" s="592">
        <v>42552</v>
      </c>
      <c r="E185" s="593">
        <v>291806.19</v>
      </c>
    </row>
    <row r="186" spans="1:5" x14ac:dyDescent="0.2">
      <c r="A186" s="591">
        <f t="shared" si="0"/>
        <v>42626</v>
      </c>
      <c r="B186" s="590">
        <v>465024.54</v>
      </c>
      <c r="D186" s="592">
        <v>42583</v>
      </c>
      <c r="E186" s="593">
        <v>182364.32</v>
      </c>
    </row>
    <row r="187" spans="1:5" x14ac:dyDescent="0.2">
      <c r="A187" s="591">
        <f t="shared" si="0"/>
        <v>42627</v>
      </c>
      <c r="B187" s="590">
        <v>465025</v>
      </c>
      <c r="D187" s="592">
        <v>42614</v>
      </c>
      <c r="E187" s="593">
        <v>242244.9</v>
      </c>
    </row>
    <row r="188" spans="1:5" x14ac:dyDescent="0.2">
      <c r="A188" s="591">
        <f t="shared" si="0"/>
        <v>42628</v>
      </c>
      <c r="B188" s="590">
        <v>447444.34</v>
      </c>
      <c r="D188" s="592">
        <v>42644</v>
      </c>
      <c r="E188" s="593">
        <v>246906.4</v>
      </c>
    </row>
    <row r="189" spans="1:5" x14ac:dyDescent="0.2">
      <c r="A189" s="591">
        <f t="shared" si="0"/>
        <v>42629</v>
      </c>
      <c r="B189" s="590">
        <v>451135.42</v>
      </c>
      <c r="D189" s="592">
        <v>42675</v>
      </c>
      <c r="E189" s="593">
        <v>246462.95</v>
      </c>
    </row>
    <row r="190" spans="1:5" x14ac:dyDescent="0.2">
      <c r="A190" s="591">
        <f t="shared" si="0"/>
        <v>42632</v>
      </c>
      <c r="B190" s="590">
        <v>413924.51</v>
      </c>
      <c r="D190" s="592">
        <v>42705</v>
      </c>
      <c r="E190" s="593">
        <f>'Jun''17 Financial Position'!J19</f>
        <v>249807.51</v>
      </c>
    </row>
    <row r="191" spans="1:5" x14ac:dyDescent="0.2">
      <c r="A191" s="591">
        <f t="shared" si="0"/>
        <v>42633</v>
      </c>
      <c r="B191" s="590">
        <v>395080.96000000002</v>
      </c>
      <c r="D191" s="592">
        <v>42736</v>
      </c>
      <c r="E191" s="593">
        <v>351420.1</v>
      </c>
    </row>
    <row r="192" spans="1:5" x14ac:dyDescent="0.2">
      <c r="A192" s="591">
        <f t="shared" si="0"/>
        <v>42634</v>
      </c>
      <c r="B192" s="590">
        <v>393852.1</v>
      </c>
      <c r="D192" s="592">
        <v>42767</v>
      </c>
      <c r="E192" s="593">
        <v>253330.36</v>
      </c>
    </row>
    <row r="193" spans="1:5" x14ac:dyDescent="0.2">
      <c r="A193" s="591">
        <f t="shared" si="0"/>
        <v>42635</v>
      </c>
      <c r="B193" s="590">
        <v>397757.18</v>
      </c>
      <c r="D193" s="592">
        <v>42795</v>
      </c>
      <c r="E193" s="593">
        <v>280744.2</v>
      </c>
    </row>
    <row r="194" spans="1:5" x14ac:dyDescent="0.2">
      <c r="A194" s="591">
        <f t="shared" si="0"/>
        <v>42636</v>
      </c>
      <c r="B194" s="590">
        <v>397757</v>
      </c>
      <c r="D194" s="592">
        <v>42826</v>
      </c>
      <c r="E194" s="593">
        <v>320171.44</v>
      </c>
    </row>
    <row r="195" spans="1:5" x14ac:dyDescent="0.2">
      <c r="A195" s="591">
        <f t="shared" si="0"/>
        <v>42639</v>
      </c>
      <c r="B195" s="590">
        <v>397757</v>
      </c>
      <c r="D195" s="592">
        <v>42856</v>
      </c>
      <c r="E195" s="593">
        <v>238887.33</v>
      </c>
    </row>
    <row r="196" spans="1:5" x14ac:dyDescent="0.2">
      <c r="A196" s="591">
        <f t="shared" ref="A196:A259" si="1">A191+7</f>
        <v>42640</v>
      </c>
      <c r="B196" s="590">
        <v>403105.59</v>
      </c>
      <c r="D196" s="592">
        <v>42887</v>
      </c>
      <c r="E196" s="593">
        <f>'June''17 AR Aging '!G62</f>
        <v>256329.25</v>
      </c>
    </row>
    <row r="197" spans="1:5" x14ac:dyDescent="0.2">
      <c r="A197" s="591">
        <f t="shared" si="1"/>
        <v>42641</v>
      </c>
      <c r="B197" s="590">
        <v>394170.51</v>
      </c>
      <c r="D197" s="592"/>
      <c r="E197" s="593"/>
    </row>
    <row r="198" spans="1:5" x14ac:dyDescent="0.2">
      <c r="A198" s="591">
        <f t="shared" si="1"/>
        <v>42642</v>
      </c>
      <c r="B198" s="590">
        <v>397917.56</v>
      </c>
      <c r="D198" s="592"/>
      <c r="E198" s="593"/>
    </row>
    <row r="199" spans="1:5" x14ac:dyDescent="0.2">
      <c r="A199" s="591">
        <f t="shared" si="1"/>
        <v>42643</v>
      </c>
      <c r="B199" s="590">
        <v>397918</v>
      </c>
      <c r="D199" s="592"/>
      <c r="E199" s="593"/>
    </row>
    <row r="200" spans="1:5" x14ac:dyDescent="0.2">
      <c r="A200" s="591">
        <f t="shared" si="1"/>
        <v>42646</v>
      </c>
      <c r="B200" s="590">
        <v>361701.8</v>
      </c>
      <c r="D200" s="592"/>
      <c r="E200" s="593"/>
    </row>
    <row r="201" spans="1:5" x14ac:dyDescent="0.2">
      <c r="A201" s="591">
        <f t="shared" si="1"/>
        <v>42647</v>
      </c>
      <c r="B201" s="590">
        <v>362031.95</v>
      </c>
      <c r="D201" s="592"/>
      <c r="E201" s="593"/>
    </row>
    <row r="202" spans="1:5" x14ac:dyDescent="0.2">
      <c r="A202" s="591">
        <f t="shared" si="1"/>
        <v>42648</v>
      </c>
      <c r="B202" s="590">
        <v>362032</v>
      </c>
    </row>
    <row r="203" spans="1:5" x14ac:dyDescent="0.2">
      <c r="A203" s="591">
        <f t="shared" si="1"/>
        <v>42649</v>
      </c>
      <c r="B203" s="590">
        <v>360433.13</v>
      </c>
    </row>
    <row r="204" spans="1:5" x14ac:dyDescent="0.2">
      <c r="A204" s="591">
        <f t="shared" si="1"/>
        <v>42650</v>
      </c>
      <c r="B204" s="590">
        <v>361754.66</v>
      </c>
    </row>
    <row r="205" spans="1:5" x14ac:dyDescent="0.2">
      <c r="A205" s="591">
        <f t="shared" si="1"/>
        <v>42653</v>
      </c>
      <c r="B205" s="590">
        <v>361755</v>
      </c>
    </row>
    <row r="206" spans="1:5" x14ac:dyDescent="0.2">
      <c r="A206" s="591">
        <f t="shared" si="1"/>
        <v>42654</v>
      </c>
      <c r="B206" s="590">
        <v>361755</v>
      </c>
    </row>
    <row r="207" spans="1:5" x14ac:dyDescent="0.2">
      <c r="A207" s="591">
        <f t="shared" si="1"/>
        <v>42655</v>
      </c>
      <c r="B207" s="590">
        <v>365429.62</v>
      </c>
    </row>
    <row r="208" spans="1:5" x14ac:dyDescent="0.2">
      <c r="A208" s="591">
        <f t="shared" si="1"/>
        <v>42656</v>
      </c>
      <c r="B208" s="590">
        <v>375400.83</v>
      </c>
    </row>
    <row r="209" spans="1:2" x14ac:dyDescent="0.2">
      <c r="A209" s="591">
        <f t="shared" si="1"/>
        <v>42657</v>
      </c>
      <c r="B209" s="590">
        <v>375484.03</v>
      </c>
    </row>
    <row r="210" spans="1:2" x14ac:dyDescent="0.2">
      <c r="A210" s="591">
        <f t="shared" si="1"/>
        <v>42660</v>
      </c>
      <c r="B210" s="590">
        <v>339702.96</v>
      </c>
    </row>
    <row r="211" spans="1:2" x14ac:dyDescent="0.2">
      <c r="A211" s="591">
        <f t="shared" si="1"/>
        <v>42661</v>
      </c>
      <c r="B211" s="590">
        <v>343741.39</v>
      </c>
    </row>
    <row r="212" spans="1:2" x14ac:dyDescent="0.2">
      <c r="A212" s="591">
        <f t="shared" si="1"/>
        <v>42662</v>
      </c>
      <c r="B212" s="590">
        <v>343741</v>
      </c>
    </row>
    <row r="213" spans="1:2" x14ac:dyDescent="0.2">
      <c r="A213" s="591">
        <f t="shared" si="1"/>
        <v>42663</v>
      </c>
      <c r="B213" s="590">
        <v>332267.31</v>
      </c>
    </row>
    <row r="214" spans="1:2" x14ac:dyDescent="0.2">
      <c r="A214" s="591">
        <f t="shared" si="1"/>
        <v>42664</v>
      </c>
      <c r="B214" s="590">
        <v>332482.06</v>
      </c>
    </row>
    <row r="215" spans="1:2" x14ac:dyDescent="0.2">
      <c r="A215" s="591">
        <f t="shared" si="1"/>
        <v>42667</v>
      </c>
      <c r="B215" s="590">
        <v>332482</v>
      </c>
    </row>
    <row r="216" spans="1:2" x14ac:dyDescent="0.2">
      <c r="A216" s="591">
        <f t="shared" si="1"/>
        <v>42668</v>
      </c>
      <c r="B216" s="590">
        <v>337085.39</v>
      </c>
    </row>
    <row r="217" spans="1:2" x14ac:dyDescent="0.2">
      <c r="A217" s="591">
        <f t="shared" si="1"/>
        <v>42669</v>
      </c>
      <c r="B217" s="590">
        <v>337085</v>
      </c>
    </row>
    <row r="218" spans="1:2" x14ac:dyDescent="0.2">
      <c r="A218" s="591">
        <f t="shared" si="1"/>
        <v>42670</v>
      </c>
      <c r="B218" s="590">
        <v>333113.26</v>
      </c>
    </row>
    <row r="219" spans="1:2" x14ac:dyDescent="0.2">
      <c r="A219" s="591">
        <f t="shared" si="1"/>
        <v>42671</v>
      </c>
      <c r="B219" s="590">
        <v>360993.03</v>
      </c>
    </row>
    <row r="220" spans="1:2" x14ac:dyDescent="0.2">
      <c r="A220" s="591">
        <f t="shared" si="1"/>
        <v>42674</v>
      </c>
      <c r="B220" s="590">
        <v>350567.25</v>
      </c>
    </row>
    <row r="221" spans="1:2" x14ac:dyDescent="0.2">
      <c r="A221" s="591">
        <f t="shared" si="1"/>
        <v>42675</v>
      </c>
      <c r="B221" s="590">
        <v>350939.21</v>
      </c>
    </row>
    <row r="222" spans="1:2" x14ac:dyDescent="0.2">
      <c r="A222" s="591">
        <f t="shared" si="1"/>
        <v>42676</v>
      </c>
      <c r="B222" s="590">
        <v>350939</v>
      </c>
    </row>
    <row r="223" spans="1:2" x14ac:dyDescent="0.2">
      <c r="A223" s="591">
        <f t="shared" si="1"/>
        <v>42677</v>
      </c>
      <c r="B223" s="590">
        <v>344148.64</v>
      </c>
    </row>
    <row r="224" spans="1:2" x14ac:dyDescent="0.2">
      <c r="A224" s="591">
        <f t="shared" si="1"/>
        <v>42678</v>
      </c>
      <c r="B224" s="590">
        <v>399084.27</v>
      </c>
    </row>
    <row r="225" spans="1:2" x14ac:dyDescent="0.2">
      <c r="A225" s="591">
        <f t="shared" si="1"/>
        <v>42681</v>
      </c>
      <c r="B225" s="590">
        <v>399084</v>
      </c>
    </row>
    <row r="226" spans="1:2" x14ac:dyDescent="0.2">
      <c r="A226" s="591">
        <f t="shared" si="1"/>
        <v>42682</v>
      </c>
      <c r="B226" s="590">
        <v>403667.29</v>
      </c>
    </row>
    <row r="227" spans="1:2" x14ac:dyDescent="0.2">
      <c r="A227" s="591">
        <f t="shared" si="1"/>
        <v>42683</v>
      </c>
      <c r="B227" s="590">
        <v>403667</v>
      </c>
    </row>
    <row r="228" spans="1:2" x14ac:dyDescent="0.2">
      <c r="A228" s="591">
        <f t="shared" si="1"/>
        <v>42684</v>
      </c>
      <c r="B228" s="590">
        <v>383477.25</v>
      </c>
    </row>
    <row r="229" spans="1:2" x14ac:dyDescent="0.2">
      <c r="A229" s="591">
        <f t="shared" si="1"/>
        <v>42685</v>
      </c>
      <c r="B229" s="590">
        <v>383477</v>
      </c>
    </row>
    <row r="230" spans="1:2" x14ac:dyDescent="0.2">
      <c r="A230" s="591">
        <f t="shared" si="1"/>
        <v>42688</v>
      </c>
      <c r="B230" s="590">
        <v>347717.6</v>
      </c>
    </row>
    <row r="231" spans="1:2" x14ac:dyDescent="0.2">
      <c r="A231" s="591">
        <f t="shared" si="1"/>
        <v>42689</v>
      </c>
      <c r="B231" s="590">
        <v>347836.75</v>
      </c>
    </row>
    <row r="232" spans="1:2" x14ac:dyDescent="0.2">
      <c r="A232" s="591">
        <f t="shared" si="1"/>
        <v>42690</v>
      </c>
      <c r="B232" s="590">
        <v>347836.75</v>
      </c>
    </row>
    <row r="233" spans="1:2" x14ac:dyDescent="0.2">
      <c r="A233" s="591">
        <f t="shared" si="1"/>
        <v>42691</v>
      </c>
      <c r="B233" s="590">
        <v>350935.56</v>
      </c>
    </row>
    <row r="234" spans="1:2" x14ac:dyDescent="0.2">
      <c r="A234" s="591">
        <f t="shared" si="1"/>
        <v>42692</v>
      </c>
      <c r="B234" s="590">
        <v>350936</v>
      </c>
    </row>
    <row r="235" spans="1:2" x14ac:dyDescent="0.2">
      <c r="A235" s="591">
        <f t="shared" si="1"/>
        <v>42695</v>
      </c>
      <c r="B235" s="590">
        <v>350936</v>
      </c>
    </row>
    <row r="236" spans="1:2" x14ac:dyDescent="0.2">
      <c r="A236" s="591">
        <f t="shared" si="1"/>
        <v>42696</v>
      </c>
      <c r="B236" s="590">
        <v>351588.06</v>
      </c>
    </row>
    <row r="237" spans="1:2" x14ac:dyDescent="0.2">
      <c r="A237" s="591">
        <f t="shared" si="1"/>
        <v>42697</v>
      </c>
      <c r="B237" s="590">
        <v>349477.96</v>
      </c>
    </row>
    <row r="238" spans="1:2" x14ac:dyDescent="0.2">
      <c r="A238" s="591">
        <f t="shared" si="1"/>
        <v>42698</v>
      </c>
      <c r="B238" s="590">
        <v>349478</v>
      </c>
    </row>
    <row r="239" spans="1:2" x14ac:dyDescent="0.2">
      <c r="A239" s="591">
        <f t="shared" si="1"/>
        <v>42699</v>
      </c>
      <c r="B239" s="590">
        <v>368170.66</v>
      </c>
    </row>
    <row r="240" spans="1:2" x14ac:dyDescent="0.2">
      <c r="A240" s="591">
        <f t="shared" si="1"/>
        <v>42702</v>
      </c>
      <c r="B240" s="590">
        <v>368170.66</v>
      </c>
    </row>
    <row r="241" spans="1:2" x14ac:dyDescent="0.2">
      <c r="A241" s="591">
        <f t="shared" si="1"/>
        <v>42703</v>
      </c>
      <c r="B241" s="590">
        <v>328902.64</v>
      </c>
    </row>
    <row r="242" spans="1:2" x14ac:dyDescent="0.2">
      <c r="A242" s="591">
        <f t="shared" si="1"/>
        <v>42704</v>
      </c>
      <c r="B242" s="590">
        <v>338455.85</v>
      </c>
    </row>
    <row r="243" spans="1:2" x14ac:dyDescent="0.2">
      <c r="A243" s="591">
        <f t="shared" si="1"/>
        <v>42705</v>
      </c>
      <c r="B243" s="590">
        <v>336997.18</v>
      </c>
    </row>
    <row r="244" spans="1:2" x14ac:dyDescent="0.2">
      <c r="A244" s="591">
        <f t="shared" si="1"/>
        <v>42706</v>
      </c>
      <c r="B244" s="590">
        <v>342825.59</v>
      </c>
    </row>
    <row r="245" spans="1:2" x14ac:dyDescent="0.2">
      <c r="A245" s="591">
        <f t="shared" si="1"/>
        <v>42709</v>
      </c>
      <c r="B245" s="590">
        <v>342826</v>
      </c>
    </row>
    <row r="246" spans="1:2" x14ac:dyDescent="0.2">
      <c r="A246" s="591">
        <f t="shared" si="1"/>
        <v>42710</v>
      </c>
      <c r="B246" s="590">
        <v>344457.81</v>
      </c>
    </row>
    <row r="247" spans="1:2" x14ac:dyDescent="0.2">
      <c r="A247" s="591">
        <f t="shared" si="1"/>
        <v>42711</v>
      </c>
      <c r="B247" s="590">
        <v>366772.64</v>
      </c>
    </row>
    <row r="248" spans="1:2" x14ac:dyDescent="0.2">
      <c r="A248" s="591">
        <f t="shared" si="1"/>
        <v>42712</v>
      </c>
      <c r="B248" s="590">
        <v>366772.6</v>
      </c>
    </row>
    <row r="249" spans="1:2" x14ac:dyDescent="0.2">
      <c r="A249" s="591">
        <f t="shared" si="1"/>
        <v>42713</v>
      </c>
      <c r="B249" s="590">
        <v>366773</v>
      </c>
    </row>
    <row r="250" spans="1:2" x14ac:dyDescent="0.2">
      <c r="A250" s="591">
        <f t="shared" si="1"/>
        <v>42716</v>
      </c>
      <c r="B250" s="590">
        <v>366773</v>
      </c>
    </row>
    <row r="251" spans="1:2" x14ac:dyDescent="0.2">
      <c r="A251" s="591">
        <f t="shared" si="1"/>
        <v>42717</v>
      </c>
      <c r="B251" s="590">
        <v>346535.44</v>
      </c>
    </row>
    <row r="252" spans="1:2" x14ac:dyDescent="0.2">
      <c r="A252" s="591">
        <f t="shared" si="1"/>
        <v>42718</v>
      </c>
      <c r="B252" s="590">
        <v>346535</v>
      </c>
    </row>
    <row r="253" spans="1:2" x14ac:dyDescent="0.2">
      <c r="A253" s="591">
        <f t="shared" si="1"/>
        <v>42719</v>
      </c>
      <c r="B253" s="590">
        <v>335522.11</v>
      </c>
    </row>
    <row r="254" spans="1:2" x14ac:dyDescent="0.2">
      <c r="A254" s="591">
        <f t="shared" si="1"/>
        <v>42720</v>
      </c>
      <c r="B254" s="590">
        <v>335675.99</v>
      </c>
    </row>
    <row r="255" spans="1:2" x14ac:dyDescent="0.2">
      <c r="A255" s="591">
        <f t="shared" si="1"/>
        <v>42723</v>
      </c>
      <c r="B255" s="590">
        <v>357268.43</v>
      </c>
    </row>
    <row r="256" spans="1:2" x14ac:dyDescent="0.2">
      <c r="A256" s="591">
        <f t="shared" si="1"/>
        <v>42724</v>
      </c>
      <c r="B256" s="590">
        <v>357268</v>
      </c>
    </row>
    <row r="257" spans="1:2" x14ac:dyDescent="0.2">
      <c r="A257" s="591">
        <f t="shared" si="1"/>
        <v>42725</v>
      </c>
      <c r="B257" s="590">
        <v>366192.91</v>
      </c>
    </row>
    <row r="258" spans="1:2" x14ac:dyDescent="0.2">
      <c r="A258" s="591">
        <f t="shared" si="1"/>
        <v>42726</v>
      </c>
      <c r="B258" s="590">
        <v>377001.67</v>
      </c>
    </row>
    <row r="259" spans="1:2" x14ac:dyDescent="0.2">
      <c r="A259" s="591">
        <f t="shared" si="1"/>
        <v>42727</v>
      </c>
      <c r="B259" s="590">
        <v>377329.67</v>
      </c>
    </row>
    <row r="260" spans="1:2" x14ac:dyDescent="0.2">
      <c r="A260" s="591">
        <f t="shared" ref="A260:A264" si="2">A255+7</f>
        <v>42730</v>
      </c>
      <c r="B260" s="590">
        <v>377330</v>
      </c>
    </row>
    <row r="261" spans="1:2" x14ac:dyDescent="0.2">
      <c r="A261" s="591">
        <f t="shared" si="2"/>
        <v>42731</v>
      </c>
      <c r="B261" s="590">
        <v>339782.53</v>
      </c>
    </row>
    <row r="262" spans="1:2" x14ac:dyDescent="0.2">
      <c r="A262" s="591">
        <f t="shared" si="2"/>
        <v>42732</v>
      </c>
      <c r="B262" s="590">
        <v>339783</v>
      </c>
    </row>
    <row r="263" spans="1:2" x14ac:dyDescent="0.2">
      <c r="A263" s="591">
        <f t="shared" si="2"/>
        <v>42733</v>
      </c>
      <c r="B263" s="590">
        <v>337987.77</v>
      </c>
    </row>
    <row r="264" spans="1:2" x14ac:dyDescent="0.2">
      <c r="A264" s="591">
        <f t="shared" si="2"/>
        <v>42734</v>
      </c>
      <c r="B264" s="590">
        <v>354814.33</v>
      </c>
    </row>
    <row r="265" spans="1:2" x14ac:dyDescent="0.2">
      <c r="A265" s="624">
        <v>42737</v>
      </c>
      <c r="B265" s="625">
        <v>354814</v>
      </c>
    </row>
    <row r="266" spans="1:2" x14ac:dyDescent="0.2">
      <c r="A266" s="624">
        <v>42738</v>
      </c>
      <c r="B266" s="625">
        <v>361866.86</v>
      </c>
    </row>
    <row r="267" spans="1:2" x14ac:dyDescent="0.2">
      <c r="A267" s="624">
        <v>42739</v>
      </c>
      <c r="B267" s="625">
        <v>363519.32</v>
      </c>
    </row>
    <row r="268" spans="1:2" x14ac:dyDescent="0.2">
      <c r="A268" s="624">
        <v>42740</v>
      </c>
      <c r="B268" s="625">
        <v>361866.66</v>
      </c>
    </row>
    <row r="269" spans="1:2" x14ac:dyDescent="0.2">
      <c r="A269" s="624">
        <v>42741</v>
      </c>
      <c r="B269" s="625">
        <v>363519</v>
      </c>
    </row>
    <row r="270" spans="1:2" x14ac:dyDescent="0.2">
      <c r="A270" s="624">
        <v>42744</v>
      </c>
      <c r="B270" s="625">
        <v>363543.47</v>
      </c>
    </row>
    <row r="271" spans="1:2" x14ac:dyDescent="0.2">
      <c r="A271" s="624">
        <v>42745</v>
      </c>
      <c r="B271" s="625">
        <v>328707.83</v>
      </c>
    </row>
    <row r="272" spans="1:2" x14ac:dyDescent="0.2">
      <c r="A272" s="624">
        <v>42746</v>
      </c>
      <c r="B272" s="625">
        <v>328708</v>
      </c>
    </row>
    <row r="273" spans="1:2" x14ac:dyDescent="0.2">
      <c r="A273" s="624">
        <v>42747</v>
      </c>
      <c r="B273" s="625">
        <v>321086.01</v>
      </c>
    </row>
    <row r="274" spans="1:2" x14ac:dyDescent="0.2">
      <c r="A274" s="624">
        <v>42748</v>
      </c>
      <c r="B274" s="625">
        <v>334097.28000000003</v>
      </c>
    </row>
    <row r="275" spans="1:2" x14ac:dyDescent="0.2">
      <c r="A275" s="624">
        <v>42751</v>
      </c>
      <c r="B275" s="625">
        <v>334097</v>
      </c>
    </row>
    <row r="276" spans="1:2" x14ac:dyDescent="0.2">
      <c r="A276" s="624">
        <v>42752</v>
      </c>
      <c r="B276" s="625">
        <v>268850.96000000002</v>
      </c>
    </row>
    <row r="277" spans="1:2" x14ac:dyDescent="0.2">
      <c r="A277" s="624">
        <v>42753</v>
      </c>
      <c r="B277" s="625">
        <v>268851</v>
      </c>
    </row>
    <row r="278" spans="1:2" x14ac:dyDescent="0.2">
      <c r="A278" s="624">
        <v>42754</v>
      </c>
      <c r="B278" s="625">
        <v>269075.21000000002</v>
      </c>
    </row>
    <row r="279" spans="1:2" x14ac:dyDescent="0.2">
      <c r="A279" s="624">
        <v>42755</v>
      </c>
      <c r="B279" s="625">
        <v>270983.21000000002</v>
      </c>
    </row>
    <row r="280" spans="1:2" x14ac:dyDescent="0.2">
      <c r="A280" s="624">
        <v>42758</v>
      </c>
      <c r="B280" s="625">
        <v>270983</v>
      </c>
    </row>
    <row r="281" spans="1:2" x14ac:dyDescent="0.2">
      <c r="A281" s="624">
        <v>42759</v>
      </c>
      <c r="B281" s="625">
        <v>270723.98</v>
      </c>
    </row>
    <row r="282" spans="1:2" x14ac:dyDescent="0.2">
      <c r="A282" s="624">
        <v>42760</v>
      </c>
      <c r="B282" s="625">
        <v>281353.09999999998</v>
      </c>
    </row>
    <row r="283" spans="1:2" x14ac:dyDescent="0.2">
      <c r="A283" s="624">
        <v>42761</v>
      </c>
      <c r="B283" s="625">
        <v>274313.84999999998</v>
      </c>
    </row>
    <row r="284" spans="1:2" x14ac:dyDescent="0.2">
      <c r="A284" s="624">
        <v>42762</v>
      </c>
      <c r="B284" s="625">
        <v>296447.59999999998</v>
      </c>
    </row>
    <row r="285" spans="1:2" x14ac:dyDescent="0.2">
      <c r="A285" s="624">
        <v>42765</v>
      </c>
      <c r="B285" s="625">
        <v>295107.96000000002</v>
      </c>
    </row>
    <row r="286" spans="1:2" x14ac:dyDescent="0.2">
      <c r="A286" s="624">
        <v>42766</v>
      </c>
      <c r="B286" s="625">
        <v>314030.53000000003</v>
      </c>
    </row>
    <row r="287" spans="1:2" x14ac:dyDescent="0.2">
      <c r="A287" s="624">
        <v>42767</v>
      </c>
      <c r="B287" s="625">
        <v>314031</v>
      </c>
    </row>
    <row r="288" spans="1:2" x14ac:dyDescent="0.2">
      <c r="A288" s="624">
        <v>42768</v>
      </c>
      <c r="B288" s="625">
        <v>312808.53999999998</v>
      </c>
    </row>
    <row r="289" spans="1:2" x14ac:dyDescent="0.2">
      <c r="A289" s="624">
        <v>42769</v>
      </c>
      <c r="B289" s="625">
        <v>316461.53999999998</v>
      </c>
    </row>
    <row r="290" spans="1:2" x14ac:dyDescent="0.2">
      <c r="A290" s="624">
        <v>42772</v>
      </c>
      <c r="B290" s="625">
        <v>316462</v>
      </c>
    </row>
    <row r="291" spans="1:2" x14ac:dyDescent="0.2">
      <c r="A291" s="624">
        <v>42773</v>
      </c>
      <c r="B291" s="625">
        <v>289560.21999999997</v>
      </c>
    </row>
    <row r="292" spans="1:2" x14ac:dyDescent="0.2">
      <c r="A292" s="624">
        <v>42774</v>
      </c>
      <c r="B292" s="625">
        <v>297310.21999999997</v>
      </c>
    </row>
    <row r="293" spans="1:2" x14ac:dyDescent="0.2">
      <c r="A293" s="624">
        <v>42775</v>
      </c>
      <c r="B293" s="625">
        <v>352433.91</v>
      </c>
    </row>
    <row r="294" spans="1:2" x14ac:dyDescent="0.2">
      <c r="A294" s="624">
        <v>42776</v>
      </c>
      <c r="B294" s="625">
        <v>352434</v>
      </c>
    </row>
    <row r="295" spans="1:2" x14ac:dyDescent="0.2">
      <c r="A295" s="624">
        <v>42779</v>
      </c>
      <c r="B295" s="625">
        <v>352434</v>
      </c>
    </row>
    <row r="296" spans="1:2" x14ac:dyDescent="0.2">
      <c r="A296" s="624">
        <v>42780</v>
      </c>
      <c r="B296" s="625">
        <v>352434</v>
      </c>
    </row>
    <row r="297" spans="1:2" x14ac:dyDescent="0.2">
      <c r="A297" s="624">
        <v>42781</v>
      </c>
      <c r="B297" s="625">
        <v>352542.46</v>
      </c>
    </row>
    <row r="298" spans="1:2" x14ac:dyDescent="0.2">
      <c r="A298" s="624">
        <v>42782</v>
      </c>
      <c r="B298" s="625">
        <v>383231.99</v>
      </c>
    </row>
    <row r="299" spans="1:2" x14ac:dyDescent="0.2">
      <c r="A299" s="624">
        <v>42783</v>
      </c>
      <c r="B299" s="625">
        <v>404679.36</v>
      </c>
    </row>
    <row r="300" spans="1:2" x14ac:dyDescent="0.2">
      <c r="A300" s="624">
        <v>42785</v>
      </c>
      <c r="B300" s="625">
        <v>404679</v>
      </c>
    </row>
    <row r="301" spans="1:2" x14ac:dyDescent="0.2">
      <c r="A301" s="624">
        <v>42787</v>
      </c>
      <c r="B301" s="625">
        <v>368703.72</v>
      </c>
    </row>
    <row r="302" spans="1:2" x14ac:dyDescent="0.2">
      <c r="A302" s="624">
        <v>42788</v>
      </c>
      <c r="B302" s="625">
        <v>368203.72</v>
      </c>
    </row>
    <row r="303" spans="1:2" x14ac:dyDescent="0.2">
      <c r="A303" s="624">
        <v>42789</v>
      </c>
      <c r="B303" s="625">
        <v>349211.92</v>
      </c>
    </row>
    <row r="304" spans="1:2" x14ac:dyDescent="0.2">
      <c r="A304" s="624">
        <v>42790</v>
      </c>
      <c r="B304" s="625">
        <v>384176.45</v>
      </c>
    </row>
    <row r="305" spans="1:2" x14ac:dyDescent="0.2">
      <c r="A305" s="624">
        <v>42793</v>
      </c>
      <c r="B305" s="625">
        <v>384176</v>
      </c>
    </row>
    <row r="306" spans="1:2" x14ac:dyDescent="0.2">
      <c r="A306" s="624">
        <v>42794</v>
      </c>
      <c r="B306" s="625">
        <v>384176</v>
      </c>
    </row>
    <row r="307" spans="1:2" x14ac:dyDescent="0.2">
      <c r="A307" s="624">
        <v>42795</v>
      </c>
      <c r="B307" s="625">
        <v>384176</v>
      </c>
    </row>
    <row r="308" spans="1:2" x14ac:dyDescent="0.2">
      <c r="A308" s="624">
        <v>42796</v>
      </c>
      <c r="B308" s="625">
        <v>395396.43</v>
      </c>
    </row>
    <row r="309" spans="1:2" x14ac:dyDescent="0.2">
      <c r="A309" s="624">
        <v>42797</v>
      </c>
      <c r="B309" s="625">
        <v>395396</v>
      </c>
    </row>
    <row r="310" spans="1:2" x14ac:dyDescent="0.2">
      <c r="A310" s="624">
        <v>42800</v>
      </c>
      <c r="B310" s="625">
        <v>395396</v>
      </c>
    </row>
    <row r="311" spans="1:2" x14ac:dyDescent="0.2">
      <c r="A311" s="624">
        <v>42801</v>
      </c>
      <c r="B311" s="625">
        <v>361856.47</v>
      </c>
    </row>
    <row r="312" spans="1:2" x14ac:dyDescent="0.2">
      <c r="A312" s="624">
        <v>42802</v>
      </c>
      <c r="B312" s="625">
        <v>361856</v>
      </c>
    </row>
    <row r="313" spans="1:2" x14ac:dyDescent="0.2">
      <c r="A313" s="624">
        <v>42803</v>
      </c>
      <c r="B313" s="625">
        <v>349877.16</v>
      </c>
    </row>
    <row r="314" spans="1:2" x14ac:dyDescent="0.2">
      <c r="A314" s="624">
        <v>42804</v>
      </c>
      <c r="B314" s="625">
        <v>359297.81</v>
      </c>
    </row>
    <row r="315" spans="1:2" x14ac:dyDescent="0.2">
      <c r="A315" s="624">
        <v>42807</v>
      </c>
      <c r="B315" s="625">
        <v>361678.91</v>
      </c>
    </row>
    <row r="316" spans="1:2" x14ac:dyDescent="0.2">
      <c r="A316" s="624">
        <v>42808</v>
      </c>
      <c r="B316" s="625">
        <v>361679</v>
      </c>
    </row>
    <row r="317" spans="1:2" x14ac:dyDescent="0.2">
      <c r="A317" s="624">
        <v>42809</v>
      </c>
      <c r="B317" s="625">
        <v>370843.37</v>
      </c>
    </row>
    <row r="318" spans="1:2" x14ac:dyDescent="0.2">
      <c r="A318" s="624">
        <v>42810</v>
      </c>
      <c r="B318" s="625">
        <v>377566.07</v>
      </c>
    </row>
    <row r="319" spans="1:2" x14ac:dyDescent="0.2">
      <c r="A319" s="624">
        <v>42811</v>
      </c>
      <c r="B319" s="625">
        <v>370373.97</v>
      </c>
    </row>
    <row r="320" spans="1:2" x14ac:dyDescent="0.2">
      <c r="A320" s="624">
        <v>42814</v>
      </c>
      <c r="B320" s="625">
        <v>338340.3</v>
      </c>
    </row>
    <row r="321" spans="1:2" x14ac:dyDescent="0.2">
      <c r="A321" s="624">
        <v>42815</v>
      </c>
      <c r="B321" s="625">
        <v>338340</v>
      </c>
    </row>
    <row r="322" spans="1:2" x14ac:dyDescent="0.2">
      <c r="A322" s="624">
        <v>42816</v>
      </c>
      <c r="B322" s="625">
        <v>338340</v>
      </c>
    </row>
    <row r="323" spans="1:2" x14ac:dyDescent="0.2">
      <c r="A323" s="624">
        <v>42817</v>
      </c>
      <c r="B323" s="625">
        <f>25944.71+322493.66</f>
        <v>348438.37</v>
      </c>
    </row>
    <row r="324" spans="1:2" x14ac:dyDescent="0.2">
      <c r="A324" s="624">
        <v>42818</v>
      </c>
      <c r="B324" s="625">
        <v>348438</v>
      </c>
    </row>
    <row r="325" spans="1:2" x14ac:dyDescent="0.2">
      <c r="A325" s="624">
        <v>42821</v>
      </c>
      <c r="B325" s="625">
        <v>348360.51</v>
      </c>
    </row>
    <row r="326" spans="1:2" x14ac:dyDescent="0.2">
      <c r="A326" s="624">
        <v>42822</v>
      </c>
      <c r="B326" s="590">
        <v>348440.48</v>
      </c>
    </row>
    <row r="327" spans="1:2" x14ac:dyDescent="0.2">
      <c r="A327" s="624">
        <v>42823</v>
      </c>
      <c r="B327" s="590">
        <v>348440</v>
      </c>
    </row>
    <row r="328" spans="1:2" x14ac:dyDescent="0.2">
      <c r="A328" s="624">
        <v>42824</v>
      </c>
      <c r="B328" s="590">
        <v>350305.92</v>
      </c>
    </row>
    <row r="329" spans="1:2" x14ac:dyDescent="0.2">
      <c r="A329" s="624">
        <v>42825</v>
      </c>
      <c r="B329" s="590">
        <v>350306</v>
      </c>
    </row>
    <row r="330" spans="1:2" x14ac:dyDescent="0.2">
      <c r="A330" s="624">
        <v>42828</v>
      </c>
      <c r="B330" s="590">
        <v>350306</v>
      </c>
    </row>
    <row r="331" spans="1:2" x14ac:dyDescent="0.2">
      <c r="A331" s="624">
        <v>42829</v>
      </c>
      <c r="B331" s="590">
        <v>320389.65000000002</v>
      </c>
    </row>
    <row r="332" spans="1:2" x14ac:dyDescent="0.2">
      <c r="A332" s="624">
        <v>42830</v>
      </c>
      <c r="B332" s="590">
        <v>320390</v>
      </c>
    </row>
    <row r="333" spans="1:2" x14ac:dyDescent="0.2">
      <c r="A333" s="624">
        <v>42831</v>
      </c>
      <c r="B333" s="590">
        <v>313344</v>
      </c>
    </row>
    <row r="334" spans="1:2" x14ac:dyDescent="0.2">
      <c r="A334" s="624">
        <v>42832</v>
      </c>
      <c r="B334" s="590">
        <v>313344</v>
      </c>
    </row>
    <row r="335" spans="1:2" x14ac:dyDescent="0.2">
      <c r="A335" s="624">
        <v>42835</v>
      </c>
      <c r="B335" s="590">
        <v>306132.78000000003</v>
      </c>
    </row>
    <row r="336" spans="1:2" x14ac:dyDescent="0.2">
      <c r="A336" s="624">
        <v>42836</v>
      </c>
      <c r="B336" s="590">
        <v>286047.34999999998</v>
      </c>
    </row>
    <row r="337" spans="1:2" x14ac:dyDescent="0.2">
      <c r="A337" s="624">
        <v>42837</v>
      </c>
      <c r="B337" s="590">
        <v>286047</v>
      </c>
    </row>
    <row r="338" spans="1:2" x14ac:dyDescent="0.2">
      <c r="A338" s="624">
        <v>42838</v>
      </c>
      <c r="B338" s="590">
        <v>272128.99</v>
      </c>
    </row>
    <row r="339" spans="1:2" x14ac:dyDescent="0.2">
      <c r="A339" s="624">
        <v>42839</v>
      </c>
      <c r="B339" s="590">
        <v>272229.71000000002</v>
      </c>
    </row>
    <row r="340" spans="1:2" x14ac:dyDescent="0.2">
      <c r="A340" s="624">
        <v>42842</v>
      </c>
      <c r="B340" s="590">
        <v>236683.56</v>
      </c>
    </row>
    <row r="341" spans="1:2" x14ac:dyDescent="0.2">
      <c r="A341" s="624">
        <v>42843</v>
      </c>
      <c r="B341" s="590">
        <v>244114.64</v>
      </c>
    </row>
    <row r="342" spans="1:2" x14ac:dyDescent="0.2">
      <c r="A342" s="624">
        <v>42844</v>
      </c>
      <c r="B342" s="590">
        <v>244115</v>
      </c>
    </row>
    <row r="343" spans="1:2" x14ac:dyDescent="0.2">
      <c r="A343" s="624">
        <v>42845</v>
      </c>
      <c r="B343" s="590">
        <v>241798.76</v>
      </c>
    </row>
    <row r="344" spans="1:2" x14ac:dyDescent="0.2">
      <c r="A344" s="624">
        <v>42846</v>
      </c>
      <c r="B344" s="590">
        <v>241799</v>
      </c>
    </row>
    <row r="345" spans="1:2" x14ac:dyDescent="0.2">
      <c r="A345" s="624">
        <v>42849</v>
      </c>
      <c r="B345" s="590">
        <v>241973.76000000001</v>
      </c>
    </row>
    <row r="346" spans="1:2" x14ac:dyDescent="0.2">
      <c r="A346" s="624">
        <v>42850</v>
      </c>
      <c r="B346" s="590">
        <v>243364.2</v>
      </c>
    </row>
    <row r="347" spans="1:2" x14ac:dyDescent="0.2">
      <c r="A347" s="624">
        <v>42851</v>
      </c>
      <c r="B347" s="590">
        <v>243364</v>
      </c>
    </row>
    <row r="348" spans="1:2" x14ac:dyDescent="0.2">
      <c r="A348" s="624">
        <v>42852</v>
      </c>
      <c r="B348" s="590">
        <v>259265.45</v>
      </c>
    </row>
    <row r="349" spans="1:2" x14ac:dyDescent="0.2">
      <c r="A349" s="624">
        <v>42853</v>
      </c>
      <c r="B349" s="590">
        <v>290731.18</v>
      </c>
    </row>
    <row r="350" spans="1:2" x14ac:dyDescent="0.2">
      <c r="A350" s="624">
        <v>42856</v>
      </c>
      <c r="B350" s="590">
        <v>251486.17</v>
      </c>
    </row>
    <row r="351" spans="1:2" x14ac:dyDescent="0.2">
      <c r="A351" s="624">
        <v>42857</v>
      </c>
      <c r="B351" s="590">
        <v>253188.17</v>
      </c>
    </row>
    <row r="352" spans="1:2" x14ac:dyDescent="0.2">
      <c r="A352" s="624">
        <v>42858</v>
      </c>
      <c r="B352" s="590">
        <v>253188</v>
      </c>
    </row>
    <row r="353" spans="1:2" x14ac:dyDescent="0.2">
      <c r="A353" s="624">
        <v>42859</v>
      </c>
      <c r="B353" s="590">
        <v>232739.33</v>
      </c>
    </row>
    <row r="354" spans="1:2" x14ac:dyDescent="0.2">
      <c r="A354" s="624">
        <v>42860</v>
      </c>
      <c r="B354" s="590">
        <v>234049.33</v>
      </c>
    </row>
    <row r="355" spans="1:2" x14ac:dyDescent="0.2">
      <c r="A355" s="624">
        <v>42863</v>
      </c>
      <c r="B355" s="590">
        <v>314317.77</v>
      </c>
    </row>
    <row r="356" spans="1:2" x14ac:dyDescent="0.2">
      <c r="A356" s="624">
        <v>42864</v>
      </c>
      <c r="B356" s="590">
        <v>314318</v>
      </c>
    </row>
    <row r="357" spans="1:2" x14ac:dyDescent="0.2">
      <c r="A357" s="624">
        <v>42865</v>
      </c>
      <c r="B357" s="590">
        <v>314318</v>
      </c>
    </row>
    <row r="358" spans="1:2" x14ac:dyDescent="0.2">
      <c r="A358" s="624">
        <v>42866</v>
      </c>
      <c r="B358" s="590">
        <v>313971.28000000003</v>
      </c>
    </row>
    <row r="359" spans="1:2" x14ac:dyDescent="0.2">
      <c r="A359" s="624">
        <v>42867</v>
      </c>
      <c r="B359" s="590">
        <v>313971</v>
      </c>
    </row>
    <row r="360" spans="1:2" x14ac:dyDescent="0.2">
      <c r="A360" s="624">
        <v>42870</v>
      </c>
      <c r="B360" s="590">
        <v>271063.69</v>
      </c>
    </row>
    <row r="361" spans="1:2" x14ac:dyDescent="0.2">
      <c r="A361" s="624">
        <v>42871</v>
      </c>
      <c r="B361" s="590">
        <v>271064</v>
      </c>
    </row>
    <row r="362" spans="1:2" x14ac:dyDescent="0.2">
      <c r="A362" s="624">
        <v>42872</v>
      </c>
      <c r="B362" s="590">
        <v>271064</v>
      </c>
    </row>
    <row r="363" spans="1:2" x14ac:dyDescent="0.2">
      <c r="A363" s="624">
        <v>42873</v>
      </c>
      <c r="B363" s="590">
        <v>261497.73</v>
      </c>
    </row>
    <row r="364" spans="1:2" x14ac:dyDescent="0.2">
      <c r="A364" s="624">
        <v>42874</v>
      </c>
      <c r="B364" s="590">
        <v>311507.92</v>
      </c>
    </row>
    <row r="365" spans="1:2" x14ac:dyDescent="0.2">
      <c r="A365" s="624">
        <v>42877</v>
      </c>
      <c r="B365" s="590">
        <v>290080.52</v>
      </c>
    </row>
    <row r="366" spans="1:2" x14ac:dyDescent="0.2">
      <c r="A366" s="624">
        <v>42878</v>
      </c>
      <c r="B366" s="590">
        <v>290081</v>
      </c>
    </row>
    <row r="367" spans="1:2" x14ac:dyDescent="0.2">
      <c r="A367" s="624">
        <v>42879</v>
      </c>
      <c r="B367" s="590">
        <v>327080.46000000002</v>
      </c>
    </row>
    <row r="368" spans="1:2" x14ac:dyDescent="0.2">
      <c r="A368" s="624">
        <v>42880</v>
      </c>
      <c r="B368" s="590">
        <v>327080</v>
      </c>
    </row>
    <row r="369" spans="1:2" x14ac:dyDescent="0.2">
      <c r="A369" s="624">
        <v>42881</v>
      </c>
      <c r="B369" s="590">
        <v>336844.12</v>
      </c>
    </row>
    <row r="370" spans="1:2" x14ac:dyDescent="0.2">
      <c r="A370" s="624">
        <v>42884</v>
      </c>
      <c r="B370" s="590">
        <v>336844</v>
      </c>
    </row>
    <row r="371" spans="1:2" x14ac:dyDescent="0.2">
      <c r="A371" s="624">
        <v>42885</v>
      </c>
      <c r="B371" s="590">
        <v>300553.48</v>
      </c>
    </row>
    <row r="372" spans="1:2" x14ac:dyDescent="0.2">
      <c r="A372" s="624">
        <v>42886</v>
      </c>
      <c r="B372" s="590">
        <v>296887.5</v>
      </c>
    </row>
    <row r="373" spans="1:2" x14ac:dyDescent="0.2">
      <c r="A373" s="624">
        <v>42887</v>
      </c>
      <c r="B373" s="590">
        <v>297355.68</v>
      </c>
    </row>
    <row r="374" spans="1:2" x14ac:dyDescent="0.2">
      <c r="A374" s="624">
        <v>42888</v>
      </c>
      <c r="B374" s="590">
        <v>298760.68</v>
      </c>
    </row>
    <row r="375" spans="1:2" x14ac:dyDescent="0.2">
      <c r="A375" s="624">
        <v>42891</v>
      </c>
      <c r="B375" s="590">
        <v>279006.82</v>
      </c>
    </row>
    <row r="376" spans="1:2" x14ac:dyDescent="0.2">
      <c r="A376" s="624">
        <v>42892</v>
      </c>
      <c r="B376" s="590">
        <v>279007</v>
      </c>
    </row>
    <row r="377" spans="1:2" x14ac:dyDescent="0.2">
      <c r="A377" s="624">
        <v>42893</v>
      </c>
      <c r="B377" s="590">
        <v>279007</v>
      </c>
    </row>
    <row r="378" spans="1:2" x14ac:dyDescent="0.2">
      <c r="A378" s="624">
        <v>42894</v>
      </c>
      <c r="B378" s="590">
        <v>279112.07</v>
      </c>
    </row>
    <row r="379" spans="1:2" x14ac:dyDescent="0.2">
      <c r="A379" s="624">
        <v>42895</v>
      </c>
      <c r="B379" s="590">
        <v>279112</v>
      </c>
    </row>
    <row r="380" spans="1:2" x14ac:dyDescent="0.2">
      <c r="A380" s="624">
        <v>42898</v>
      </c>
      <c r="B380" s="590">
        <v>244072.02</v>
      </c>
    </row>
    <row r="381" spans="1:2" x14ac:dyDescent="0.2">
      <c r="A381" s="624">
        <v>42899</v>
      </c>
      <c r="B381" s="590">
        <v>249325.41</v>
      </c>
    </row>
    <row r="382" spans="1:2" x14ac:dyDescent="0.2">
      <c r="A382" s="624">
        <v>42900</v>
      </c>
      <c r="B382" s="590">
        <v>249325</v>
      </c>
    </row>
    <row r="383" spans="1:2" x14ac:dyDescent="0.2">
      <c r="A383" s="624">
        <v>42901</v>
      </c>
      <c r="B383" s="590">
        <v>252874.48</v>
      </c>
    </row>
    <row r="384" spans="1:2" x14ac:dyDescent="0.2">
      <c r="A384" s="624">
        <v>42902</v>
      </c>
      <c r="B384" s="590">
        <v>253128.65</v>
      </c>
    </row>
    <row r="385" spans="1:2" x14ac:dyDescent="0.2">
      <c r="A385" s="624">
        <v>42905</v>
      </c>
      <c r="B385" s="590">
        <v>255098.96</v>
      </c>
    </row>
    <row r="386" spans="1:2" x14ac:dyDescent="0.2">
      <c r="A386" s="624">
        <v>42906</v>
      </c>
      <c r="B386" s="590">
        <v>253521.42</v>
      </c>
    </row>
    <row r="387" spans="1:2" x14ac:dyDescent="0.2">
      <c r="A387" s="624">
        <v>42907</v>
      </c>
      <c r="B387" s="590">
        <v>253521</v>
      </c>
    </row>
    <row r="388" spans="1:2" x14ac:dyDescent="0.2">
      <c r="A388" s="624">
        <v>42908</v>
      </c>
      <c r="B388" s="590">
        <v>235912.36</v>
      </c>
    </row>
    <row r="389" spans="1:2" x14ac:dyDescent="0.2">
      <c r="A389" s="624">
        <v>42909</v>
      </c>
      <c r="B389" s="590">
        <v>235912</v>
      </c>
    </row>
    <row r="390" spans="1:2" x14ac:dyDescent="0.2">
      <c r="A390" s="624">
        <v>42912</v>
      </c>
      <c r="B390" s="590">
        <v>198879.76</v>
      </c>
    </row>
    <row r="391" spans="1:2" x14ac:dyDescent="0.2">
      <c r="A391" s="624">
        <v>42913</v>
      </c>
      <c r="B391" s="590">
        <v>199009.76</v>
      </c>
    </row>
    <row r="392" spans="1:2" x14ac:dyDescent="0.2">
      <c r="A392" s="624">
        <v>42914</v>
      </c>
      <c r="B392" s="590">
        <v>199010</v>
      </c>
    </row>
    <row r="393" spans="1:2" x14ac:dyDescent="0.2">
      <c r="A393" s="624">
        <v>42915</v>
      </c>
      <c r="B393" s="590">
        <v>210354</v>
      </c>
    </row>
    <row r="394" spans="1:2" x14ac:dyDescent="0.2">
      <c r="A394" s="624">
        <v>42916</v>
      </c>
      <c r="B394" s="590">
        <v>260779.62</v>
      </c>
    </row>
    <row r="395" spans="1:2" x14ac:dyDescent="0.2">
      <c r="A395" s="624">
        <v>42919</v>
      </c>
      <c r="B395" s="590">
        <v>260780</v>
      </c>
    </row>
    <row r="396" spans="1:2" x14ac:dyDescent="0.2">
      <c r="A396" s="624">
        <v>42920</v>
      </c>
      <c r="B396" s="590">
        <v>260780</v>
      </c>
    </row>
    <row r="397" spans="1:2" x14ac:dyDescent="0.2">
      <c r="A397" s="624">
        <v>42921</v>
      </c>
      <c r="B397" s="590">
        <v>260780</v>
      </c>
    </row>
    <row r="398" spans="1:2" x14ac:dyDescent="0.2">
      <c r="A398" s="624">
        <v>42922</v>
      </c>
      <c r="B398" s="590">
        <v>261774.11</v>
      </c>
    </row>
    <row r="399" spans="1:2" x14ac:dyDescent="0.2">
      <c r="A399" s="624">
        <v>42923</v>
      </c>
      <c r="B399" s="590">
        <v>261774</v>
      </c>
    </row>
    <row r="400" spans="1:2" x14ac:dyDescent="0.2">
      <c r="A400" s="624">
        <v>42926</v>
      </c>
      <c r="B400" s="590">
        <v>226950.89</v>
      </c>
    </row>
    <row r="401" spans="1:2" x14ac:dyDescent="0.2">
      <c r="A401" s="624">
        <v>42927</v>
      </c>
      <c r="B401" s="590">
        <v>226951</v>
      </c>
    </row>
    <row r="402" spans="1:2" x14ac:dyDescent="0.2">
      <c r="A402" s="624">
        <v>42928</v>
      </c>
      <c r="B402" s="590">
        <v>248711.94</v>
      </c>
    </row>
    <row r="403" spans="1:2" x14ac:dyDescent="0.2">
      <c r="A403" s="624">
        <v>42929</v>
      </c>
      <c r="B403" s="590">
        <v>256201.58</v>
      </c>
    </row>
    <row r="404" spans="1:2" x14ac:dyDescent="0.2">
      <c r="A404" s="624">
        <v>42930</v>
      </c>
      <c r="B404" s="590">
        <v>256272.97</v>
      </c>
    </row>
    <row r="405" spans="1:2" x14ac:dyDescent="0.2">
      <c r="A405" s="624">
        <v>42933</v>
      </c>
      <c r="B405" s="590">
        <v>255446.32</v>
      </c>
    </row>
    <row r="406" spans="1:2" x14ac:dyDescent="0.2">
      <c r="A406" s="624"/>
    </row>
    <row r="408" spans="1:2" x14ac:dyDescent="0.2">
      <c r="A408" s="629" t="s">
        <v>379</v>
      </c>
      <c r="B408" s="590">
        <f>MAX(B265:B405)</f>
        <v>404679.36</v>
      </c>
    </row>
    <row r="409" spans="1:2" x14ac:dyDescent="0.2">
      <c r="A409" s="629" t="s">
        <v>380</v>
      </c>
      <c r="B409" s="590">
        <f>MIN(B265:B405)</f>
        <v>198879.76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0"/>
  <sheetViews>
    <sheetView zoomScaleNormal="100" workbookViewId="0">
      <selection activeCell="K75" sqref="K75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34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411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279" t="s">
        <v>178</v>
      </c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480" t="s">
        <v>26</v>
      </c>
      <c r="B6" s="458" t="s">
        <v>16</v>
      </c>
      <c r="C6" s="458" t="s">
        <v>1</v>
      </c>
      <c r="D6" s="458" t="s">
        <v>2</v>
      </c>
      <c r="E6" s="458" t="s">
        <v>3</v>
      </c>
      <c r="F6" s="282" t="s">
        <v>13</v>
      </c>
      <c r="G6" s="282" t="s">
        <v>31</v>
      </c>
      <c r="H6" s="282" t="s">
        <v>232</v>
      </c>
      <c r="I6" s="282" t="s">
        <v>30</v>
      </c>
      <c r="J6" s="282" t="s">
        <v>23</v>
      </c>
      <c r="K6" s="282" t="s">
        <v>105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481" t="s">
        <v>343</v>
      </c>
      <c r="B7" s="396" t="s">
        <v>18</v>
      </c>
      <c r="C7" s="318" t="s">
        <v>173</v>
      </c>
      <c r="D7" s="317">
        <v>42461</v>
      </c>
      <c r="E7" s="317">
        <v>42825</v>
      </c>
      <c r="F7" s="339"/>
      <c r="G7" s="321"/>
      <c r="H7" s="321"/>
      <c r="I7" s="321"/>
      <c r="J7" s="321"/>
      <c r="K7" s="332"/>
      <c r="L7" s="46"/>
      <c r="M7" s="29"/>
      <c r="N7" s="29"/>
    </row>
    <row r="8" spans="1:48" x14ac:dyDescent="0.2">
      <c r="A8" s="482" t="s">
        <v>376</v>
      </c>
      <c r="B8" s="397" t="s">
        <v>18</v>
      </c>
      <c r="C8" s="355" t="s">
        <v>173</v>
      </c>
      <c r="D8" s="336">
        <v>42826</v>
      </c>
      <c r="E8" s="336">
        <v>43190</v>
      </c>
      <c r="F8" s="623">
        <v>189383</v>
      </c>
      <c r="G8" s="338">
        <f>+(+I8-H8)</f>
        <v>0</v>
      </c>
      <c r="H8" s="338">
        <f>'June''17 AR Aging '!G7</f>
        <v>46168.14</v>
      </c>
      <c r="I8" s="338">
        <f>H8</f>
        <v>46168.14</v>
      </c>
      <c r="J8" s="647">
        <f>+F8-I8</f>
        <v>143214.85999999999</v>
      </c>
      <c r="K8" s="407"/>
      <c r="L8" s="272"/>
      <c r="M8" s="309"/>
      <c r="N8" s="29"/>
    </row>
    <row r="9" spans="1:48" x14ac:dyDescent="0.2">
      <c r="A9" s="481" t="s">
        <v>330</v>
      </c>
      <c r="B9" s="396" t="s">
        <v>17</v>
      </c>
      <c r="C9" s="318" t="s">
        <v>180</v>
      </c>
      <c r="D9" s="317">
        <v>42826</v>
      </c>
      <c r="E9" s="317">
        <v>43190</v>
      </c>
      <c r="F9" s="339">
        <v>26286</v>
      </c>
      <c r="G9" s="321"/>
      <c r="H9" s="321">
        <v>0</v>
      </c>
      <c r="I9" s="321"/>
      <c r="J9" s="321">
        <f>F9-I9</f>
        <v>26286</v>
      </c>
      <c r="K9" s="321"/>
      <c r="L9" s="272"/>
      <c r="M9" s="309"/>
      <c r="N9" s="29"/>
    </row>
    <row r="10" spans="1:48" x14ac:dyDescent="0.2">
      <c r="A10" s="482" t="s">
        <v>338</v>
      </c>
      <c r="B10" s="397" t="s">
        <v>17</v>
      </c>
      <c r="C10" s="355" t="s">
        <v>180</v>
      </c>
      <c r="D10" s="336">
        <v>42552</v>
      </c>
      <c r="E10" s="336">
        <v>42916</v>
      </c>
      <c r="F10" s="337">
        <v>319000</v>
      </c>
      <c r="G10" s="338">
        <f>I10-H10</f>
        <v>259043.74000000002</v>
      </c>
      <c r="H10" s="338">
        <f>'June''17 AR Aging '!G13</f>
        <v>59560.04</v>
      </c>
      <c r="I10" s="338">
        <v>318603.78000000003</v>
      </c>
      <c r="J10" s="338">
        <f>F10-I10</f>
        <v>396.21999999997206</v>
      </c>
      <c r="K10" s="407">
        <v>0</v>
      </c>
      <c r="L10" s="272"/>
      <c r="M10" s="309"/>
      <c r="N10" s="29"/>
    </row>
    <row r="11" spans="1:48" x14ac:dyDescent="0.2">
      <c r="A11" s="481" t="s">
        <v>331</v>
      </c>
      <c r="B11" s="396" t="s">
        <v>17</v>
      </c>
      <c r="C11" s="318" t="s">
        <v>181</v>
      </c>
      <c r="D11" s="317">
        <v>42826</v>
      </c>
      <c r="E11" s="317">
        <v>43190</v>
      </c>
      <c r="F11" s="339">
        <v>11536</v>
      </c>
      <c r="G11" s="321"/>
      <c r="H11" s="321">
        <f>'June''17 AR Aging '!G17</f>
        <v>731.19</v>
      </c>
      <c r="I11" s="321">
        <f>H11</f>
        <v>731.19</v>
      </c>
      <c r="J11" s="538">
        <f>F11-I11</f>
        <v>10804.81</v>
      </c>
      <c r="K11" s="464"/>
      <c r="L11" s="272"/>
      <c r="M11" s="309"/>
      <c r="N11" s="29"/>
    </row>
    <row r="12" spans="1:48" s="4" customFormat="1" hidden="1" x14ac:dyDescent="0.2">
      <c r="A12" s="481" t="s">
        <v>339</v>
      </c>
      <c r="B12" s="396" t="s">
        <v>17</v>
      </c>
      <c r="C12" s="318" t="s">
        <v>181</v>
      </c>
      <c r="D12" s="317">
        <v>42461</v>
      </c>
      <c r="E12" s="317">
        <v>42825</v>
      </c>
      <c r="F12" s="339"/>
      <c r="G12" s="321"/>
      <c r="H12" s="321"/>
      <c r="I12" s="321"/>
      <c r="J12" s="321"/>
      <c r="K12" s="483">
        <v>0</v>
      </c>
      <c r="L12" s="272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4" customFormat="1" x14ac:dyDescent="0.2">
      <c r="A13" s="481" t="s">
        <v>377</v>
      </c>
      <c r="B13" s="396" t="s">
        <v>17</v>
      </c>
      <c r="C13" s="318" t="s">
        <v>181</v>
      </c>
      <c r="D13" s="317">
        <v>42826</v>
      </c>
      <c r="E13" s="317">
        <v>43190</v>
      </c>
      <c r="F13" s="622">
        <v>133000</v>
      </c>
      <c r="G13" s="321">
        <f>I13-H13</f>
        <v>10799.16</v>
      </c>
      <c r="H13" s="321">
        <f>'June''17 AR Aging '!G19</f>
        <v>22087.3</v>
      </c>
      <c r="I13" s="321">
        <v>32886.46</v>
      </c>
      <c r="J13" s="321">
        <f>+F13-I13</f>
        <v>100113.54000000001</v>
      </c>
      <c r="K13" s="483"/>
      <c r="L13" s="272"/>
      <c r="M13" s="30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4" customFormat="1" hidden="1" x14ac:dyDescent="0.2">
      <c r="A14" s="481" t="s">
        <v>206</v>
      </c>
      <c r="B14" s="396" t="s">
        <v>17</v>
      </c>
      <c r="C14" s="318" t="s">
        <v>182</v>
      </c>
      <c r="D14" s="317">
        <v>42461</v>
      </c>
      <c r="E14" s="317">
        <v>42825</v>
      </c>
      <c r="F14" s="433"/>
      <c r="G14" s="321"/>
      <c r="H14" s="321"/>
      <c r="I14" s="321"/>
      <c r="J14" s="321"/>
      <c r="K14" s="321"/>
      <c r="L14" s="272"/>
      <c r="M14" s="30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4" customFormat="1" x14ac:dyDescent="0.2">
      <c r="A15" s="481" t="s">
        <v>206</v>
      </c>
      <c r="B15" s="396" t="s">
        <v>17</v>
      </c>
      <c r="C15" s="318" t="s">
        <v>182</v>
      </c>
      <c r="D15" s="317">
        <v>42826</v>
      </c>
      <c r="E15" s="317">
        <v>43190</v>
      </c>
      <c r="F15" s="621">
        <v>16332</v>
      </c>
      <c r="G15" s="321">
        <f>+(+I15-H15)</f>
        <v>1405</v>
      </c>
      <c r="H15" s="321">
        <f>'June''17 AR Aging '!G21</f>
        <v>2685.42</v>
      </c>
      <c r="I15" s="321">
        <v>4090.42</v>
      </c>
      <c r="J15" s="321">
        <f t="shared" ref="J15" si="0">+F15-I15</f>
        <v>12241.58</v>
      </c>
      <c r="K15" s="321"/>
      <c r="L15" s="272"/>
      <c r="M15" s="30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2">
      <c r="A16" s="482" t="s">
        <v>207</v>
      </c>
      <c r="B16" s="397" t="s">
        <v>176</v>
      </c>
      <c r="C16" s="355" t="s">
        <v>332</v>
      </c>
      <c r="D16" s="336">
        <v>42581</v>
      </c>
      <c r="E16" s="336">
        <v>42915</v>
      </c>
      <c r="F16" s="493">
        <v>12563</v>
      </c>
      <c r="G16" s="338">
        <f>+(+I16-H16)</f>
        <v>8236.32</v>
      </c>
      <c r="H16" s="338">
        <f>'June''17 AR Aging '!G22</f>
        <v>4320.8599999999997</v>
      </c>
      <c r="I16" s="338">
        <v>12557.18</v>
      </c>
      <c r="J16" s="338">
        <f>+F16-I16</f>
        <v>5.819999999999709</v>
      </c>
      <c r="K16" s="338"/>
      <c r="L16" s="272"/>
      <c r="M16" s="309"/>
      <c r="N16" s="29"/>
    </row>
    <row r="17" spans="1:48" hidden="1" x14ac:dyDescent="0.2">
      <c r="A17" s="481" t="s">
        <v>5</v>
      </c>
      <c r="B17" s="396" t="s">
        <v>17</v>
      </c>
      <c r="C17" s="318" t="s">
        <v>6</v>
      </c>
      <c r="D17" s="317">
        <v>40544</v>
      </c>
      <c r="E17" s="317">
        <v>40908</v>
      </c>
      <c r="F17" s="339"/>
      <c r="G17" s="321"/>
      <c r="H17" s="321"/>
      <c r="I17" s="321"/>
      <c r="J17" s="321"/>
      <c r="K17" s="321"/>
      <c r="L17" s="272"/>
      <c r="M17" s="309" t="e">
        <f t="shared" ref="M17:M18" si="1">I17/F17</f>
        <v>#DIV/0!</v>
      </c>
      <c r="N17" s="29" t="e">
        <f t="shared" ref="N17:N18" si="2">M17*12</f>
        <v>#DIV/0!</v>
      </c>
    </row>
    <row r="18" spans="1:48" hidden="1" x14ac:dyDescent="0.2">
      <c r="A18" s="481" t="s">
        <v>56</v>
      </c>
      <c r="B18" s="396" t="s">
        <v>17</v>
      </c>
      <c r="C18" s="318" t="e">
        <f>#REF!</f>
        <v>#REF!</v>
      </c>
      <c r="D18" s="317" t="e">
        <f>#REF!</f>
        <v>#REF!</v>
      </c>
      <c r="E18" s="317">
        <v>40999</v>
      </c>
      <c r="F18" s="339"/>
      <c r="G18" s="405"/>
      <c r="H18" s="321"/>
      <c r="I18" s="321"/>
      <c r="J18" s="321"/>
      <c r="K18" s="321"/>
      <c r="L18" s="272"/>
      <c r="M18" s="309" t="e">
        <f t="shared" si="1"/>
        <v>#DIV/0!</v>
      </c>
      <c r="N18" s="29" t="e">
        <f t="shared" si="2"/>
        <v>#DIV/0!</v>
      </c>
    </row>
    <row r="19" spans="1:48" hidden="1" x14ac:dyDescent="0.2">
      <c r="A19" s="481"/>
      <c r="B19" s="402"/>
      <c r="C19" s="403"/>
      <c r="D19" s="404"/>
      <c r="E19" s="404"/>
      <c r="F19" s="434"/>
      <c r="G19" s="321"/>
      <c r="H19" s="406"/>
      <c r="I19" s="406"/>
      <c r="J19" s="406"/>
      <c r="K19" s="406"/>
      <c r="L19" s="272"/>
      <c r="M19" s="309"/>
      <c r="N19" s="29"/>
    </row>
    <row r="20" spans="1:48" hidden="1" x14ac:dyDescent="0.2">
      <c r="A20" s="481" t="s">
        <v>341</v>
      </c>
      <c r="B20" s="396" t="s">
        <v>17</v>
      </c>
      <c r="C20" s="318" t="s">
        <v>174</v>
      </c>
      <c r="D20" s="404">
        <v>42278</v>
      </c>
      <c r="E20" s="317">
        <v>42643</v>
      </c>
      <c r="F20" s="339"/>
      <c r="G20" s="321"/>
      <c r="H20" s="321">
        <f>'June''17 AR Aging '!G30</f>
        <v>0</v>
      </c>
      <c r="I20" s="321"/>
      <c r="J20" s="538"/>
      <c r="K20" s="332"/>
      <c r="L20" s="272"/>
      <c r="M20" s="309"/>
      <c r="N20" s="29"/>
    </row>
    <row r="21" spans="1:48" x14ac:dyDescent="0.2">
      <c r="A21" s="482" t="s">
        <v>342</v>
      </c>
      <c r="B21" s="397" t="s">
        <v>17</v>
      </c>
      <c r="C21" s="355" t="s">
        <v>174</v>
      </c>
      <c r="D21" s="336">
        <v>42644</v>
      </c>
      <c r="E21" s="336">
        <v>43008</v>
      </c>
      <c r="F21" s="337">
        <v>315000</v>
      </c>
      <c r="G21" s="338">
        <f>I21-H21</f>
        <v>134169.25999999998</v>
      </c>
      <c r="H21" s="338">
        <f>'June''17 AR Aging '!G31</f>
        <v>68417.950000000012</v>
      </c>
      <c r="I21" s="338">
        <v>202587.21</v>
      </c>
      <c r="J21" s="338">
        <f>+F21-I21</f>
        <v>112412.79000000001</v>
      </c>
      <c r="K21" s="338"/>
      <c r="L21" s="272"/>
      <c r="M21" s="309"/>
      <c r="N21" s="29"/>
    </row>
    <row r="22" spans="1:48" hidden="1" x14ac:dyDescent="0.2">
      <c r="A22" s="620" t="s">
        <v>264</v>
      </c>
      <c r="B22" s="539" t="s">
        <v>263</v>
      </c>
      <c r="C22" s="540" t="s">
        <v>265</v>
      </c>
      <c r="D22" s="438">
        <v>42461</v>
      </c>
      <c r="E22" s="438">
        <v>42735</v>
      </c>
      <c r="F22" s="541"/>
      <c r="G22" s="542"/>
      <c r="H22" s="542"/>
      <c r="I22" s="542"/>
      <c r="J22" s="542"/>
      <c r="K22" s="542"/>
      <c r="L22" s="272"/>
      <c r="M22" s="309"/>
      <c r="N22" s="29"/>
    </row>
    <row r="23" spans="1:48" s="3" customFormat="1" x14ac:dyDescent="0.2">
      <c r="A23" s="481" t="s">
        <v>344</v>
      </c>
      <c r="B23" s="396" t="s">
        <v>20</v>
      </c>
      <c r="C23" s="318" t="s">
        <v>7</v>
      </c>
      <c r="D23" s="317">
        <v>42736</v>
      </c>
      <c r="E23" s="317">
        <v>43100</v>
      </c>
      <c r="F23" s="339">
        <f>3458.33*12</f>
        <v>41499.96</v>
      </c>
      <c r="G23" s="321">
        <f>I23-H23</f>
        <v>13833.32</v>
      </c>
      <c r="H23" s="321">
        <f>'June''17 AR Aging '!G39</f>
        <v>6916.66</v>
      </c>
      <c r="I23" s="321">
        <f>F23/12*6</f>
        <v>20749.98</v>
      </c>
      <c r="J23" s="321">
        <f>F23-I23</f>
        <v>20749.98</v>
      </c>
      <c r="K23" s="321"/>
      <c r="L23" s="272"/>
      <c r="M23" s="3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3" customFormat="1" x14ac:dyDescent="0.2">
      <c r="A24" s="481" t="s">
        <v>211</v>
      </c>
      <c r="B24" s="396" t="s">
        <v>20</v>
      </c>
      <c r="C24" s="318" t="s">
        <v>25</v>
      </c>
      <c r="D24" s="317">
        <v>42736</v>
      </c>
      <c r="E24" s="317">
        <v>43007</v>
      </c>
      <c r="F24" s="339">
        <v>2710</v>
      </c>
      <c r="G24" s="321">
        <f>I24-H24</f>
        <v>780.62</v>
      </c>
      <c r="H24" s="321">
        <f>'June''17 AR Aging '!G45</f>
        <v>672.09</v>
      </c>
      <c r="I24" s="321">
        <v>1452.71</v>
      </c>
      <c r="J24" s="321">
        <f>+F24-I24</f>
        <v>1257.29</v>
      </c>
      <c r="K24" s="321"/>
      <c r="L24" s="272"/>
      <c r="M24" s="3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3" customFormat="1" x14ac:dyDescent="0.2">
      <c r="A25" s="481" t="s">
        <v>340</v>
      </c>
      <c r="B25" s="396" t="s">
        <v>20</v>
      </c>
      <c r="C25" s="318" t="s">
        <v>25</v>
      </c>
      <c r="D25" s="317">
        <v>42644</v>
      </c>
      <c r="E25" s="317">
        <v>43008</v>
      </c>
      <c r="F25" s="339">
        <v>43987</v>
      </c>
      <c r="G25" s="321">
        <f>+(+I25-H25)</f>
        <v>25144.6</v>
      </c>
      <c r="H25" s="339">
        <f>'June''17 AR Aging '!G48</f>
        <v>7575.13</v>
      </c>
      <c r="I25" s="321">
        <v>32719.73</v>
      </c>
      <c r="J25" s="321">
        <f t="shared" ref="J25:J26" si="3">+F25-I25</f>
        <v>11267.27</v>
      </c>
      <c r="K25" s="538"/>
      <c r="L25" s="272"/>
      <c r="M25" s="30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3" customFormat="1" x14ac:dyDescent="0.2">
      <c r="A26" s="482" t="s">
        <v>230</v>
      </c>
      <c r="B26" s="397" t="s">
        <v>20</v>
      </c>
      <c r="C26" s="355" t="s">
        <v>25</v>
      </c>
      <c r="D26" s="336">
        <v>42736</v>
      </c>
      <c r="E26" s="336">
        <v>43190</v>
      </c>
      <c r="F26" s="493">
        <v>97102</v>
      </c>
      <c r="G26" s="338">
        <f>+(+I26-H26)</f>
        <v>20907.919999999998</v>
      </c>
      <c r="H26" s="337">
        <f>'June''17 AR Aging '!G46</f>
        <v>11935.85</v>
      </c>
      <c r="I26" s="338">
        <v>32843.769999999997</v>
      </c>
      <c r="J26" s="338">
        <f t="shared" si="3"/>
        <v>64258.23</v>
      </c>
      <c r="K26" s="338"/>
      <c r="L26" s="272"/>
      <c r="M26" s="30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3" customFormat="1" x14ac:dyDescent="0.2">
      <c r="A27" s="482" t="s">
        <v>187</v>
      </c>
      <c r="B27" s="397" t="s">
        <v>195</v>
      </c>
      <c r="C27" s="355" t="s">
        <v>25</v>
      </c>
      <c r="D27" s="438">
        <v>42736</v>
      </c>
      <c r="E27" s="336">
        <v>43100</v>
      </c>
      <c r="F27" s="337">
        <v>13000</v>
      </c>
      <c r="G27" s="338">
        <f>+(+I27-H27)</f>
        <v>2662.5</v>
      </c>
      <c r="H27" s="337">
        <f>'June''17 AR Aging '!G54</f>
        <v>2442.5</v>
      </c>
      <c r="I27" s="338">
        <v>5105</v>
      </c>
      <c r="J27" s="338">
        <f t="shared" ref="J27:J28" si="4">+F27-I27</f>
        <v>7895</v>
      </c>
      <c r="K27" s="338"/>
      <c r="L27" s="272"/>
      <c r="M27" s="30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3" customFormat="1" ht="15" thickBot="1" x14ac:dyDescent="0.25">
      <c r="A28" s="560" t="s">
        <v>412</v>
      </c>
      <c r="B28" s="435" t="s">
        <v>154</v>
      </c>
      <c r="C28" s="319" t="s">
        <v>25</v>
      </c>
      <c r="D28" s="436">
        <v>42477</v>
      </c>
      <c r="E28" s="436">
        <v>43042</v>
      </c>
      <c r="F28" s="445">
        <v>29208</v>
      </c>
      <c r="G28" s="322">
        <f>+(+I28-H28)</f>
        <v>5273.09</v>
      </c>
      <c r="H28" s="333">
        <f>'June''17 AR Aging '!G58</f>
        <v>2834.71</v>
      </c>
      <c r="I28" s="322">
        <v>8107.8</v>
      </c>
      <c r="J28" s="322">
        <f t="shared" si="4"/>
        <v>21100.2</v>
      </c>
      <c r="K28" s="322"/>
      <c r="L28" s="272"/>
      <c r="M28" s="30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17" customFormat="1" ht="16.5" thickBot="1" x14ac:dyDescent="0.3">
      <c r="A29" s="283" t="s">
        <v>41</v>
      </c>
      <c r="B29" s="284"/>
      <c r="C29" s="285"/>
      <c r="D29" s="286"/>
      <c r="E29" s="286"/>
      <c r="F29" s="311"/>
      <c r="G29" s="311">
        <f>SUM(G8:G28)-G17</f>
        <v>482255.52999999997</v>
      </c>
      <c r="H29" s="311">
        <f>SUM(H7:H28)</f>
        <v>236347.84</v>
      </c>
      <c r="I29" s="311">
        <f>SUM(I8:I28)-I17</f>
        <v>718603.37</v>
      </c>
      <c r="J29" s="311">
        <f>SUM(J8:J28)-J17</f>
        <v>532003.59</v>
      </c>
      <c r="K29" s="311">
        <f>SUM(K8:K28)-K17</f>
        <v>0</v>
      </c>
      <c r="L29" s="4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s="18" customFormat="1" x14ac:dyDescent="0.2">
      <c r="A30" s="55"/>
      <c r="B30" s="55"/>
      <c r="C30" s="19"/>
      <c r="D30" s="55"/>
      <c r="E30" s="310"/>
      <c r="F30" s="29"/>
      <c r="G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18" customFormat="1" ht="10.5" customHeight="1" thickBot="1" x14ac:dyDescent="0.25">
      <c r="A31" s="1"/>
      <c r="B31" s="44"/>
      <c r="C31" s="6"/>
      <c r="D31" s="6"/>
      <c r="E31" s="6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22" customFormat="1" ht="16.5" thickBot="1" x14ac:dyDescent="0.3">
      <c r="A32" s="326" t="s">
        <v>43</v>
      </c>
      <c r="B32" s="158"/>
      <c r="C32" s="159"/>
      <c r="D32" s="159"/>
      <c r="E32" s="159"/>
      <c r="F32" s="160"/>
      <c r="G32" s="160"/>
      <c r="H32" s="160"/>
      <c r="I32" s="160"/>
      <c r="J32" s="160"/>
      <c r="K32" s="16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20" customFormat="1" ht="45.75" thickBot="1" x14ac:dyDescent="0.25">
      <c r="A33" s="349" t="s">
        <v>26</v>
      </c>
      <c r="B33" s="686" t="s">
        <v>16</v>
      </c>
      <c r="C33" s="687"/>
      <c r="D33" s="349" t="s">
        <v>2</v>
      </c>
      <c r="E33" s="349" t="s">
        <v>3</v>
      </c>
      <c r="F33" s="354" t="s">
        <v>27</v>
      </c>
      <c r="G33" s="354" t="s">
        <v>362</v>
      </c>
      <c r="H33" s="354" t="s">
        <v>186</v>
      </c>
      <c r="I33" s="354" t="s">
        <v>23</v>
      </c>
      <c r="J33" s="354" t="s">
        <v>12</v>
      </c>
      <c r="K33" s="354" t="s">
        <v>4</v>
      </c>
      <c r="L33" s="35"/>
      <c r="M33" s="35"/>
      <c r="N33" s="35"/>
      <c r="O33" s="35"/>
      <c r="P33" s="35"/>
      <c r="Q33" s="35"/>
      <c r="R33" s="35"/>
      <c r="S33" s="35"/>
      <c r="T33" s="35"/>
      <c r="U33" s="6"/>
      <c r="V33" s="35"/>
      <c r="W33" s="35"/>
      <c r="X33" s="35"/>
      <c r="Y33" s="35"/>
      <c r="Z33" s="35"/>
      <c r="AA33" s="35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idden="1" x14ac:dyDescent="0.2">
      <c r="A34" s="313" t="s">
        <v>19</v>
      </c>
      <c r="B34" s="692" t="s">
        <v>15</v>
      </c>
      <c r="C34" s="693"/>
      <c r="D34" s="347">
        <v>41275</v>
      </c>
      <c r="E34" s="317">
        <v>41639</v>
      </c>
      <c r="F34" s="321"/>
      <c r="G34" s="321">
        <v>0</v>
      </c>
      <c r="H34" s="321"/>
      <c r="I34" s="321">
        <f>F34-H34</f>
        <v>0</v>
      </c>
      <c r="J34" s="321">
        <v>0</v>
      </c>
      <c r="K34" s="321">
        <f t="shared" ref="K34:K40" si="5">I34</f>
        <v>0</v>
      </c>
      <c r="L34" s="29"/>
      <c r="M34" s="29"/>
      <c r="N34" s="29"/>
    </row>
    <row r="35" spans="1:48" hidden="1" x14ac:dyDescent="0.2">
      <c r="A35" s="313"/>
      <c r="B35" s="692"/>
      <c r="C35" s="693"/>
      <c r="D35" s="347"/>
      <c r="E35" s="317"/>
      <c r="F35" s="321"/>
      <c r="G35" s="321"/>
      <c r="H35" s="321"/>
      <c r="I35" s="321"/>
      <c r="J35" s="321"/>
      <c r="K35" s="432"/>
      <c r="L35" s="29"/>
      <c r="M35" s="29"/>
      <c r="N35" s="29"/>
    </row>
    <row r="36" spans="1:48" x14ac:dyDescent="0.2">
      <c r="A36" s="313" t="s">
        <v>354</v>
      </c>
      <c r="B36" s="692" t="s">
        <v>15</v>
      </c>
      <c r="C36" s="693"/>
      <c r="D36" s="347">
        <v>42736</v>
      </c>
      <c r="E36" s="317">
        <v>43100</v>
      </c>
      <c r="F36" s="321">
        <v>25000</v>
      </c>
      <c r="G36" s="321">
        <v>0</v>
      </c>
      <c r="H36" s="321">
        <v>11802.86</v>
      </c>
      <c r="I36" s="321">
        <f>25000-H36</f>
        <v>13197.14</v>
      </c>
      <c r="J36" s="321"/>
      <c r="K36" s="432">
        <f t="shared" si="5"/>
        <v>13197.14</v>
      </c>
      <c r="L36" s="29"/>
      <c r="M36" s="29"/>
      <c r="N36" s="29"/>
    </row>
    <row r="37" spans="1:48" x14ac:dyDescent="0.2">
      <c r="A37" s="313" t="s">
        <v>208</v>
      </c>
      <c r="B37" s="692" t="s">
        <v>15</v>
      </c>
      <c r="C37" s="693"/>
      <c r="D37" s="347">
        <v>42248</v>
      </c>
      <c r="E37" s="317">
        <v>43100</v>
      </c>
      <c r="F37" s="321">
        <v>14250</v>
      </c>
      <c r="G37" s="321">
        <f>12113.27-7125</f>
        <v>4988.2700000000004</v>
      </c>
      <c r="H37" s="321">
        <v>1665.27</v>
      </c>
      <c r="I37" s="321">
        <f>G37-H37</f>
        <v>3323.0000000000005</v>
      </c>
      <c r="J37" s="321">
        <v>0</v>
      </c>
      <c r="K37" s="321">
        <f t="shared" si="5"/>
        <v>3323.0000000000005</v>
      </c>
      <c r="L37" s="29"/>
      <c r="M37" s="29"/>
      <c r="N37" s="29"/>
    </row>
    <row r="38" spans="1:48" x14ac:dyDescent="0.2">
      <c r="A38" s="313" t="s">
        <v>240</v>
      </c>
      <c r="B38" s="692" t="s">
        <v>15</v>
      </c>
      <c r="C38" s="693"/>
      <c r="D38" s="347">
        <v>42370</v>
      </c>
      <c r="E38" s="317">
        <v>43100</v>
      </c>
      <c r="F38" s="321">
        <v>7125</v>
      </c>
      <c r="G38" s="321">
        <v>7125</v>
      </c>
      <c r="H38" s="321"/>
      <c r="I38" s="321">
        <v>7125</v>
      </c>
      <c r="J38" s="321"/>
      <c r="K38" s="321">
        <f t="shared" si="5"/>
        <v>7125</v>
      </c>
      <c r="L38" s="29"/>
      <c r="M38" s="29"/>
      <c r="N38" s="29"/>
    </row>
    <row r="39" spans="1:48" s="4" customFormat="1" hidden="1" x14ac:dyDescent="0.2">
      <c r="A39" s="313" t="s">
        <v>201</v>
      </c>
      <c r="B39" s="702" t="s">
        <v>21</v>
      </c>
      <c r="C39" s="703"/>
      <c r="D39" s="347"/>
      <c r="E39" s="317"/>
      <c r="F39" s="321"/>
      <c r="G39" s="321"/>
      <c r="H39" s="321"/>
      <c r="I39" s="321"/>
      <c r="J39" s="321"/>
      <c r="K39" s="321"/>
      <c r="L39" s="29"/>
      <c r="M39" s="29"/>
      <c r="N39" s="29"/>
      <c r="O39" s="29"/>
      <c r="P39" s="29"/>
      <c r="Q39" s="29"/>
      <c r="R39" s="29"/>
      <c r="S39" s="29"/>
      <c r="T39" s="29"/>
      <c r="U39" s="1"/>
      <c r="V39" s="29"/>
      <c r="W39" s="29"/>
      <c r="X39" s="29"/>
      <c r="Y39" s="29"/>
      <c r="Z39" s="29"/>
      <c r="AA39" s="2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4" customFormat="1" x14ac:dyDescent="0.2">
      <c r="A40" s="313" t="s">
        <v>202</v>
      </c>
      <c r="B40" s="702" t="s">
        <v>21</v>
      </c>
      <c r="C40" s="703"/>
      <c r="D40" s="347">
        <v>42736</v>
      </c>
      <c r="E40" s="317">
        <v>43465</v>
      </c>
      <c r="F40" s="321">
        <v>40000</v>
      </c>
      <c r="G40" s="321">
        <v>0</v>
      </c>
      <c r="H40" s="321">
        <v>9466.94</v>
      </c>
      <c r="I40" s="321">
        <f>22000-H40</f>
        <v>12533.06</v>
      </c>
      <c r="J40" s="321"/>
      <c r="K40" s="321">
        <f t="shared" si="5"/>
        <v>12533.06</v>
      </c>
      <c r="L40" s="29"/>
      <c r="M40" s="29"/>
      <c r="N40" s="29"/>
      <c r="O40" s="29"/>
      <c r="P40" s="29"/>
      <c r="Q40" s="29"/>
      <c r="R40" s="29"/>
      <c r="S40" s="29"/>
      <c r="T40" s="29"/>
      <c r="U40" s="1"/>
      <c r="V40" s="29"/>
      <c r="W40" s="29"/>
      <c r="X40" s="29"/>
      <c r="Y40" s="29"/>
      <c r="Z40" s="29"/>
      <c r="AA40" s="2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ht="15" thickBot="1" x14ac:dyDescent="0.25">
      <c r="A41" s="313" t="s">
        <v>22</v>
      </c>
      <c r="B41" s="688" t="s">
        <v>47</v>
      </c>
      <c r="C41" s="690"/>
      <c r="D41" s="347">
        <v>40226</v>
      </c>
      <c r="E41" s="318" t="s">
        <v>29</v>
      </c>
      <c r="F41" s="321">
        <f>8007.78+5000+50</f>
        <v>13057.779999999999</v>
      </c>
      <c r="G41" s="321">
        <v>5854.58</v>
      </c>
      <c r="H41" s="321">
        <v>200</v>
      </c>
      <c r="I41" s="321">
        <f>+G41-H41</f>
        <v>5654.58</v>
      </c>
      <c r="J41" s="321">
        <f>I41</f>
        <v>5654.58</v>
      </c>
      <c r="K41" s="321"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1"/>
      <c r="V41" s="29"/>
      <c r="W41" s="29"/>
      <c r="X41" s="29"/>
      <c r="Y41" s="29"/>
      <c r="Z41" s="29"/>
      <c r="AA41" s="29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ht="15.75" thickBot="1" x14ac:dyDescent="0.3">
      <c r="A42" s="314"/>
      <c r="B42" s="694"/>
      <c r="C42" s="695"/>
      <c r="D42" s="348"/>
      <c r="E42" s="319"/>
      <c r="F42" s="322"/>
      <c r="G42" s="322"/>
      <c r="H42" s="322">
        <v>0</v>
      </c>
      <c r="I42" s="322"/>
      <c r="J42" s="322"/>
      <c r="K42" s="322">
        <v>0</v>
      </c>
      <c r="L42" s="278" t="s">
        <v>110</v>
      </c>
      <c r="M42" s="29"/>
      <c r="N42" s="29"/>
      <c r="O42" s="29"/>
      <c r="P42" s="29"/>
      <c r="Q42" s="29"/>
      <c r="R42" s="29"/>
      <c r="S42" s="29"/>
      <c r="T42" s="29"/>
      <c r="U42" s="1"/>
      <c r="V42" s="29"/>
      <c r="W42" s="29"/>
      <c r="X42" s="29"/>
      <c r="Y42" s="29"/>
      <c r="Z42" s="29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76" customFormat="1" ht="15.75" thickBot="1" x14ac:dyDescent="0.3">
      <c r="A43" s="312" t="s">
        <v>32</v>
      </c>
      <c r="B43" s="315"/>
      <c r="C43" s="315"/>
      <c r="D43" s="316"/>
      <c r="E43" s="316"/>
      <c r="F43" s="320">
        <f t="shared" ref="F43:K43" si="6">SUM(F34:F42)</f>
        <v>99432.78</v>
      </c>
      <c r="G43" s="323">
        <f t="shared" si="6"/>
        <v>17967.849999999999</v>
      </c>
      <c r="H43" s="320">
        <f t="shared" si="6"/>
        <v>23135.07</v>
      </c>
      <c r="I43" s="320">
        <f t="shared" si="6"/>
        <v>41832.78</v>
      </c>
      <c r="J43" s="324">
        <f t="shared" si="6"/>
        <v>5654.58</v>
      </c>
      <c r="K43" s="325">
        <f t="shared" si="6"/>
        <v>36178.199999999997</v>
      </c>
      <c r="L43" s="508">
        <f>K29+K43</f>
        <v>36178.199999999997</v>
      </c>
      <c r="M43" s="274"/>
      <c r="N43" s="274"/>
      <c r="O43" s="274"/>
      <c r="P43" s="274"/>
      <c r="Q43" s="274"/>
      <c r="R43" s="274"/>
      <c r="S43" s="274"/>
      <c r="T43" s="274"/>
      <c r="U43" s="275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</row>
    <row r="44" spans="1:48" s="18" customFormat="1" ht="15" thickBot="1" x14ac:dyDescent="0.25">
      <c r="B44" s="1"/>
      <c r="C44" s="6"/>
      <c r="D44" s="6"/>
      <c r="E44" s="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"/>
      <c r="V44" s="29"/>
      <c r="W44" s="29"/>
      <c r="X44" s="29"/>
      <c r="Y44" s="29"/>
      <c r="Z44" s="29"/>
      <c r="AA44" s="29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1" customFormat="1" ht="18.75" thickBot="1" x14ac:dyDescent="0.3">
      <c r="A45" s="326" t="s">
        <v>153</v>
      </c>
      <c r="B45" s="327"/>
      <c r="C45" s="328"/>
      <c r="D45" s="328"/>
      <c r="E45" s="328"/>
      <c r="F45" s="331"/>
      <c r="G45" s="331"/>
      <c r="H45" s="331"/>
      <c r="I45" s="331"/>
      <c r="J45" s="331"/>
      <c r="K45" s="334"/>
      <c r="L45" s="331"/>
      <c r="M45" s="335"/>
      <c r="N45" s="40"/>
      <c r="O45" s="40"/>
      <c r="P45" s="40"/>
      <c r="Q45" s="40"/>
      <c r="R45" s="40"/>
      <c r="S45" s="40"/>
      <c r="T45" s="40"/>
      <c r="U45" s="41"/>
      <c r="V45" s="40"/>
      <c r="W45" s="40"/>
      <c r="X45" s="40"/>
      <c r="Y45" s="40"/>
      <c r="Z45" s="40"/>
      <c r="AA45" s="40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s="23" customFormat="1" ht="33" customHeight="1" thickBot="1" x14ac:dyDescent="0.25">
      <c r="A46" s="349" t="s">
        <v>35</v>
      </c>
      <c r="B46" s="686" t="s">
        <v>28</v>
      </c>
      <c r="C46" s="691"/>
      <c r="D46" s="691"/>
      <c r="E46" s="687"/>
      <c r="F46" s="353" t="s">
        <v>44</v>
      </c>
      <c r="G46" s="282" t="s">
        <v>362</v>
      </c>
      <c r="H46" s="282" t="s">
        <v>185</v>
      </c>
      <c r="I46" s="282" t="s">
        <v>231</v>
      </c>
      <c r="J46" s="282" t="s">
        <v>48</v>
      </c>
      <c r="K46" s="282" t="s">
        <v>14</v>
      </c>
      <c r="L46" s="282" t="s">
        <v>11</v>
      </c>
      <c r="M46" s="282" t="s">
        <v>4</v>
      </c>
      <c r="N46" s="35"/>
      <c r="O46" s="35"/>
      <c r="P46" s="35"/>
      <c r="Q46" s="35"/>
      <c r="R46" s="35"/>
      <c r="S46" s="35"/>
      <c r="T46" s="35"/>
      <c r="U46" s="6"/>
      <c r="V46" s="35"/>
      <c r="W46" s="35"/>
      <c r="X46" s="35"/>
      <c r="Y46" s="35"/>
      <c r="Z46" s="35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s="18" customFormat="1" hidden="1" x14ac:dyDescent="0.2">
      <c r="A47" s="313" t="s">
        <v>36</v>
      </c>
      <c r="B47" s="688" t="s">
        <v>39</v>
      </c>
      <c r="C47" s="689"/>
      <c r="D47" s="689"/>
      <c r="E47" s="690"/>
      <c r="F47" s="321"/>
      <c r="G47" s="321"/>
      <c r="H47" s="321">
        <v>0</v>
      </c>
      <c r="I47" s="321"/>
      <c r="J47" s="321"/>
      <c r="K47" s="321"/>
      <c r="L47" s="321"/>
      <c r="M47" s="321">
        <v>0</v>
      </c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idden="1" x14ac:dyDescent="0.2">
      <c r="A48" s="313" t="s">
        <v>37</v>
      </c>
      <c r="B48" s="688" t="s">
        <v>40</v>
      </c>
      <c r="C48" s="689"/>
      <c r="D48" s="689"/>
      <c r="E48" s="690"/>
      <c r="F48" s="321"/>
      <c r="G48" s="321"/>
      <c r="H48" s="321"/>
      <c r="I48" s="332"/>
      <c r="J48" s="321"/>
      <c r="K48" s="321"/>
      <c r="L48" s="321"/>
      <c r="M48" s="321">
        <v>0</v>
      </c>
      <c r="N48" s="29"/>
    </row>
    <row r="49" spans="1:48" ht="15" hidden="1" customHeight="1" x14ac:dyDescent="0.2">
      <c r="A49" s="313"/>
      <c r="B49" s="688"/>
      <c r="C49" s="689"/>
      <c r="D49" s="689"/>
      <c r="E49" s="690"/>
      <c r="F49" s="321"/>
      <c r="G49" s="321"/>
      <c r="H49" s="321"/>
      <c r="I49" s="610"/>
      <c r="J49" s="321"/>
      <c r="K49" s="432"/>
      <c r="L49" s="321"/>
      <c r="M49" s="321"/>
      <c r="N49" s="29"/>
    </row>
    <row r="50" spans="1:48" s="18" customFormat="1" hidden="1" x14ac:dyDescent="0.2">
      <c r="A50" s="313"/>
      <c r="B50" s="688"/>
      <c r="C50" s="689"/>
      <c r="D50" s="689"/>
      <c r="E50" s="690"/>
      <c r="F50" s="321"/>
      <c r="G50" s="321"/>
      <c r="H50" s="321"/>
      <c r="I50" s="321"/>
      <c r="J50" s="321"/>
      <c r="K50" s="432"/>
      <c r="L50" s="321"/>
      <c r="M50" s="321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313" t="s">
        <v>355</v>
      </c>
      <c r="B51" s="688" t="s">
        <v>358</v>
      </c>
      <c r="C51" s="689"/>
      <c r="D51" s="689"/>
      <c r="E51" s="690"/>
      <c r="F51" s="321">
        <v>49000</v>
      </c>
      <c r="G51" s="321">
        <v>0</v>
      </c>
      <c r="H51" s="321">
        <f>24500*2</f>
        <v>49000</v>
      </c>
      <c r="I51" s="405">
        <f>'June''17 AR Aging '!G60</f>
        <v>0</v>
      </c>
      <c r="J51" s="321">
        <f>H51/12*6</f>
        <v>24500</v>
      </c>
      <c r="K51" s="432">
        <f>H51-J51</f>
        <v>24500</v>
      </c>
      <c r="L51" s="321">
        <f>K51</f>
        <v>24500</v>
      </c>
      <c r="M51" s="321"/>
      <c r="N51" s="29"/>
    </row>
    <row r="52" spans="1:48" s="18" customFormat="1" x14ac:dyDescent="0.2">
      <c r="A52" s="313" t="s">
        <v>356</v>
      </c>
      <c r="B52" s="688" t="s">
        <v>357</v>
      </c>
      <c r="C52" s="689"/>
      <c r="D52" s="689"/>
      <c r="E52" s="690"/>
      <c r="F52" s="321">
        <f>6500+3500+2000+3500+3500</f>
        <v>19000</v>
      </c>
      <c r="G52" s="321"/>
      <c r="H52" s="321">
        <v>19000</v>
      </c>
      <c r="I52" s="321"/>
      <c r="J52" s="321">
        <f>H52/12*6</f>
        <v>9500</v>
      </c>
      <c r="K52" s="432">
        <f>H52-J52</f>
        <v>9500</v>
      </c>
      <c r="L52" s="321">
        <f>K52</f>
        <v>9500</v>
      </c>
      <c r="M52" s="321"/>
      <c r="N52" s="29"/>
      <c r="O52" s="29"/>
      <c r="P52" s="29"/>
      <c r="Q52" s="29"/>
      <c r="R52" s="29"/>
      <c r="S52" s="29"/>
      <c r="T52" s="29"/>
      <c r="U52" s="1"/>
      <c r="V52" s="29"/>
      <c r="W52" s="29"/>
      <c r="X52" s="29"/>
      <c r="Y52" s="29"/>
      <c r="Z52" s="29"/>
      <c r="AA52" s="29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">
      <c r="A53" s="313" t="s">
        <v>24</v>
      </c>
      <c r="B53" s="688" t="s">
        <v>155</v>
      </c>
      <c r="C53" s="689"/>
      <c r="D53" s="689"/>
      <c r="E53" s="690"/>
      <c r="F53" s="321"/>
      <c r="G53" s="321">
        <v>0</v>
      </c>
      <c r="H53" s="321">
        <v>3458.75</v>
      </c>
      <c r="I53" s="321"/>
      <c r="J53" s="321">
        <v>5409.25</v>
      </c>
      <c r="K53" s="432"/>
      <c r="L53" s="321">
        <v>0</v>
      </c>
      <c r="M53" s="321">
        <v>0</v>
      </c>
      <c r="N53" s="29"/>
    </row>
    <row r="54" spans="1:48" x14ac:dyDescent="0.2">
      <c r="A54" s="313" t="s">
        <v>24</v>
      </c>
      <c r="B54" s="688" t="s">
        <v>8</v>
      </c>
      <c r="C54" s="689"/>
      <c r="D54" s="689"/>
      <c r="E54" s="690"/>
      <c r="F54" s="321"/>
      <c r="G54" s="321">
        <v>1100.82</v>
      </c>
      <c r="H54" s="321"/>
      <c r="I54" s="321"/>
      <c r="J54" s="321"/>
      <c r="K54" s="432">
        <v>1100.82</v>
      </c>
      <c r="L54" s="321">
        <f>K54</f>
        <v>1100.82</v>
      </c>
      <c r="M54" s="321">
        <v>0</v>
      </c>
      <c r="N54" s="29"/>
    </row>
    <row r="55" spans="1:48" x14ac:dyDescent="0.2">
      <c r="A55" s="313" t="s">
        <v>24</v>
      </c>
      <c r="B55" s="688" t="s">
        <v>9</v>
      </c>
      <c r="C55" s="689"/>
      <c r="D55" s="689"/>
      <c r="E55" s="690"/>
      <c r="F55" s="321"/>
      <c r="G55" s="321">
        <v>17437.849999999999</v>
      </c>
      <c r="H55" s="321">
        <v>3274.15</v>
      </c>
      <c r="I55" s="321"/>
      <c r="J55" s="321">
        <v>5729.29</v>
      </c>
      <c r="K55" s="432">
        <f>G55+H55-J55</f>
        <v>14982.71</v>
      </c>
      <c r="L55" s="321">
        <f>K55</f>
        <v>14982.71</v>
      </c>
      <c r="M55" s="321">
        <v>0</v>
      </c>
      <c r="N55" s="29"/>
    </row>
    <row r="56" spans="1:48" x14ac:dyDescent="0.2">
      <c r="A56" s="313" t="s">
        <v>24</v>
      </c>
      <c r="B56" s="688" t="s">
        <v>10</v>
      </c>
      <c r="C56" s="689"/>
      <c r="D56" s="689"/>
      <c r="E56" s="690"/>
      <c r="F56" s="321"/>
      <c r="G56" s="321">
        <v>8260.73</v>
      </c>
      <c r="H56" s="321">
        <v>3660</v>
      </c>
      <c r="I56" s="321"/>
      <c r="J56" s="321">
        <v>1166.1199999999999</v>
      </c>
      <c r="K56" s="432">
        <f>G56+H56-J56</f>
        <v>10754.61</v>
      </c>
      <c r="L56" s="321">
        <f>K56</f>
        <v>10754.61</v>
      </c>
      <c r="M56" s="321">
        <v>0</v>
      </c>
      <c r="N56" s="29"/>
    </row>
    <row r="57" spans="1:48" s="25" customFormat="1" ht="15" thickBot="1" x14ac:dyDescent="0.25">
      <c r="A57" s="313"/>
      <c r="B57" s="688"/>
      <c r="C57" s="689"/>
      <c r="D57" s="689"/>
      <c r="E57" s="690"/>
      <c r="F57" s="321"/>
      <c r="G57" s="321"/>
      <c r="H57" s="321"/>
      <c r="I57" s="321"/>
      <c r="J57" s="321"/>
      <c r="K57" s="321"/>
      <c r="L57" s="321">
        <f>K57</f>
        <v>0</v>
      </c>
      <c r="M57" s="321">
        <v>0</v>
      </c>
      <c r="N57" s="29"/>
      <c r="O57" s="29"/>
      <c r="P57" s="29"/>
      <c r="Q57" s="29"/>
      <c r="R57" s="29"/>
      <c r="S57" s="29"/>
      <c r="T57" s="29"/>
      <c r="U57" s="1"/>
      <c r="V57" s="29"/>
      <c r="W57" s="29"/>
      <c r="X57" s="29"/>
      <c r="Y57" s="29"/>
      <c r="Z57" s="29"/>
      <c r="AA57" s="29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25" customFormat="1" ht="15" hidden="1" thickBot="1" x14ac:dyDescent="0.25">
      <c r="A58" s="313" t="s">
        <v>24</v>
      </c>
      <c r="B58" s="329" t="s">
        <v>87</v>
      </c>
      <c r="C58" s="304"/>
      <c r="D58" s="304"/>
      <c r="E58" s="330"/>
      <c r="F58" s="321"/>
      <c r="G58" s="321"/>
      <c r="H58" s="321"/>
      <c r="I58" s="321"/>
      <c r="J58" s="321"/>
      <c r="K58" s="321"/>
      <c r="L58" s="321"/>
      <c r="M58" s="321"/>
      <c r="N58" s="29"/>
      <c r="O58" s="29"/>
      <c r="P58" s="29"/>
      <c r="Q58" s="29"/>
      <c r="R58" s="29"/>
      <c r="S58" s="29"/>
      <c r="T58" s="29"/>
      <c r="U58" s="1"/>
      <c r="V58" s="29"/>
      <c r="W58" s="29"/>
      <c r="X58" s="29"/>
      <c r="Y58" s="29"/>
      <c r="Z58" s="29"/>
      <c r="AA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s="18" customFormat="1" ht="15" hidden="1" customHeight="1" thickBot="1" x14ac:dyDescent="0.25">
      <c r="A59" s="314"/>
      <c r="B59" s="688"/>
      <c r="C59" s="689"/>
      <c r="D59" s="689"/>
      <c r="E59" s="690"/>
      <c r="F59" s="322"/>
      <c r="G59" s="322">
        <v>0</v>
      </c>
      <c r="H59" s="322"/>
      <c r="I59" s="333"/>
      <c r="J59" s="322"/>
      <c r="K59" s="322"/>
      <c r="L59" s="322"/>
      <c r="M59" s="322">
        <v>0</v>
      </c>
      <c r="N59" s="29"/>
      <c r="O59" s="29"/>
      <c r="P59" s="29"/>
      <c r="Q59" s="29"/>
      <c r="R59" s="29"/>
      <c r="S59" s="29"/>
      <c r="T59" s="29"/>
      <c r="U59" s="1"/>
      <c r="V59" s="29"/>
      <c r="W59" s="29"/>
      <c r="X59" s="29"/>
      <c r="Y59" s="29"/>
      <c r="Z59" s="29"/>
      <c r="AA59" s="29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276" customFormat="1" ht="15.75" thickBot="1" x14ac:dyDescent="0.3">
      <c r="A60" s="350" t="s">
        <v>42</v>
      </c>
      <c r="B60" s="351"/>
      <c r="C60" s="351"/>
      <c r="D60" s="351"/>
      <c r="E60" s="352"/>
      <c r="F60" s="425">
        <f t="shared" ref="F60:M60" si="7">SUM(F47:F59)</f>
        <v>68000</v>
      </c>
      <c r="G60" s="426">
        <f t="shared" si="7"/>
        <v>26799.399999999998</v>
      </c>
      <c r="H60" s="426">
        <f t="shared" si="7"/>
        <v>78392.899999999994</v>
      </c>
      <c r="I60" s="426">
        <f t="shared" si="7"/>
        <v>0</v>
      </c>
      <c r="J60" s="426">
        <f t="shared" si="7"/>
        <v>46304.66</v>
      </c>
      <c r="K60" s="427">
        <f t="shared" si="7"/>
        <v>60838.14</v>
      </c>
      <c r="L60" s="428">
        <f>SUM(L47:L59)</f>
        <v>60838.14</v>
      </c>
      <c r="M60" s="427">
        <f t="shared" si="7"/>
        <v>0</v>
      </c>
      <c r="N60" s="274"/>
      <c r="O60" s="274"/>
      <c r="P60" s="274"/>
      <c r="Q60" s="274"/>
      <c r="R60" s="274"/>
      <c r="S60" s="274"/>
      <c r="T60" s="274"/>
      <c r="U60" s="275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</row>
    <row r="61" spans="1:48" ht="15.75" thickBot="1" x14ac:dyDescent="0.3">
      <c r="H61" s="28"/>
      <c r="L61" s="277" t="s">
        <v>111</v>
      </c>
      <c r="N61" s="29"/>
    </row>
    <row r="62" spans="1:48" s="48" customFormat="1" ht="16.5" thickBot="1" x14ac:dyDescent="0.3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83">
        <f>L60+J43</f>
        <v>66492.72</v>
      </c>
      <c r="M62" s="4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51" customFormat="1" ht="31.5" hidden="1" x14ac:dyDescent="0.25">
      <c r="A63" s="54"/>
      <c r="B63" s="50"/>
      <c r="C63" s="50"/>
      <c r="D63" s="50"/>
      <c r="E63" s="50"/>
      <c r="F63" s="50"/>
      <c r="G63" s="151" t="s">
        <v>196</v>
      </c>
      <c r="H63" s="152" t="s">
        <v>185</v>
      </c>
      <c r="I63" s="152" t="s">
        <v>109</v>
      </c>
      <c r="J63" s="152" t="s">
        <v>63</v>
      </c>
      <c r="K63" s="153" t="s">
        <v>50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</row>
    <row r="64" spans="1:48" s="43" customFormat="1" ht="20.25" hidden="1" customHeight="1" x14ac:dyDescent="0.2">
      <c r="A64" s="371" t="s">
        <v>82</v>
      </c>
      <c r="B64" s="698" t="s">
        <v>49</v>
      </c>
      <c r="C64" s="698"/>
      <c r="D64" s="698"/>
      <c r="E64" s="698"/>
      <c r="F64" s="372"/>
      <c r="G64" s="372">
        <f>104647.76-J50-1250-1250</f>
        <v>102147.76</v>
      </c>
      <c r="H64" s="372">
        <f>90450.47-J64-H67</f>
        <v>70469.06</v>
      </c>
      <c r="I64" s="372">
        <f>H53</f>
        <v>3458.75</v>
      </c>
      <c r="J64" s="372">
        <f>'June''17 AR Aging '!G41</f>
        <v>19981.41</v>
      </c>
      <c r="K64" s="373">
        <f>+I64+J64+H64-G64</f>
        <v>-8238.5399999999936</v>
      </c>
      <c r="L64" s="46"/>
      <c r="M64" s="46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25" customFormat="1" hidden="1" x14ac:dyDescent="0.2">
      <c r="A65" s="374" t="s">
        <v>38</v>
      </c>
      <c r="B65" s="697" t="s">
        <v>33</v>
      </c>
      <c r="C65" s="697"/>
      <c r="D65" s="697"/>
      <c r="E65" s="697"/>
      <c r="F65" s="369"/>
      <c r="G65" s="369"/>
      <c r="H65" s="369">
        <v>0</v>
      </c>
      <c r="I65" s="370"/>
      <c r="J65" s="369">
        <v>0</v>
      </c>
      <c r="K65" s="375"/>
      <c r="L65" s="340"/>
      <c r="M65" s="340">
        <v>0</v>
      </c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18" customFormat="1" hidden="1" x14ac:dyDescent="0.2">
      <c r="A66" s="374" t="s">
        <v>24</v>
      </c>
      <c r="B66" s="699" t="s">
        <v>164</v>
      </c>
      <c r="C66" s="700"/>
      <c r="D66" s="700"/>
      <c r="E66" s="701"/>
      <c r="F66" s="369"/>
      <c r="G66" s="369"/>
      <c r="H66" s="369"/>
      <c r="I66" s="370"/>
      <c r="J66" s="369"/>
      <c r="K66" s="375"/>
      <c r="L66" s="340"/>
      <c r="M66" s="340"/>
      <c r="N66" s="29"/>
      <c r="O66" s="29"/>
      <c r="P66" s="29"/>
      <c r="Q66" s="29"/>
      <c r="R66" s="29"/>
      <c r="S66" s="29"/>
      <c r="T66" s="29"/>
      <c r="U66" s="1"/>
      <c r="V66" s="29"/>
      <c r="W66" s="29"/>
      <c r="X66" s="29"/>
      <c r="Y66" s="29"/>
      <c r="Z66" s="29"/>
      <c r="AA66" s="29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18" customFormat="1" ht="15" hidden="1" thickBot="1" x14ac:dyDescent="0.25">
      <c r="A67" s="376" t="s">
        <v>163</v>
      </c>
      <c r="B67" s="696" t="s">
        <v>49</v>
      </c>
      <c r="C67" s="696"/>
      <c r="D67" s="696"/>
      <c r="E67" s="696"/>
      <c r="F67" s="377"/>
      <c r="G67" s="377"/>
      <c r="H67" s="377">
        <v>0</v>
      </c>
      <c r="I67" s="377"/>
      <c r="J67" s="377">
        <f>'June''17 AR Aging '!G40</f>
        <v>0</v>
      </c>
      <c r="K67" s="378"/>
      <c r="L67" s="46"/>
      <c r="M67" s="46"/>
      <c r="N67" s="29"/>
      <c r="O67" s="29"/>
      <c r="P67" s="29"/>
      <c r="Q67" s="29"/>
      <c r="R67" s="29"/>
      <c r="S67" s="29"/>
      <c r="T67" s="29"/>
      <c r="U67" s="1"/>
      <c r="V67" s="29"/>
      <c r="W67" s="29"/>
      <c r="X67" s="29"/>
      <c r="Y67" s="29"/>
      <c r="Z67" s="29"/>
      <c r="AA67" s="2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F68" s="250"/>
      <c r="G68" s="251"/>
      <c r="H68" s="250"/>
      <c r="I68" s="250"/>
      <c r="J68" s="250">
        <f>J64+I60+H29+J67</f>
        <v>256329.25</v>
      </c>
      <c r="K68" s="250" t="s">
        <v>55</v>
      </c>
      <c r="N68" s="29"/>
    </row>
    <row r="69" spans="1:48" x14ac:dyDescent="0.2">
      <c r="F69" s="250"/>
      <c r="G69" s="251"/>
      <c r="H69" s="250"/>
      <c r="I69" s="250"/>
      <c r="J69" s="271">
        <f>'June''17 AR Aging '!G62</f>
        <v>256329.25</v>
      </c>
      <c r="K69" s="250" t="s">
        <v>413</v>
      </c>
      <c r="N69" s="29"/>
    </row>
    <row r="70" spans="1:48" ht="15" customHeight="1" x14ac:dyDescent="0.2">
      <c r="F70" s="250"/>
      <c r="G70" s="251"/>
      <c r="H70" s="250"/>
      <c r="I70" s="250"/>
      <c r="J70" s="601">
        <f>J69-J68</f>
        <v>0</v>
      </c>
      <c r="K70" s="250" t="s">
        <v>378</v>
      </c>
      <c r="N70" s="29"/>
    </row>
    <row r="71" spans="1:48" ht="15" customHeight="1" x14ac:dyDescent="0.2">
      <c r="C71" s="8"/>
      <c r="E71" s="9"/>
    </row>
    <row r="80" spans="1:48" x14ac:dyDescent="0.2">
      <c r="A80" s="10"/>
      <c r="B80" s="1"/>
      <c r="C80" s="6"/>
      <c r="D80" s="6"/>
      <c r="E80" s="7"/>
      <c r="F80" s="29"/>
      <c r="G80" s="29"/>
      <c r="I80" s="29"/>
      <c r="J80" s="29"/>
      <c r="K80" s="29"/>
      <c r="L80" s="29"/>
    </row>
  </sheetData>
  <mergeCells count="27">
    <mergeCell ref="B56:E56"/>
    <mergeCell ref="B39:C39"/>
    <mergeCell ref="B37:C37"/>
    <mergeCell ref="B38:C38"/>
    <mergeCell ref="B40:C40"/>
    <mergeCell ref="B67:E67"/>
    <mergeCell ref="B57:E57"/>
    <mergeCell ref="B65:E65"/>
    <mergeCell ref="B59:E59"/>
    <mergeCell ref="B64:E64"/>
    <mergeCell ref="B66:E66"/>
    <mergeCell ref="B33:C33"/>
    <mergeCell ref="B55:E55"/>
    <mergeCell ref="B46:E46"/>
    <mergeCell ref="B35:C35"/>
    <mergeCell ref="B41:C41"/>
    <mergeCell ref="B42:C42"/>
    <mergeCell ref="B47:E47"/>
    <mergeCell ref="B48:E48"/>
    <mergeCell ref="B53:E53"/>
    <mergeCell ref="B54:E54"/>
    <mergeCell ref="B34:C34"/>
    <mergeCell ref="B36:C36"/>
    <mergeCell ref="B49:E49"/>
    <mergeCell ref="B50:E50"/>
    <mergeCell ref="B51:E51"/>
    <mergeCell ref="B52:E52"/>
  </mergeCells>
  <pageMargins left="0.45" right="0" top="0.75" bottom="0" header="0.3" footer="0.05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35"/>
  <sheetViews>
    <sheetView topLeftCell="A13" zoomScale="75" zoomScaleNormal="75" workbookViewId="0">
      <selection activeCell="C14" sqref="C14"/>
    </sheetView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397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398</v>
      </c>
      <c r="D4" s="93" t="s">
        <v>403</v>
      </c>
      <c r="E4" s="93" t="s">
        <v>365</v>
      </c>
      <c r="F4" s="93" t="s">
        <v>404</v>
      </c>
      <c r="G4" s="93" t="s">
        <v>81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704" t="s">
        <v>76</v>
      </c>
      <c r="B5" s="705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368" customFormat="1" ht="24.95" hidden="1" customHeight="1" x14ac:dyDescent="0.25">
      <c r="A6" s="363"/>
      <c r="B6" s="125" t="s">
        <v>258</v>
      </c>
      <c r="C6" s="364"/>
      <c r="D6" s="164"/>
      <c r="E6" s="618"/>
      <c r="F6" s="365"/>
      <c r="G6" s="166">
        <f>ROUND(SUM(C6:F6),5)</f>
        <v>0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7"/>
      <c r="JF6" s="367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7"/>
      <c r="JY6" s="367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7"/>
      <c r="KR6" s="367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7"/>
      <c r="LK6" s="367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7"/>
      <c r="MD6" s="367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7"/>
      <c r="MW6" s="367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7"/>
      <c r="NP6" s="367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7"/>
      <c r="OI6" s="367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7"/>
      <c r="PB6" s="367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7"/>
      <c r="PU6" s="367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7"/>
      <c r="QN6" s="367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7"/>
      <c r="RG6" s="367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7"/>
      <c r="RZ6" s="367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7"/>
      <c r="SS6" s="367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7"/>
      <c r="TL6" s="367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7"/>
      <c r="UE6" s="367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7"/>
      <c r="UX6" s="367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7"/>
      <c r="VQ6" s="367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7"/>
      <c r="WJ6" s="367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7"/>
      <c r="XC6" s="367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7"/>
      <c r="XV6" s="367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7"/>
      <c r="YO6" s="367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7"/>
      <c r="ZH6" s="367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7"/>
      <c r="AAA6" s="367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7"/>
      <c r="AAT6" s="367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7"/>
      <c r="ABM6" s="367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7"/>
      <c r="ACF6" s="367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7"/>
      <c r="ACY6" s="367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7"/>
      <c r="ADR6" s="367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7"/>
      <c r="AEK6" s="367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7"/>
      <c r="AFD6" s="367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7"/>
      <c r="AFW6" s="367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7"/>
      <c r="AGP6" s="367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7"/>
      <c r="AHI6" s="367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7"/>
      <c r="AIB6" s="367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7"/>
      <c r="AIU6" s="367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7"/>
      <c r="AJN6" s="367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7"/>
      <c r="AKG6" s="367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7"/>
      <c r="AKZ6" s="367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7"/>
      <c r="ALS6" s="367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7"/>
      <c r="AML6" s="367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7"/>
      <c r="ANE6" s="367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7"/>
      <c r="ANX6" s="367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7"/>
      <c r="AOQ6" s="367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7"/>
      <c r="APJ6" s="367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7"/>
      <c r="AQC6" s="367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7"/>
      <c r="AQV6" s="367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7"/>
      <c r="ARO6" s="367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7"/>
      <c r="ASH6" s="367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7"/>
      <c r="ATA6" s="367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7"/>
      <c r="ATT6" s="367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7"/>
      <c r="AUM6" s="367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7"/>
      <c r="AVF6" s="367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7"/>
      <c r="AVY6" s="367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7"/>
      <c r="AWR6" s="367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7"/>
      <c r="AXK6" s="367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7"/>
      <c r="AYD6" s="367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7"/>
      <c r="AYW6" s="367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7"/>
      <c r="AZP6" s="367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7"/>
      <c r="BAI6" s="367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7"/>
      <c r="BBB6" s="367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7"/>
      <c r="BBU6" s="367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7"/>
      <c r="BCN6" s="367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7"/>
      <c r="BDG6" s="367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7"/>
      <c r="BDZ6" s="367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7"/>
      <c r="BES6" s="367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7"/>
      <c r="BFL6" s="367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7"/>
      <c r="BGE6" s="367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7"/>
      <c r="BGX6" s="367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7"/>
      <c r="BHQ6" s="367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7"/>
      <c r="BIJ6" s="367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7"/>
      <c r="BJC6" s="367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7"/>
      <c r="BJV6" s="367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7"/>
      <c r="BKO6" s="367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7"/>
      <c r="BLH6" s="367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7"/>
      <c r="BMA6" s="367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7"/>
      <c r="BMT6" s="367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7"/>
      <c r="BNM6" s="367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7"/>
      <c r="BOF6" s="367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7"/>
      <c r="BOY6" s="367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7"/>
      <c r="BPR6" s="367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7"/>
      <c r="BQK6" s="367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7"/>
      <c r="BRD6" s="367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7"/>
      <c r="BRW6" s="367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7"/>
      <c r="BSP6" s="367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7"/>
      <c r="BTI6" s="367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7"/>
      <c r="BUB6" s="367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7"/>
      <c r="BUU6" s="367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7"/>
      <c r="BVN6" s="367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7"/>
      <c r="BWG6" s="367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7"/>
      <c r="BWZ6" s="367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7"/>
      <c r="BXS6" s="367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</row>
    <row r="7" spans="1:2009" s="97" customFormat="1" ht="24.95" customHeight="1" x14ac:dyDescent="0.25">
      <c r="A7" s="130"/>
      <c r="B7" s="125" t="s">
        <v>366</v>
      </c>
      <c r="C7" s="164">
        <v>46168.14</v>
      </c>
      <c r="D7" s="164"/>
      <c r="E7" s="164"/>
      <c r="F7" s="165"/>
      <c r="G7" s="166">
        <f>ROUND(SUM(C7:F7),5)</f>
        <v>46168.14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172</v>
      </c>
      <c r="C8" s="209">
        <f>SUM(C7)</f>
        <v>46168.14</v>
      </c>
      <c r="D8" s="209"/>
      <c r="E8" s="209"/>
      <c r="F8" s="209"/>
      <c r="G8" s="210">
        <f>ROUND(SUM(G3:G7),5)</f>
        <v>46168.14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77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hidden="1" customHeight="1" x14ac:dyDescent="0.25">
      <c r="A11" s="133"/>
      <c r="B11" s="103" t="s">
        <v>51</v>
      </c>
      <c r="C11" s="171"/>
      <c r="D11" s="171"/>
      <c r="E11" s="172"/>
      <c r="F11" s="172"/>
      <c r="G11" s="173">
        <f>ROUND(SUM(C11:F11),5)</f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167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329</v>
      </c>
      <c r="C13" s="171">
        <f>33473.55+5172</f>
        <v>38645.550000000003</v>
      </c>
      <c r="D13" s="171">
        <f>20313.35+601.14</f>
        <v>20914.489999999998</v>
      </c>
      <c r="E13" s="172"/>
      <c r="F13" s="172"/>
      <c r="G13" s="173">
        <f>ROUND(SUM(C13:F13),5)</f>
        <v>59560.04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151</v>
      </c>
      <c r="C14" s="216">
        <f>ROUND(SUM(C10:C13),5)</f>
        <v>38645.550000000003</v>
      </c>
      <c r="D14" s="216">
        <f>SUM(D12:D13)</f>
        <v>20914.489999999998</v>
      </c>
      <c r="E14" s="216"/>
      <c r="F14" s="216"/>
      <c r="G14" s="217">
        <f>ROUND(SUM(G10:G13),5)</f>
        <v>59560.04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78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customHeight="1" x14ac:dyDescent="0.25">
      <c r="A17" s="136"/>
      <c r="B17" s="105" t="s">
        <v>235</v>
      </c>
      <c r="C17" s="179">
        <v>731.19</v>
      </c>
      <c r="D17" s="179"/>
      <c r="E17" s="180"/>
      <c r="F17" s="180"/>
      <c r="G17" s="181">
        <f t="shared" ref="G17:G22" si="0">ROUND(SUM(C17:F17),5)</f>
        <v>731.19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hidden="1" customHeight="1" x14ac:dyDescent="0.25">
      <c r="A18" s="136"/>
      <c r="B18" s="105" t="s">
        <v>259</v>
      </c>
      <c r="C18" s="179"/>
      <c r="D18" s="179"/>
      <c r="E18" s="180"/>
      <c r="F18" s="180"/>
      <c r="G18" s="181">
        <f t="shared" si="0"/>
        <v>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367</v>
      </c>
      <c r="C19" s="179">
        <v>10714.99</v>
      </c>
      <c r="D19" s="179">
        <v>11372.31</v>
      </c>
      <c r="E19" s="180"/>
      <c r="F19" s="180"/>
      <c r="G19" s="181">
        <f t="shared" si="0"/>
        <v>22087.3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hidden="1" customHeight="1" x14ac:dyDescent="0.25">
      <c r="A20" s="136"/>
      <c r="B20" s="105" t="s">
        <v>260</v>
      </c>
      <c r="C20" s="179"/>
      <c r="D20" s="179"/>
      <c r="E20" s="180"/>
      <c r="F20" s="180"/>
      <c r="G20" s="181">
        <f t="shared" si="0"/>
        <v>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4" customFormat="1" ht="24.95" customHeight="1" x14ac:dyDescent="0.25">
      <c r="A21" s="136"/>
      <c r="B21" s="105" t="s">
        <v>368</v>
      </c>
      <c r="C21" s="179">
        <v>2641.78</v>
      </c>
      <c r="D21" s="179">
        <v>43.64</v>
      </c>
      <c r="E21" s="180"/>
      <c r="F21" s="180"/>
      <c r="G21" s="181">
        <f t="shared" si="0"/>
        <v>2685.42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</row>
    <row r="22" spans="1:2009" s="106" customFormat="1" ht="24.95" customHeight="1" x14ac:dyDescent="0.25">
      <c r="A22" s="137"/>
      <c r="B22" s="126" t="s">
        <v>328</v>
      </c>
      <c r="C22" s="179">
        <v>1449.21</v>
      </c>
      <c r="D22" s="179">
        <v>2871.65</v>
      </c>
      <c r="E22" s="180"/>
      <c r="F22" s="180"/>
      <c r="G22" s="181">
        <f t="shared" si="0"/>
        <v>4320.8599999999997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</row>
    <row r="23" spans="1:2009" s="225" customFormat="1" ht="24.95" customHeight="1" thickBot="1" x14ac:dyDescent="0.3">
      <c r="A23" s="219"/>
      <c r="B23" s="220" t="s">
        <v>79</v>
      </c>
      <c r="C23" s="221">
        <f>SUM(C17:C22)</f>
        <v>15537.170000000002</v>
      </c>
      <c r="D23" s="221">
        <f>SUM(D17:D22)</f>
        <v>14287.599999999999</v>
      </c>
      <c r="E23" s="221"/>
      <c r="F23" s="221"/>
      <c r="G23" s="222">
        <f>SUM(G17:G22)</f>
        <v>29824.769999999997</v>
      </c>
      <c r="H23" s="223"/>
      <c r="I23" s="223"/>
      <c r="J23" s="223"/>
      <c r="K23" s="476"/>
      <c r="L23"/>
      <c r="M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4"/>
      <c r="OR23" s="224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4"/>
      <c r="PW23" s="224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4"/>
      <c r="RA23" s="224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4"/>
      <c r="SF23" s="224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4"/>
      <c r="TK23" s="224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4"/>
      <c r="UO23" s="224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4"/>
      <c r="VT23" s="224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4"/>
      <c r="WX23" s="224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4"/>
      <c r="YC23" s="224"/>
      <c r="YD23" s="224"/>
      <c r="YE23" s="224"/>
      <c r="YF23" s="224"/>
      <c r="YG23" s="224"/>
      <c r="YH23" s="224"/>
      <c r="YI23" s="224"/>
      <c r="YJ23" s="224"/>
      <c r="YK23" s="224"/>
      <c r="YL23" s="224"/>
      <c r="YM23" s="224"/>
      <c r="YN23" s="224"/>
      <c r="YO23" s="224"/>
      <c r="YP23" s="224"/>
      <c r="YQ23" s="224"/>
      <c r="YR23" s="224"/>
      <c r="YS23" s="224"/>
      <c r="YT23" s="224"/>
      <c r="YU23" s="224"/>
      <c r="YV23" s="224"/>
      <c r="YW23" s="224"/>
      <c r="YX23" s="224"/>
      <c r="YY23" s="224"/>
      <c r="YZ23" s="224"/>
      <c r="ZA23" s="224"/>
      <c r="ZB23" s="224"/>
      <c r="ZC23" s="224"/>
      <c r="ZD23" s="224"/>
      <c r="ZE23" s="224"/>
      <c r="ZF23" s="224"/>
      <c r="ZG23" s="224"/>
      <c r="ZH23" s="224"/>
      <c r="ZI23" s="224"/>
      <c r="ZJ23" s="224"/>
      <c r="ZK23" s="224"/>
      <c r="ZL23" s="224"/>
      <c r="ZM23" s="224"/>
      <c r="ZN23" s="224"/>
      <c r="ZO23" s="224"/>
      <c r="ZP23" s="224"/>
      <c r="ZQ23" s="224"/>
      <c r="ZR23" s="224"/>
      <c r="ZS23" s="224"/>
      <c r="ZT23" s="224"/>
      <c r="ZU23" s="224"/>
      <c r="ZV23" s="224"/>
      <c r="ZW23" s="224"/>
      <c r="ZX23" s="224"/>
      <c r="ZY23" s="224"/>
      <c r="ZZ23" s="224"/>
      <c r="AAA23" s="224"/>
      <c r="AAB23" s="224"/>
      <c r="AAC23" s="224"/>
      <c r="AAD23" s="224"/>
      <c r="AAE23" s="224"/>
      <c r="AAF23" s="224"/>
      <c r="AAG23" s="224"/>
      <c r="AAH23" s="224"/>
      <c r="AAI23" s="224"/>
      <c r="AAJ23" s="224"/>
      <c r="AAK23" s="224"/>
      <c r="AAL23" s="224"/>
      <c r="AAM23" s="224"/>
      <c r="AAN23" s="224"/>
      <c r="AAO23" s="224"/>
      <c r="AAP23" s="224"/>
      <c r="AAQ23" s="224"/>
      <c r="AAR23" s="224"/>
      <c r="AAS23" s="224"/>
      <c r="AAT23" s="224"/>
      <c r="AAU23" s="224"/>
      <c r="AAV23" s="224"/>
      <c r="AAW23" s="224"/>
      <c r="AAX23" s="224"/>
      <c r="AAY23" s="224"/>
      <c r="AAZ23" s="224"/>
      <c r="ABA23" s="224"/>
      <c r="ABB23" s="224"/>
      <c r="ABC23" s="224"/>
      <c r="ABD23" s="224"/>
      <c r="ABE23" s="224"/>
      <c r="ABF23" s="224"/>
      <c r="ABG23" s="224"/>
      <c r="ABH23" s="224"/>
      <c r="ABI23" s="224"/>
      <c r="ABJ23" s="224"/>
      <c r="ABK23" s="224"/>
      <c r="ABL23" s="224"/>
      <c r="ABM23" s="224"/>
      <c r="ABN23" s="224"/>
      <c r="ABO23" s="224"/>
      <c r="ABP23" s="224"/>
      <c r="ABQ23" s="224"/>
      <c r="ABR23" s="224"/>
      <c r="ABS23" s="224"/>
      <c r="ABT23" s="224"/>
      <c r="ABU23" s="224"/>
      <c r="ABV23" s="224"/>
      <c r="ABW23" s="224"/>
      <c r="ABX23" s="224"/>
      <c r="ABY23" s="224"/>
      <c r="ABZ23" s="224"/>
      <c r="ACA23" s="224"/>
      <c r="ACB23" s="224"/>
      <c r="ACC23" s="224"/>
      <c r="ACD23" s="224"/>
      <c r="ACE23" s="224"/>
      <c r="ACF23" s="224"/>
      <c r="ACG23" s="224"/>
      <c r="ACH23" s="224"/>
      <c r="ACI23" s="224"/>
      <c r="ACJ23" s="224"/>
      <c r="ACK23" s="224"/>
      <c r="ACL23" s="224"/>
      <c r="ACM23" s="224"/>
      <c r="ACN23" s="224"/>
      <c r="ACO23" s="224"/>
      <c r="ACP23" s="224"/>
      <c r="ACQ23" s="224"/>
      <c r="ACR23" s="224"/>
      <c r="ACS23" s="224"/>
      <c r="ACT23" s="224"/>
      <c r="ACU23" s="224"/>
      <c r="ACV23" s="224"/>
      <c r="ACW23" s="224"/>
      <c r="ACX23" s="224"/>
      <c r="ACY23" s="224"/>
      <c r="ACZ23" s="224"/>
      <c r="ADA23" s="224"/>
      <c r="ADB23" s="224"/>
      <c r="ADC23" s="224"/>
      <c r="ADD23" s="224"/>
      <c r="ADE23" s="224"/>
      <c r="ADF23" s="224"/>
      <c r="ADG23" s="224"/>
      <c r="ADH23" s="224"/>
      <c r="ADI23" s="224"/>
      <c r="ADJ23" s="224"/>
      <c r="ADK23" s="224"/>
      <c r="ADL23" s="224"/>
      <c r="ADM23" s="224"/>
      <c r="ADN23" s="224"/>
      <c r="ADO23" s="224"/>
      <c r="ADP23" s="224"/>
      <c r="ADQ23" s="224"/>
      <c r="ADR23" s="224"/>
      <c r="ADS23" s="224"/>
      <c r="ADT23" s="224"/>
      <c r="ADU23" s="224"/>
      <c r="ADV23" s="224"/>
      <c r="ADW23" s="224"/>
      <c r="ADX23" s="224"/>
      <c r="ADY23" s="224"/>
      <c r="ADZ23" s="224"/>
      <c r="AEA23" s="224"/>
      <c r="AEB23" s="224"/>
      <c r="AEC23" s="224"/>
      <c r="AED23" s="224"/>
      <c r="AEE23" s="224"/>
      <c r="AEF23" s="224"/>
      <c r="AEG23" s="224"/>
      <c r="AEH23" s="224"/>
      <c r="AEI23" s="224"/>
      <c r="AEJ23" s="224"/>
      <c r="AEK23" s="224"/>
      <c r="AEL23" s="224"/>
      <c r="AEM23" s="224"/>
      <c r="AEN23" s="224"/>
      <c r="AEO23" s="224"/>
      <c r="AEP23" s="224"/>
      <c r="AEQ23" s="224"/>
      <c r="AER23" s="224"/>
      <c r="AES23" s="224"/>
      <c r="AET23" s="224"/>
      <c r="AEU23" s="224"/>
      <c r="AEV23" s="224"/>
      <c r="AEW23" s="224"/>
      <c r="AEX23" s="224"/>
      <c r="AEY23" s="224"/>
      <c r="AEZ23" s="224"/>
      <c r="AFA23" s="224"/>
      <c r="AFB23" s="224"/>
      <c r="AFC23" s="224"/>
      <c r="AFD23" s="224"/>
      <c r="AFE23" s="224"/>
      <c r="AFF23" s="224"/>
      <c r="AFG23" s="224"/>
      <c r="AFH23" s="224"/>
      <c r="AFI23" s="224"/>
      <c r="AFJ23" s="224"/>
      <c r="AFK23" s="224"/>
      <c r="AFL23" s="224"/>
      <c r="AFM23" s="224"/>
      <c r="AFN23" s="224"/>
      <c r="AFO23" s="224"/>
      <c r="AFP23" s="224"/>
      <c r="AFQ23" s="224"/>
      <c r="AFR23" s="224"/>
      <c r="AFS23" s="224"/>
      <c r="AFT23" s="224"/>
      <c r="AFU23" s="224"/>
      <c r="AFV23" s="224"/>
      <c r="AFW23" s="224"/>
      <c r="AFX23" s="224"/>
      <c r="AFY23" s="224"/>
      <c r="AFZ23" s="224"/>
      <c r="AGA23" s="224"/>
      <c r="AGB23" s="224"/>
      <c r="AGC23" s="224"/>
      <c r="AGD23" s="224"/>
      <c r="AGE23" s="224"/>
      <c r="AGF23" s="224"/>
      <c r="AGG23" s="224"/>
      <c r="AGH23" s="224"/>
      <c r="AGI23" s="224"/>
      <c r="AGJ23" s="224"/>
      <c r="AGK23" s="224"/>
      <c r="AGL23" s="224"/>
      <c r="AGM23" s="224"/>
      <c r="AGN23" s="224"/>
      <c r="AGO23" s="224"/>
      <c r="AGP23" s="224"/>
      <c r="AGQ23" s="224"/>
      <c r="AGR23" s="224"/>
      <c r="AGS23" s="224"/>
      <c r="AGT23" s="224"/>
      <c r="AGU23" s="224"/>
      <c r="AGV23" s="224"/>
      <c r="AGW23" s="224"/>
      <c r="AGX23" s="224"/>
      <c r="AGY23" s="224"/>
      <c r="AGZ23" s="224"/>
      <c r="AHA23" s="224"/>
      <c r="AHB23" s="224"/>
      <c r="AHC23" s="224"/>
      <c r="AHD23" s="224"/>
      <c r="AHE23" s="224"/>
      <c r="AHF23" s="224"/>
      <c r="AHG23" s="224"/>
      <c r="AHH23" s="224"/>
      <c r="AHI23" s="224"/>
      <c r="AHJ23" s="224"/>
      <c r="AHK23" s="224"/>
      <c r="AHL23" s="224"/>
      <c r="AHM23" s="224"/>
      <c r="AHN23" s="224"/>
      <c r="AHO23" s="224"/>
      <c r="AHP23" s="224"/>
      <c r="AHQ23" s="224"/>
      <c r="AHR23" s="224"/>
      <c r="AHS23" s="224"/>
      <c r="AHT23" s="224"/>
      <c r="AHU23" s="224"/>
      <c r="AHV23" s="224"/>
      <c r="AHW23" s="224"/>
      <c r="AHX23" s="224"/>
      <c r="AHY23" s="224"/>
      <c r="AHZ23" s="224"/>
      <c r="AIA23" s="224"/>
      <c r="AIB23" s="224"/>
      <c r="AIC23" s="224"/>
      <c r="AID23" s="224"/>
      <c r="AIE23" s="224"/>
      <c r="AIF23" s="224"/>
      <c r="AIG23" s="224"/>
      <c r="AIH23" s="224"/>
      <c r="AII23" s="224"/>
      <c r="AIJ23" s="224"/>
      <c r="AIK23" s="224"/>
      <c r="AIL23" s="224"/>
      <c r="AIM23" s="224"/>
      <c r="AIN23" s="224"/>
      <c r="AIO23" s="224"/>
      <c r="AIP23" s="224"/>
      <c r="AIQ23" s="224"/>
      <c r="AIR23" s="224"/>
      <c r="AIS23" s="224"/>
      <c r="AIT23" s="224"/>
      <c r="AIU23" s="224"/>
      <c r="AIV23" s="224"/>
      <c r="AIW23" s="224"/>
      <c r="AIX23" s="224"/>
      <c r="AIY23" s="224"/>
      <c r="AIZ23" s="224"/>
      <c r="AJA23" s="224"/>
      <c r="AJB23" s="224"/>
      <c r="AJC23" s="224"/>
      <c r="AJD23" s="224"/>
      <c r="AJE23" s="224"/>
      <c r="AJF23" s="224"/>
      <c r="AJG23" s="224"/>
      <c r="AJH23" s="224"/>
      <c r="AJI23" s="224"/>
      <c r="AJJ23" s="224"/>
      <c r="AJK23" s="224"/>
      <c r="AJL23" s="224"/>
      <c r="AJM23" s="224"/>
      <c r="AJN23" s="224"/>
      <c r="AJO23" s="224"/>
      <c r="AJP23" s="224"/>
      <c r="AJQ23" s="224"/>
      <c r="AJR23" s="224"/>
      <c r="AJS23" s="224"/>
      <c r="AJT23" s="224"/>
      <c r="AJU23" s="224"/>
      <c r="AJV23" s="224"/>
      <c r="AJW23" s="224"/>
      <c r="AJX23" s="224"/>
      <c r="AJY23" s="224"/>
      <c r="AJZ23" s="224"/>
      <c r="AKA23" s="224"/>
      <c r="AKB23" s="224"/>
      <c r="AKC23" s="224"/>
      <c r="AKD23" s="224"/>
      <c r="AKE23" s="224"/>
      <c r="AKF23" s="224"/>
      <c r="AKG23" s="224"/>
      <c r="AKH23" s="224"/>
      <c r="AKI23" s="224"/>
      <c r="AKJ23" s="224"/>
      <c r="AKK23" s="224"/>
      <c r="AKL23" s="224"/>
      <c r="AKM23" s="224"/>
      <c r="AKN23" s="224"/>
      <c r="AKO23" s="224"/>
      <c r="AKP23" s="224"/>
      <c r="AKQ23" s="224"/>
      <c r="AKR23" s="224"/>
      <c r="AKS23" s="224"/>
      <c r="AKT23" s="224"/>
      <c r="AKU23" s="224"/>
      <c r="AKV23" s="224"/>
      <c r="AKW23" s="224"/>
      <c r="AKX23" s="224"/>
      <c r="AKY23" s="224"/>
      <c r="AKZ23" s="224"/>
      <c r="ALA23" s="224"/>
      <c r="ALB23" s="224"/>
      <c r="ALC23" s="224"/>
      <c r="ALD23" s="224"/>
      <c r="ALE23" s="224"/>
      <c r="ALF23" s="224"/>
      <c r="ALG23" s="224"/>
      <c r="ALH23" s="224"/>
      <c r="ALI23" s="224"/>
      <c r="ALJ23" s="224"/>
      <c r="ALK23" s="224"/>
      <c r="ALL23" s="224"/>
      <c r="ALM23" s="224"/>
      <c r="ALN23" s="224"/>
      <c r="ALO23" s="224"/>
      <c r="ALP23" s="224"/>
      <c r="ALQ23" s="224"/>
      <c r="ALR23" s="224"/>
      <c r="ALS23" s="224"/>
      <c r="ALT23" s="224"/>
      <c r="ALU23" s="224"/>
      <c r="ALV23" s="224"/>
      <c r="ALW23" s="224"/>
      <c r="ALX23" s="224"/>
      <c r="ALY23" s="224"/>
      <c r="ALZ23" s="224"/>
      <c r="AMA23" s="224"/>
      <c r="AMB23" s="224"/>
      <c r="AMC23" s="224"/>
      <c r="AMD23" s="224"/>
      <c r="AME23" s="224"/>
      <c r="AMF23" s="224"/>
      <c r="AMG23" s="224"/>
      <c r="AMH23" s="224"/>
      <c r="AMI23" s="224"/>
      <c r="AMJ23" s="224"/>
      <c r="AMK23" s="224"/>
      <c r="AML23" s="224"/>
      <c r="AMM23" s="224"/>
      <c r="AMN23" s="224"/>
      <c r="AMO23" s="224"/>
      <c r="AMP23" s="224"/>
      <c r="AMQ23" s="224"/>
      <c r="AMR23" s="224"/>
      <c r="AMS23" s="224"/>
      <c r="AMT23" s="224"/>
      <c r="AMU23" s="224"/>
      <c r="AMV23" s="224"/>
      <c r="AMW23" s="224"/>
      <c r="AMX23" s="224"/>
      <c r="AMY23" s="224"/>
      <c r="AMZ23" s="224"/>
      <c r="ANA23" s="224"/>
      <c r="ANB23" s="224"/>
      <c r="ANC23" s="224"/>
      <c r="AND23" s="224"/>
      <c r="ANE23" s="224"/>
      <c r="ANF23" s="224"/>
      <c r="ANG23" s="224"/>
      <c r="ANH23" s="224"/>
      <c r="ANI23" s="224"/>
      <c r="ANJ23" s="224"/>
      <c r="ANK23" s="224"/>
      <c r="ANL23" s="224"/>
      <c r="ANM23" s="224"/>
      <c r="ANN23" s="224"/>
      <c r="ANO23" s="224"/>
      <c r="ANP23" s="224"/>
      <c r="ANQ23" s="224"/>
      <c r="ANR23" s="224"/>
      <c r="ANS23" s="224"/>
      <c r="ANT23" s="224"/>
      <c r="ANU23" s="224"/>
      <c r="ANV23" s="224"/>
      <c r="ANW23" s="224"/>
      <c r="ANX23" s="224"/>
      <c r="ANY23" s="224"/>
      <c r="ANZ23" s="224"/>
      <c r="AOA23" s="224"/>
      <c r="AOB23" s="224"/>
      <c r="AOC23" s="224"/>
      <c r="AOD23" s="224"/>
      <c r="AOE23" s="224"/>
      <c r="AOF23" s="224"/>
      <c r="AOG23" s="224"/>
      <c r="AOH23" s="224"/>
      <c r="AOI23" s="224"/>
      <c r="AOJ23" s="224"/>
      <c r="AOK23" s="224"/>
      <c r="AOL23" s="224"/>
      <c r="AOM23" s="224"/>
      <c r="AON23" s="224"/>
      <c r="AOO23" s="224"/>
      <c r="AOP23" s="224"/>
      <c r="AOQ23" s="224"/>
      <c r="AOR23" s="224"/>
      <c r="AOS23" s="224"/>
      <c r="AOT23" s="224"/>
      <c r="AOU23" s="224"/>
      <c r="AOV23" s="224"/>
      <c r="AOW23" s="224"/>
      <c r="AOX23" s="224"/>
      <c r="AOY23" s="224"/>
      <c r="AOZ23" s="224"/>
      <c r="APA23" s="224"/>
      <c r="APB23" s="224"/>
      <c r="APC23" s="224"/>
      <c r="APD23" s="224"/>
      <c r="APE23" s="224"/>
      <c r="APF23" s="224"/>
      <c r="APG23" s="224"/>
      <c r="APH23" s="224"/>
      <c r="API23" s="224"/>
      <c r="APJ23" s="224"/>
      <c r="APK23" s="224"/>
      <c r="APL23" s="224"/>
      <c r="APM23" s="224"/>
      <c r="APN23" s="224"/>
      <c r="APO23" s="224"/>
      <c r="APP23" s="224"/>
      <c r="APQ23" s="224"/>
      <c r="APR23" s="224"/>
      <c r="APS23" s="224"/>
      <c r="APT23" s="224"/>
      <c r="APU23" s="224"/>
      <c r="APV23" s="224"/>
      <c r="APW23" s="224"/>
      <c r="APX23" s="224"/>
      <c r="APY23" s="224"/>
      <c r="APZ23" s="224"/>
      <c r="AQA23" s="224"/>
      <c r="AQB23" s="224"/>
      <c r="AQC23" s="224"/>
      <c r="AQD23" s="224"/>
      <c r="AQE23" s="224"/>
      <c r="AQF23" s="224"/>
      <c r="AQG23" s="224"/>
      <c r="AQH23" s="224"/>
      <c r="AQI23" s="224"/>
      <c r="AQJ23" s="224"/>
      <c r="AQK23" s="224"/>
      <c r="AQL23" s="224"/>
      <c r="AQM23" s="224"/>
      <c r="AQN23" s="224"/>
      <c r="AQO23" s="224"/>
      <c r="AQP23" s="224"/>
      <c r="AQQ23" s="224"/>
      <c r="AQR23" s="224"/>
      <c r="AQS23" s="224"/>
      <c r="AQT23" s="224"/>
      <c r="AQU23" s="224"/>
      <c r="AQV23" s="224"/>
      <c r="AQW23" s="224"/>
      <c r="AQX23" s="224"/>
      <c r="AQY23" s="224"/>
      <c r="AQZ23" s="224"/>
      <c r="ARA23" s="224"/>
      <c r="ARB23" s="224"/>
      <c r="ARC23" s="224"/>
      <c r="ARD23" s="224"/>
      <c r="ARE23" s="224"/>
      <c r="ARF23" s="224"/>
      <c r="ARG23" s="224"/>
      <c r="ARH23" s="224"/>
      <c r="ARI23" s="224"/>
      <c r="ARJ23" s="224"/>
      <c r="ARK23" s="224"/>
      <c r="ARL23" s="224"/>
      <c r="ARM23" s="224"/>
      <c r="ARN23" s="224"/>
      <c r="ARO23" s="224"/>
      <c r="ARP23" s="224"/>
      <c r="ARQ23" s="224"/>
      <c r="ARR23" s="224"/>
      <c r="ARS23" s="224"/>
      <c r="ART23" s="224"/>
      <c r="ARU23" s="224"/>
      <c r="ARV23" s="224"/>
      <c r="ARW23" s="224"/>
      <c r="ARX23" s="224"/>
      <c r="ARY23" s="224"/>
      <c r="ARZ23" s="224"/>
      <c r="ASA23" s="224"/>
      <c r="ASB23" s="224"/>
      <c r="ASC23" s="224"/>
      <c r="ASD23" s="224"/>
      <c r="ASE23" s="224"/>
      <c r="ASF23" s="224"/>
      <c r="ASG23" s="224"/>
      <c r="ASH23" s="224"/>
      <c r="ASI23" s="224"/>
      <c r="ASJ23" s="224"/>
      <c r="ASK23" s="224"/>
      <c r="ASL23" s="224"/>
      <c r="ASM23" s="224"/>
      <c r="ASN23" s="224"/>
      <c r="ASO23" s="224"/>
      <c r="ASP23" s="224"/>
      <c r="ASQ23" s="224"/>
      <c r="ASR23" s="224"/>
      <c r="ASS23" s="224"/>
      <c r="AST23" s="224"/>
      <c r="ASU23" s="224"/>
      <c r="ASV23" s="224"/>
      <c r="ASW23" s="224"/>
      <c r="ASX23" s="224"/>
      <c r="ASY23" s="224"/>
      <c r="ASZ23" s="224"/>
      <c r="ATA23" s="224"/>
      <c r="ATB23" s="224"/>
      <c r="ATC23" s="224"/>
      <c r="ATD23" s="224"/>
      <c r="ATE23" s="224"/>
      <c r="ATF23" s="224"/>
      <c r="ATG23" s="224"/>
      <c r="ATH23" s="224"/>
      <c r="ATI23" s="224"/>
      <c r="ATJ23" s="224"/>
      <c r="ATK23" s="224"/>
      <c r="ATL23" s="224"/>
      <c r="ATM23" s="224"/>
      <c r="ATN23" s="224"/>
      <c r="ATO23" s="224"/>
      <c r="ATP23" s="224"/>
      <c r="ATQ23" s="224"/>
      <c r="ATR23" s="224"/>
      <c r="ATS23" s="224"/>
      <c r="ATT23" s="224"/>
      <c r="ATU23" s="224"/>
      <c r="ATV23" s="224"/>
      <c r="ATW23" s="224"/>
      <c r="ATX23" s="224"/>
      <c r="ATY23" s="224"/>
      <c r="ATZ23" s="224"/>
      <c r="AUA23" s="224"/>
      <c r="AUB23" s="224"/>
      <c r="AUC23" s="224"/>
      <c r="AUD23" s="224"/>
      <c r="AUE23" s="224"/>
      <c r="AUF23" s="224"/>
      <c r="AUG23" s="224"/>
      <c r="AUH23" s="224"/>
      <c r="AUI23" s="224"/>
      <c r="AUJ23" s="224"/>
      <c r="AUK23" s="224"/>
      <c r="AUL23" s="224"/>
      <c r="AUM23" s="224"/>
      <c r="AUN23" s="224"/>
      <c r="AUO23" s="224"/>
      <c r="AUP23" s="224"/>
      <c r="AUQ23" s="224"/>
      <c r="AUR23" s="224"/>
      <c r="AUS23" s="224"/>
      <c r="AUT23" s="224"/>
      <c r="AUU23" s="224"/>
      <c r="AUV23" s="224"/>
      <c r="AUW23" s="224"/>
      <c r="AUX23" s="224"/>
      <c r="AUY23" s="224"/>
      <c r="AUZ23" s="224"/>
      <c r="AVA23" s="224"/>
      <c r="AVB23" s="224"/>
      <c r="AVC23" s="224"/>
      <c r="AVD23" s="224"/>
      <c r="AVE23" s="224"/>
      <c r="AVF23" s="224"/>
      <c r="AVG23" s="224"/>
      <c r="AVH23" s="224"/>
      <c r="AVI23" s="224"/>
      <c r="AVJ23" s="224"/>
      <c r="AVK23" s="224"/>
      <c r="AVL23" s="224"/>
      <c r="AVM23" s="224"/>
      <c r="AVN23" s="224"/>
      <c r="AVO23" s="224"/>
      <c r="AVP23" s="224"/>
      <c r="AVQ23" s="224"/>
      <c r="AVR23" s="224"/>
      <c r="AVS23" s="224"/>
      <c r="AVT23" s="224"/>
      <c r="AVU23" s="224"/>
      <c r="AVV23" s="224"/>
      <c r="AVW23" s="224"/>
      <c r="AVX23" s="224"/>
      <c r="AVY23" s="224"/>
      <c r="AVZ23" s="224"/>
      <c r="AWA23" s="224"/>
      <c r="AWB23" s="224"/>
      <c r="AWC23" s="224"/>
      <c r="AWD23" s="224"/>
      <c r="AWE23" s="224"/>
      <c r="AWF23" s="224"/>
      <c r="AWG23" s="224"/>
      <c r="AWH23" s="224"/>
      <c r="AWI23" s="224"/>
      <c r="AWJ23" s="224"/>
      <c r="AWK23" s="224"/>
      <c r="AWL23" s="224"/>
      <c r="AWM23" s="224"/>
      <c r="AWN23" s="224"/>
      <c r="AWO23" s="224"/>
      <c r="AWP23" s="224"/>
      <c r="AWQ23" s="224"/>
      <c r="AWR23" s="224"/>
      <c r="AWS23" s="224"/>
      <c r="AWT23" s="224"/>
      <c r="AWU23" s="224"/>
      <c r="AWV23" s="224"/>
      <c r="AWW23" s="224"/>
      <c r="AWX23" s="224"/>
      <c r="AWY23" s="224"/>
      <c r="AWZ23" s="224"/>
      <c r="AXA23" s="224"/>
      <c r="AXB23" s="224"/>
      <c r="AXC23" s="224"/>
      <c r="AXD23" s="224"/>
      <c r="AXE23" s="224"/>
      <c r="AXF23" s="224"/>
      <c r="AXG23" s="224"/>
      <c r="AXH23" s="224"/>
      <c r="AXI23" s="224"/>
      <c r="AXJ23" s="224"/>
      <c r="AXK23" s="224"/>
      <c r="AXL23" s="224"/>
      <c r="AXM23" s="224"/>
      <c r="AXN23" s="224"/>
      <c r="AXO23" s="224"/>
      <c r="AXP23" s="224"/>
      <c r="AXQ23" s="224"/>
      <c r="AXR23" s="224"/>
      <c r="AXS23" s="224"/>
      <c r="AXT23" s="224"/>
      <c r="AXU23" s="224"/>
      <c r="AXV23" s="224"/>
      <c r="AXW23" s="224"/>
      <c r="AXX23" s="224"/>
      <c r="AXY23" s="224"/>
      <c r="AXZ23" s="224"/>
      <c r="AYA23" s="224"/>
      <c r="AYB23" s="224"/>
      <c r="AYC23" s="224"/>
      <c r="AYD23" s="224"/>
      <c r="AYE23" s="224"/>
      <c r="AYF23" s="224"/>
      <c r="AYG23" s="224"/>
      <c r="AYH23" s="224"/>
      <c r="AYI23" s="224"/>
      <c r="AYJ23" s="224"/>
      <c r="AYK23" s="224"/>
      <c r="AYL23" s="224"/>
      <c r="AYM23" s="224"/>
      <c r="AYN23" s="224"/>
      <c r="AYO23" s="224"/>
      <c r="AYP23" s="224"/>
      <c r="AYQ23" s="224"/>
      <c r="AYR23" s="224"/>
      <c r="AYS23" s="224"/>
      <c r="AYT23" s="224"/>
      <c r="AYU23" s="224"/>
      <c r="AYV23" s="224"/>
      <c r="AYW23" s="224"/>
      <c r="AYX23" s="224"/>
      <c r="AYY23" s="224"/>
      <c r="AYZ23" s="224"/>
      <c r="AZA23" s="224"/>
      <c r="AZB23" s="224"/>
      <c r="AZC23" s="224"/>
      <c r="AZD23" s="224"/>
      <c r="AZE23" s="224"/>
      <c r="AZF23" s="224"/>
      <c r="AZG23" s="224"/>
      <c r="AZH23" s="224"/>
      <c r="AZI23" s="224"/>
      <c r="AZJ23" s="224"/>
      <c r="AZK23" s="224"/>
      <c r="AZL23" s="224"/>
      <c r="AZM23" s="224"/>
      <c r="AZN23" s="224"/>
      <c r="AZO23" s="224"/>
      <c r="AZP23" s="224"/>
      <c r="AZQ23" s="224"/>
      <c r="AZR23" s="224"/>
      <c r="AZS23" s="224"/>
      <c r="AZT23" s="224"/>
      <c r="AZU23" s="224"/>
      <c r="AZV23" s="224"/>
      <c r="AZW23" s="224"/>
      <c r="AZX23" s="224"/>
      <c r="AZY23" s="224"/>
      <c r="AZZ23" s="224"/>
      <c r="BAA23" s="224"/>
      <c r="BAB23" s="224"/>
      <c r="BAC23" s="224"/>
      <c r="BAD23" s="224"/>
      <c r="BAE23" s="224"/>
      <c r="BAF23" s="224"/>
      <c r="BAG23" s="224"/>
      <c r="BAH23" s="224"/>
      <c r="BAI23" s="224"/>
      <c r="BAJ23" s="224"/>
      <c r="BAK23" s="224"/>
      <c r="BAL23" s="224"/>
      <c r="BAM23" s="224"/>
      <c r="BAN23" s="224"/>
      <c r="BAO23" s="224"/>
      <c r="BAP23" s="224"/>
      <c r="BAQ23" s="224"/>
      <c r="BAR23" s="224"/>
      <c r="BAS23" s="224"/>
      <c r="BAT23" s="224"/>
      <c r="BAU23" s="224"/>
      <c r="BAV23" s="224"/>
      <c r="BAW23" s="224"/>
      <c r="BAX23" s="224"/>
      <c r="BAY23" s="224"/>
      <c r="BAZ23" s="224"/>
      <c r="BBA23" s="224"/>
      <c r="BBB23" s="224"/>
      <c r="BBC23" s="224"/>
      <c r="BBD23" s="224"/>
      <c r="BBE23" s="224"/>
      <c r="BBF23" s="224"/>
      <c r="BBG23" s="224"/>
      <c r="BBH23" s="224"/>
      <c r="BBI23" s="224"/>
      <c r="BBJ23" s="224"/>
      <c r="BBK23" s="224"/>
      <c r="BBL23" s="224"/>
      <c r="BBM23" s="224"/>
      <c r="BBN23" s="224"/>
      <c r="BBO23" s="224"/>
      <c r="BBP23" s="224"/>
      <c r="BBQ23" s="224"/>
      <c r="BBR23" s="224"/>
      <c r="BBS23" s="224"/>
      <c r="BBT23" s="224"/>
      <c r="BBU23" s="224"/>
      <c r="BBV23" s="224"/>
      <c r="BBW23" s="224"/>
      <c r="BBX23" s="224"/>
      <c r="BBY23" s="224"/>
      <c r="BBZ23" s="224"/>
      <c r="BCA23" s="224"/>
      <c r="BCB23" s="224"/>
      <c r="BCC23" s="224"/>
      <c r="BCD23" s="224"/>
      <c r="BCE23" s="224"/>
      <c r="BCF23" s="224"/>
      <c r="BCG23" s="224"/>
      <c r="BCH23" s="224"/>
      <c r="BCI23" s="224"/>
      <c r="BCJ23" s="224"/>
      <c r="BCK23" s="224"/>
      <c r="BCL23" s="224"/>
      <c r="BCM23" s="224"/>
      <c r="BCN23" s="224"/>
      <c r="BCO23" s="224"/>
      <c r="BCP23" s="224"/>
      <c r="BCQ23" s="224"/>
      <c r="BCR23" s="224"/>
      <c r="BCS23" s="224"/>
      <c r="BCT23" s="224"/>
      <c r="BCU23" s="224"/>
      <c r="BCV23" s="224"/>
      <c r="BCW23" s="224"/>
      <c r="BCX23" s="224"/>
      <c r="BCY23" s="224"/>
      <c r="BCZ23" s="224"/>
      <c r="BDA23" s="224"/>
      <c r="BDB23" s="224"/>
      <c r="BDC23" s="224"/>
      <c r="BDD23" s="224"/>
      <c r="BDE23" s="224"/>
      <c r="BDF23" s="224"/>
      <c r="BDG23" s="224"/>
      <c r="BDH23" s="224"/>
      <c r="BDI23" s="224"/>
      <c r="BDJ23" s="224"/>
      <c r="BDK23" s="224"/>
      <c r="BDL23" s="224"/>
      <c r="BDM23" s="224"/>
      <c r="BDN23" s="224"/>
      <c r="BDO23" s="224"/>
      <c r="BDP23" s="224"/>
      <c r="BDQ23" s="224"/>
      <c r="BDR23" s="224"/>
      <c r="BDS23" s="224"/>
      <c r="BDT23" s="224"/>
      <c r="BDU23" s="224"/>
      <c r="BDV23" s="224"/>
      <c r="BDW23" s="224"/>
      <c r="BDX23" s="224"/>
      <c r="BDY23" s="224"/>
      <c r="BDZ23" s="224"/>
      <c r="BEA23" s="224"/>
      <c r="BEB23" s="224"/>
      <c r="BEC23" s="224"/>
      <c r="BED23" s="224"/>
      <c r="BEE23" s="224"/>
      <c r="BEF23" s="224"/>
      <c r="BEG23" s="224"/>
      <c r="BEH23" s="224"/>
      <c r="BEI23" s="224"/>
      <c r="BEJ23" s="224"/>
      <c r="BEK23" s="224"/>
      <c r="BEL23" s="224"/>
      <c r="BEM23" s="224"/>
      <c r="BEN23" s="224"/>
      <c r="BEO23" s="224"/>
      <c r="BEP23" s="224"/>
      <c r="BEQ23" s="224"/>
      <c r="BER23" s="224"/>
      <c r="BES23" s="224"/>
      <c r="BET23" s="224"/>
      <c r="BEU23" s="224"/>
      <c r="BEV23" s="224"/>
      <c r="BEW23" s="224"/>
      <c r="BEX23" s="224"/>
      <c r="BEY23" s="224"/>
      <c r="BEZ23" s="224"/>
      <c r="BFA23" s="224"/>
      <c r="BFB23" s="224"/>
      <c r="BFC23" s="224"/>
      <c r="BFD23" s="224"/>
      <c r="BFE23" s="224"/>
      <c r="BFF23" s="224"/>
      <c r="BFG23" s="224"/>
      <c r="BFH23" s="224"/>
      <c r="BFI23" s="224"/>
      <c r="BFJ23" s="224"/>
      <c r="BFK23" s="224"/>
      <c r="BFL23" s="224"/>
      <c r="BFM23" s="224"/>
      <c r="BFN23" s="224"/>
      <c r="BFO23" s="224"/>
      <c r="BFP23" s="224"/>
      <c r="BFQ23" s="224"/>
      <c r="BFR23" s="224"/>
      <c r="BFS23" s="224"/>
      <c r="BFT23" s="224"/>
      <c r="BFU23" s="224"/>
      <c r="BFV23" s="224"/>
      <c r="BFW23" s="224"/>
      <c r="BFX23" s="224"/>
      <c r="BFY23" s="224"/>
      <c r="BFZ23" s="224"/>
      <c r="BGA23" s="224"/>
      <c r="BGB23" s="224"/>
      <c r="BGC23" s="224"/>
      <c r="BGD23" s="224"/>
      <c r="BGE23" s="224"/>
      <c r="BGF23" s="224"/>
      <c r="BGG23" s="224"/>
      <c r="BGH23" s="224"/>
      <c r="BGI23" s="224"/>
      <c r="BGJ23" s="224"/>
      <c r="BGK23" s="224"/>
      <c r="BGL23" s="224"/>
      <c r="BGM23" s="224"/>
      <c r="BGN23" s="224"/>
      <c r="BGO23" s="224"/>
      <c r="BGP23" s="224"/>
      <c r="BGQ23" s="224"/>
      <c r="BGR23" s="224"/>
      <c r="BGS23" s="224"/>
      <c r="BGT23" s="224"/>
      <c r="BGU23" s="224"/>
      <c r="BGV23" s="224"/>
      <c r="BGW23" s="224"/>
      <c r="BGX23" s="224"/>
      <c r="BGY23" s="224"/>
      <c r="BGZ23" s="224"/>
      <c r="BHA23" s="224"/>
      <c r="BHB23" s="224"/>
      <c r="BHC23" s="224"/>
      <c r="BHD23" s="224"/>
      <c r="BHE23" s="224"/>
      <c r="BHF23" s="224"/>
      <c r="BHG23" s="224"/>
      <c r="BHH23" s="224"/>
      <c r="BHI23" s="224"/>
      <c r="BHJ23" s="224"/>
      <c r="BHK23" s="224"/>
      <c r="BHL23" s="224"/>
      <c r="BHM23" s="224"/>
      <c r="BHN23" s="224"/>
      <c r="BHO23" s="224"/>
      <c r="BHP23" s="224"/>
      <c r="BHQ23" s="224"/>
      <c r="BHR23" s="224"/>
      <c r="BHS23" s="224"/>
      <c r="BHT23" s="224"/>
      <c r="BHU23" s="224"/>
      <c r="BHV23" s="224"/>
      <c r="BHW23" s="224"/>
      <c r="BHX23" s="224"/>
      <c r="BHY23" s="224"/>
      <c r="BHZ23" s="224"/>
      <c r="BIA23" s="224"/>
      <c r="BIB23" s="224"/>
      <c r="BIC23" s="224"/>
      <c r="BID23" s="224"/>
      <c r="BIE23" s="224"/>
      <c r="BIF23" s="224"/>
      <c r="BIG23" s="224"/>
      <c r="BIH23" s="224"/>
      <c r="BII23" s="224"/>
      <c r="BIJ23" s="224"/>
      <c r="BIK23" s="224"/>
      <c r="BIL23" s="224"/>
      <c r="BIM23" s="224"/>
      <c r="BIN23" s="224"/>
      <c r="BIO23" s="224"/>
      <c r="BIP23" s="224"/>
      <c r="BIQ23" s="224"/>
      <c r="BIR23" s="224"/>
      <c r="BIS23" s="224"/>
      <c r="BIT23" s="224"/>
      <c r="BIU23" s="224"/>
      <c r="BIV23" s="224"/>
      <c r="BIW23" s="224"/>
      <c r="BIX23" s="224"/>
      <c r="BIY23" s="224"/>
      <c r="BIZ23" s="224"/>
      <c r="BJA23" s="224"/>
      <c r="BJB23" s="224"/>
      <c r="BJC23" s="224"/>
      <c r="BJD23" s="224"/>
      <c r="BJE23" s="224"/>
      <c r="BJF23" s="224"/>
      <c r="BJG23" s="224"/>
      <c r="BJH23" s="224"/>
      <c r="BJI23" s="224"/>
      <c r="BJJ23" s="224"/>
      <c r="BJK23" s="224"/>
      <c r="BJL23" s="224"/>
      <c r="BJM23" s="224"/>
      <c r="BJN23" s="224"/>
      <c r="BJO23" s="224"/>
      <c r="BJP23" s="224"/>
      <c r="BJQ23" s="224"/>
      <c r="BJR23" s="224"/>
      <c r="BJS23" s="224"/>
      <c r="BJT23" s="224"/>
      <c r="BJU23" s="224"/>
      <c r="BJV23" s="224"/>
      <c r="BJW23" s="224"/>
      <c r="BJX23" s="224"/>
      <c r="BJY23" s="224"/>
      <c r="BJZ23" s="224"/>
      <c r="BKA23" s="224"/>
      <c r="BKB23" s="224"/>
      <c r="BKC23" s="224"/>
      <c r="BKD23" s="224"/>
      <c r="BKE23" s="224"/>
      <c r="BKF23" s="224"/>
      <c r="BKG23" s="224"/>
      <c r="BKH23" s="224"/>
      <c r="BKI23" s="224"/>
      <c r="BKJ23" s="224"/>
      <c r="BKK23" s="224"/>
      <c r="BKL23" s="224"/>
      <c r="BKM23" s="224"/>
      <c r="BKN23" s="224"/>
      <c r="BKO23" s="224"/>
      <c r="BKP23" s="224"/>
      <c r="BKQ23" s="224"/>
      <c r="BKR23" s="224"/>
      <c r="BKS23" s="224"/>
      <c r="BKT23" s="224"/>
      <c r="BKU23" s="224"/>
      <c r="BKV23" s="224"/>
      <c r="BKW23" s="224"/>
      <c r="BKX23" s="224"/>
      <c r="BKY23" s="224"/>
      <c r="BKZ23" s="224"/>
      <c r="BLA23" s="224"/>
      <c r="BLB23" s="224"/>
      <c r="BLC23" s="224"/>
      <c r="BLD23" s="224"/>
      <c r="BLE23" s="224"/>
      <c r="BLF23" s="224"/>
      <c r="BLG23" s="224"/>
      <c r="BLH23" s="224"/>
      <c r="BLI23" s="224"/>
      <c r="BLJ23" s="224"/>
      <c r="BLK23" s="224"/>
      <c r="BLL23" s="224"/>
      <c r="BLM23" s="224"/>
      <c r="BLN23" s="224"/>
      <c r="BLO23" s="224"/>
      <c r="BLP23" s="224"/>
      <c r="BLQ23" s="224"/>
      <c r="BLR23" s="224"/>
      <c r="BLS23" s="224"/>
      <c r="BLT23" s="224"/>
      <c r="BLU23" s="224"/>
      <c r="BLV23" s="224"/>
      <c r="BLW23" s="224"/>
      <c r="BLX23" s="224"/>
      <c r="BLY23" s="224"/>
      <c r="BLZ23" s="224"/>
      <c r="BMA23" s="224"/>
      <c r="BMB23" s="224"/>
      <c r="BMC23" s="224"/>
      <c r="BMD23" s="224"/>
      <c r="BME23" s="224"/>
      <c r="BMF23" s="224"/>
      <c r="BMG23" s="224"/>
      <c r="BMH23" s="224"/>
      <c r="BMI23" s="224"/>
      <c r="BMJ23" s="224"/>
      <c r="BMK23" s="224"/>
      <c r="BML23" s="224"/>
      <c r="BMM23" s="224"/>
      <c r="BMN23" s="224"/>
      <c r="BMO23" s="224"/>
      <c r="BMP23" s="224"/>
      <c r="BMQ23" s="224"/>
      <c r="BMR23" s="224"/>
      <c r="BMS23" s="224"/>
      <c r="BMT23" s="224"/>
      <c r="BMU23" s="224"/>
      <c r="BMV23" s="224"/>
      <c r="BMW23" s="224"/>
      <c r="BMX23" s="224"/>
      <c r="BMY23" s="224"/>
      <c r="BMZ23" s="224"/>
      <c r="BNA23" s="224"/>
      <c r="BNB23" s="224"/>
      <c r="BNC23" s="224"/>
      <c r="BND23" s="224"/>
      <c r="BNE23" s="224"/>
      <c r="BNF23" s="224"/>
      <c r="BNG23" s="224"/>
      <c r="BNH23" s="224"/>
      <c r="BNI23" s="224"/>
      <c r="BNJ23" s="224"/>
      <c r="BNK23" s="224"/>
      <c r="BNL23" s="224"/>
      <c r="BNM23" s="224"/>
      <c r="BNN23" s="224"/>
      <c r="BNO23" s="224"/>
      <c r="BNP23" s="224"/>
      <c r="BNQ23" s="224"/>
      <c r="BNR23" s="224"/>
      <c r="BNS23" s="224"/>
      <c r="BNT23" s="224"/>
      <c r="BNU23" s="224"/>
      <c r="BNV23" s="224"/>
      <c r="BNW23" s="224"/>
      <c r="BNX23" s="224"/>
      <c r="BNY23" s="224"/>
      <c r="BNZ23" s="224"/>
      <c r="BOA23" s="224"/>
      <c r="BOB23" s="224"/>
      <c r="BOC23" s="224"/>
      <c r="BOD23" s="224"/>
      <c r="BOE23" s="224"/>
      <c r="BOF23" s="224"/>
      <c r="BOG23" s="224"/>
      <c r="BOH23" s="224"/>
      <c r="BOI23" s="224"/>
      <c r="BOJ23" s="224"/>
      <c r="BOK23" s="224"/>
      <c r="BOL23" s="224"/>
      <c r="BOM23" s="224"/>
      <c r="BON23" s="224"/>
      <c r="BOO23" s="224"/>
      <c r="BOP23" s="224"/>
      <c r="BOQ23" s="224"/>
      <c r="BOR23" s="224"/>
      <c r="BOS23" s="224"/>
      <c r="BOT23" s="224"/>
      <c r="BOU23" s="224"/>
      <c r="BOV23" s="224"/>
      <c r="BOW23" s="224"/>
      <c r="BOX23" s="224"/>
      <c r="BOY23" s="224"/>
      <c r="BOZ23" s="224"/>
      <c r="BPA23" s="224"/>
      <c r="BPB23" s="224"/>
      <c r="BPC23" s="224"/>
      <c r="BPD23" s="224"/>
      <c r="BPE23" s="224"/>
      <c r="BPF23" s="224"/>
      <c r="BPG23" s="224"/>
      <c r="BPH23" s="224"/>
      <c r="BPI23" s="224"/>
      <c r="BPJ23" s="224"/>
      <c r="BPK23" s="224"/>
      <c r="BPL23" s="224"/>
      <c r="BPM23" s="224"/>
      <c r="BPN23" s="224"/>
      <c r="BPO23" s="224"/>
      <c r="BPP23" s="224"/>
      <c r="BPQ23" s="224"/>
      <c r="BPR23" s="224"/>
      <c r="BPS23" s="224"/>
      <c r="BPT23" s="224"/>
      <c r="BPU23" s="224"/>
      <c r="BPV23" s="224"/>
      <c r="BPW23" s="224"/>
      <c r="BPX23" s="224"/>
      <c r="BPY23" s="224"/>
      <c r="BPZ23" s="224"/>
      <c r="BQA23" s="224"/>
      <c r="BQB23" s="224"/>
      <c r="BQC23" s="224"/>
      <c r="BQD23" s="224"/>
      <c r="BQE23" s="224"/>
      <c r="BQF23" s="224"/>
      <c r="BQG23" s="224"/>
      <c r="BQH23" s="224"/>
      <c r="BQI23" s="224"/>
      <c r="BQJ23" s="224"/>
      <c r="BQK23" s="224"/>
      <c r="BQL23" s="224"/>
      <c r="BQM23" s="224"/>
      <c r="BQN23" s="224"/>
      <c r="BQO23" s="224"/>
      <c r="BQP23" s="224"/>
      <c r="BQQ23" s="224"/>
      <c r="BQR23" s="224"/>
      <c r="BQS23" s="224"/>
      <c r="BQT23" s="224"/>
      <c r="BQU23" s="224"/>
      <c r="BQV23" s="224"/>
      <c r="BQW23" s="224"/>
      <c r="BQX23" s="224"/>
      <c r="BQY23" s="224"/>
      <c r="BQZ23" s="224"/>
      <c r="BRA23" s="224"/>
      <c r="BRB23" s="224"/>
      <c r="BRC23" s="224"/>
      <c r="BRD23" s="224"/>
      <c r="BRE23" s="224"/>
      <c r="BRF23" s="224"/>
      <c r="BRG23" s="224"/>
      <c r="BRH23" s="224"/>
      <c r="BRI23" s="224"/>
      <c r="BRJ23" s="224"/>
      <c r="BRK23" s="224"/>
      <c r="BRL23" s="224"/>
      <c r="BRM23" s="224"/>
      <c r="BRN23" s="224"/>
      <c r="BRO23" s="224"/>
      <c r="BRP23" s="224"/>
      <c r="BRQ23" s="224"/>
      <c r="BRR23" s="224"/>
      <c r="BRS23" s="224"/>
      <c r="BRT23" s="224"/>
      <c r="BRU23" s="224"/>
      <c r="BRV23" s="224"/>
      <c r="BRW23" s="224"/>
      <c r="BRX23" s="224"/>
      <c r="BRY23" s="224"/>
      <c r="BRZ23" s="224"/>
      <c r="BSA23" s="224"/>
      <c r="BSB23" s="224"/>
      <c r="BSC23" s="224"/>
      <c r="BSD23" s="224"/>
      <c r="BSE23" s="224"/>
      <c r="BSF23" s="224"/>
      <c r="BSG23" s="224"/>
      <c r="BSH23" s="224"/>
      <c r="BSI23" s="224"/>
      <c r="BSJ23" s="224"/>
      <c r="BSK23" s="224"/>
      <c r="BSL23" s="224"/>
      <c r="BSM23" s="224"/>
      <c r="BSN23" s="224"/>
      <c r="BSO23" s="224"/>
      <c r="BSP23" s="224"/>
      <c r="BSQ23" s="224"/>
      <c r="BSR23" s="224"/>
      <c r="BSS23" s="224"/>
      <c r="BST23" s="224"/>
      <c r="BSU23" s="224"/>
      <c r="BSV23" s="224"/>
      <c r="BSW23" s="224"/>
      <c r="BSX23" s="224"/>
      <c r="BSY23" s="224"/>
      <c r="BSZ23" s="224"/>
      <c r="BTA23" s="224"/>
      <c r="BTB23" s="224"/>
      <c r="BTC23" s="224"/>
      <c r="BTD23" s="224"/>
      <c r="BTE23" s="224"/>
      <c r="BTF23" s="224"/>
      <c r="BTG23" s="224"/>
      <c r="BTH23" s="224"/>
      <c r="BTI23" s="224"/>
      <c r="BTJ23" s="224"/>
      <c r="BTK23" s="224"/>
      <c r="BTL23" s="224"/>
      <c r="BTM23" s="224"/>
      <c r="BTN23" s="224"/>
      <c r="BTO23" s="224"/>
      <c r="BTP23" s="224"/>
      <c r="BTQ23" s="224"/>
      <c r="BTR23" s="224"/>
      <c r="BTS23" s="224"/>
      <c r="BTT23" s="224"/>
      <c r="BTU23" s="224"/>
      <c r="BTV23" s="224"/>
      <c r="BTW23" s="224"/>
      <c r="BTX23" s="224"/>
      <c r="BTY23" s="224"/>
      <c r="BTZ23" s="224"/>
      <c r="BUA23" s="224"/>
      <c r="BUB23" s="224"/>
      <c r="BUC23" s="224"/>
      <c r="BUD23" s="224"/>
      <c r="BUE23" s="224"/>
      <c r="BUF23" s="224"/>
      <c r="BUG23" s="224"/>
      <c r="BUH23" s="224"/>
      <c r="BUI23" s="224"/>
      <c r="BUJ23" s="224"/>
      <c r="BUK23" s="224"/>
      <c r="BUL23" s="224"/>
      <c r="BUM23" s="224"/>
      <c r="BUN23" s="224"/>
      <c r="BUO23" s="224"/>
      <c r="BUP23" s="224"/>
      <c r="BUQ23" s="224"/>
      <c r="BUR23" s="224"/>
      <c r="BUS23" s="224"/>
      <c r="BUT23" s="224"/>
      <c r="BUU23" s="224"/>
      <c r="BUV23" s="224"/>
      <c r="BUW23" s="224"/>
      <c r="BUX23" s="224"/>
      <c r="BUY23" s="224"/>
      <c r="BUZ23" s="224"/>
      <c r="BVA23" s="224"/>
      <c r="BVB23" s="224"/>
      <c r="BVC23" s="224"/>
      <c r="BVD23" s="224"/>
      <c r="BVE23" s="224"/>
      <c r="BVF23" s="224"/>
      <c r="BVG23" s="224"/>
      <c r="BVH23" s="224"/>
      <c r="BVI23" s="224"/>
      <c r="BVJ23" s="224"/>
      <c r="BVK23" s="224"/>
      <c r="BVL23" s="224"/>
      <c r="BVM23" s="224"/>
      <c r="BVN23" s="224"/>
      <c r="BVO23" s="224"/>
      <c r="BVP23" s="224"/>
      <c r="BVQ23" s="224"/>
      <c r="BVR23" s="224"/>
      <c r="BVS23" s="224"/>
      <c r="BVT23" s="224"/>
      <c r="BVU23" s="224"/>
      <c r="BVV23" s="224"/>
      <c r="BVW23" s="224"/>
      <c r="BVX23" s="224"/>
      <c r="BVY23" s="224"/>
      <c r="BVZ23" s="224"/>
      <c r="BWA23" s="224"/>
      <c r="BWB23" s="224"/>
      <c r="BWC23" s="224"/>
      <c r="BWD23" s="224"/>
      <c r="BWE23" s="224"/>
      <c r="BWF23" s="224"/>
      <c r="BWG23" s="224"/>
      <c r="BWH23" s="224"/>
      <c r="BWI23" s="224"/>
      <c r="BWJ23" s="224"/>
      <c r="BWK23" s="224"/>
      <c r="BWL23" s="224"/>
      <c r="BWM23" s="224"/>
      <c r="BWN23" s="224"/>
      <c r="BWO23" s="224"/>
      <c r="BWP23" s="224"/>
      <c r="BWQ23" s="224"/>
      <c r="BWR23" s="224"/>
      <c r="BWS23" s="224"/>
      <c r="BWT23" s="224"/>
      <c r="BWU23" s="224"/>
      <c r="BWV23" s="224"/>
      <c r="BWW23" s="224"/>
      <c r="BWX23" s="224"/>
      <c r="BWY23" s="224"/>
      <c r="BWZ23" s="224"/>
      <c r="BXA23" s="224"/>
      <c r="BXB23" s="224"/>
      <c r="BXC23" s="224"/>
      <c r="BXD23" s="224"/>
      <c r="BXE23" s="224"/>
      <c r="BXF23" s="224"/>
      <c r="BXG23" s="224"/>
      <c r="BXH23" s="224"/>
      <c r="BXI23" s="224"/>
      <c r="BXJ23" s="224"/>
      <c r="BXK23" s="224"/>
      <c r="BXL23" s="224"/>
      <c r="BXM23" s="224"/>
      <c r="BXN23" s="224"/>
      <c r="BXO23" s="224"/>
      <c r="BXP23" s="224"/>
      <c r="BXQ23" s="224"/>
      <c r="BXR23" s="224"/>
      <c r="BXS23" s="224"/>
      <c r="BXT23" s="224"/>
      <c r="BXU23" s="224"/>
      <c r="BXV23" s="224"/>
      <c r="BXW23" s="224"/>
      <c r="BXX23" s="224"/>
      <c r="BXY23" s="224"/>
      <c r="BXZ23" s="224"/>
      <c r="BYA23" s="224"/>
      <c r="BYB23" s="224"/>
      <c r="BYC23" s="224"/>
      <c r="BYD23" s="224"/>
      <c r="BYE23" s="224"/>
      <c r="BYF23" s="224"/>
      <c r="BYG23" s="224"/>
    </row>
    <row r="24" spans="1:2009" s="100" customFormat="1" ht="12.75" hidden="1" customHeight="1" thickBot="1" x14ac:dyDescent="0.3">
      <c r="A24" s="107"/>
      <c r="B24" s="108"/>
      <c r="C24" s="182"/>
      <c r="D24" s="182"/>
      <c r="E24" s="182"/>
      <c r="F24" s="182"/>
      <c r="G24" s="182"/>
      <c r="H24" s="99"/>
      <c r="I24" s="99"/>
      <c r="J24" s="99"/>
      <c r="K24" s="477"/>
      <c r="L24" s="476">
        <v>5.54</v>
      </c>
      <c r="M24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2009" s="109" customFormat="1" ht="24.95" hidden="1" customHeight="1" x14ac:dyDescent="0.25">
      <c r="A25" s="138" t="s">
        <v>104</v>
      </c>
      <c r="B25" s="139"/>
      <c r="C25" s="183"/>
      <c r="D25" s="183"/>
      <c r="E25" s="184"/>
      <c r="F25" s="184"/>
      <c r="G25" s="185"/>
      <c r="H25" s="94"/>
      <c r="I25" s="94"/>
      <c r="J25" s="94"/>
      <c r="K25" s="477"/>
      <c r="L25" s="477" t="s">
        <v>229</v>
      </c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109" customFormat="1" ht="24.95" hidden="1" customHeight="1" x14ac:dyDescent="0.25">
      <c r="A26" s="140"/>
      <c r="B26" s="127" t="s">
        <v>171</v>
      </c>
      <c r="C26" s="186"/>
      <c r="D26" s="186"/>
      <c r="E26" s="187"/>
      <c r="F26" s="187"/>
      <c r="G26" s="188"/>
      <c r="H26" s="94"/>
      <c r="I26" s="94"/>
      <c r="J26" s="94"/>
      <c r="K26" s="478"/>
      <c r="L26"/>
      <c r="M26" s="479">
        <v>12.3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</row>
    <row r="27" spans="1:2009" s="231" customFormat="1" ht="24.95" hidden="1" customHeight="1" thickBot="1" x14ac:dyDescent="0.3">
      <c r="A27" s="226"/>
      <c r="B27" s="227" t="s">
        <v>152</v>
      </c>
      <c r="C27" s="228"/>
      <c r="D27" s="229"/>
      <c r="E27" s="229"/>
      <c r="F27" s="229">
        <f>SUM(F25:F26)</f>
        <v>0</v>
      </c>
      <c r="G27" s="230">
        <f>ROUND(SUM(C27:F27),5)</f>
        <v>0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  <c r="AIK27" s="212"/>
      <c r="AIL27" s="212"/>
      <c r="AIM27" s="212"/>
      <c r="AIN27" s="212"/>
      <c r="AIO27" s="212"/>
      <c r="AIP27" s="212"/>
      <c r="AIQ27" s="212"/>
      <c r="AIR27" s="212"/>
      <c r="AIS27" s="212"/>
      <c r="AIT27" s="212"/>
      <c r="AIU27" s="212"/>
      <c r="AIV27" s="212"/>
      <c r="AIW27" s="212"/>
      <c r="AIX27" s="212"/>
      <c r="AIY27" s="212"/>
      <c r="AIZ27" s="212"/>
      <c r="AJA27" s="212"/>
      <c r="AJB27" s="212"/>
      <c r="AJC27" s="212"/>
      <c r="AJD27" s="212"/>
      <c r="AJE27" s="212"/>
      <c r="AJF27" s="212"/>
      <c r="AJG27" s="212"/>
      <c r="AJH27" s="212"/>
      <c r="AJI27" s="212"/>
      <c r="AJJ27" s="212"/>
      <c r="AJK27" s="212"/>
      <c r="AJL27" s="212"/>
      <c r="AJM27" s="212"/>
      <c r="AJN27" s="212"/>
      <c r="AJO27" s="212"/>
      <c r="AJP27" s="212"/>
      <c r="AJQ27" s="212"/>
      <c r="AJR27" s="212"/>
      <c r="AJS27" s="212"/>
      <c r="AJT27" s="212"/>
      <c r="AJU27" s="212"/>
      <c r="AJV27" s="212"/>
      <c r="AJW27" s="212"/>
      <c r="AJX27" s="212"/>
      <c r="AJY27" s="212"/>
      <c r="AJZ27" s="212"/>
      <c r="AKA27" s="212"/>
      <c r="AKB27" s="212"/>
      <c r="AKC27" s="212"/>
      <c r="AKD27" s="212"/>
      <c r="AKE27" s="212"/>
      <c r="AKF27" s="212"/>
      <c r="AKG27" s="212"/>
      <c r="AKH27" s="212"/>
      <c r="AKI27" s="212"/>
      <c r="AKJ27" s="212"/>
      <c r="AKK27" s="212"/>
      <c r="AKL27" s="212"/>
      <c r="AKM27" s="212"/>
      <c r="AKN27" s="212"/>
      <c r="AKO27" s="212"/>
      <c r="AKP27" s="212"/>
      <c r="AKQ27" s="212"/>
      <c r="AKR27" s="212"/>
      <c r="AKS27" s="212"/>
      <c r="AKT27" s="212"/>
      <c r="AKU27" s="212"/>
      <c r="AKV27" s="212"/>
      <c r="AKW27" s="212"/>
      <c r="AKX27" s="212"/>
      <c r="AKY27" s="212"/>
      <c r="AKZ27" s="212"/>
      <c r="ALA27" s="212"/>
      <c r="ALB27" s="212"/>
      <c r="ALC27" s="212"/>
      <c r="ALD27" s="212"/>
      <c r="ALE27" s="212"/>
      <c r="ALF27" s="212"/>
      <c r="ALG27" s="212"/>
      <c r="ALH27" s="212"/>
      <c r="ALI27" s="212"/>
      <c r="ALJ27" s="212"/>
      <c r="ALK27" s="212"/>
      <c r="ALL27" s="212"/>
      <c r="ALM27" s="212"/>
      <c r="ALN27" s="212"/>
      <c r="ALO27" s="212"/>
      <c r="ALP27" s="212"/>
      <c r="ALQ27" s="212"/>
      <c r="ALR27" s="212"/>
      <c r="ALS27" s="212"/>
      <c r="ALT27" s="212"/>
      <c r="ALU27" s="212"/>
      <c r="ALV27" s="212"/>
      <c r="ALW27" s="212"/>
      <c r="ALX27" s="212"/>
      <c r="ALY27" s="212"/>
      <c r="ALZ27" s="212"/>
      <c r="AMA27" s="212"/>
      <c r="AMB27" s="212"/>
      <c r="AMC27" s="212"/>
      <c r="AMD27" s="212"/>
      <c r="AME27" s="212"/>
      <c r="AMF27" s="212"/>
      <c r="AMG27" s="212"/>
      <c r="AMH27" s="212"/>
      <c r="AMI27" s="212"/>
      <c r="AMJ27" s="212"/>
      <c r="AMK27" s="212"/>
      <c r="AML27" s="212"/>
      <c r="AMM27" s="212"/>
      <c r="AMN27" s="212"/>
      <c r="AMO27" s="212"/>
      <c r="AMP27" s="212"/>
      <c r="AMQ27" s="212"/>
      <c r="AMR27" s="212"/>
      <c r="AMS27" s="212"/>
      <c r="AMT27" s="212"/>
      <c r="AMU27" s="212"/>
      <c r="AMV27" s="212"/>
      <c r="AMW27" s="212"/>
      <c r="AMX27" s="212"/>
      <c r="AMY27" s="212"/>
      <c r="AMZ27" s="212"/>
      <c r="ANA27" s="212"/>
      <c r="ANB27" s="212"/>
      <c r="ANC27" s="212"/>
      <c r="AND27" s="212"/>
      <c r="ANE27" s="212"/>
      <c r="ANF27" s="212"/>
      <c r="ANG27" s="212"/>
      <c r="ANH27" s="212"/>
      <c r="ANI27" s="212"/>
      <c r="ANJ27" s="212"/>
      <c r="ANK27" s="212"/>
      <c r="ANL27" s="212"/>
      <c r="ANM27" s="212"/>
      <c r="ANN27" s="212"/>
      <c r="ANO27" s="212"/>
      <c r="ANP27" s="212"/>
      <c r="ANQ27" s="212"/>
      <c r="ANR27" s="212"/>
      <c r="ANS27" s="212"/>
      <c r="ANT27" s="212"/>
      <c r="ANU27" s="212"/>
      <c r="ANV27" s="212"/>
      <c r="ANW27" s="212"/>
      <c r="ANX27" s="212"/>
      <c r="ANY27" s="212"/>
      <c r="ANZ27" s="212"/>
      <c r="AOA27" s="212"/>
      <c r="AOB27" s="212"/>
      <c r="AOC27" s="212"/>
      <c r="AOD27" s="212"/>
      <c r="AOE27" s="212"/>
      <c r="AOF27" s="212"/>
      <c r="AOG27" s="212"/>
      <c r="AOH27" s="212"/>
      <c r="AOI27" s="212"/>
      <c r="AOJ27" s="212"/>
      <c r="AOK27" s="212"/>
      <c r="AOL27" s="212"/>
      <c r="AOM27" s="212"/>
      <c r="AON27" s="212"/>
      <c r="AOO27" s="212"/>
      <c r="AOP27" s="212"/>
      <c r="AOQ27" s="212"/>
      <c r="AOR27" s="212"/>
      <c r="AOS27" s="212"/>
      <c r="AOT27" s="212"/>
      <c r="AOU27" s="212"/>
      <c r="AOV27" s="212"/>
      <c r="AOW27" s="212"/>
      <c r="AOX27" s="212"/>
      <c r="AOY27" s="212"/>
      <c r="AOZ27" s="212"/>
      <c r="APA27" s="212"/>
      <c r="APB27" s="212"/>
      <c r="APC27" s="212"/>
      <c r="APD27" s="212"/>
      <c r="APE27" s="212"/>
      <c r="APF27" s="212"/>
      <c r="APG27" s="212"/>
      <c r="APH27" s="212"/>
      <c r="API27" s="212"/>
      <c r="APJ27" s="212"/>
      <c r="APK27" s="212"/>
      <c r="APL27" s="212"/>
      <c r="APM27" s="212"/>
      <c r="APN27" s="212"/>
      <c r="APO27" s="212"/>
      <c r="APP27" s="212"/>
      <c r="APQ27" s="212"/>
      <c r="APR27" s="212"/>
      <c r="APS27" s="212"/>
      <c r="APT27" s="212"/>
      <c r="APU27" s="212"/>
      <c r="APV27" s="212"/>
      <c r="APW27" s="212"/>
      <c r="APX27" s="212"/>
      <c r="APY27" s="212"/>
      <c r="APZ27" s="212"/>
      <c r="AQA27" s="212"/>
      <c r="AQB27" s="212"/>
      <c r="AQC27" s="212"/>
      <c r="AQD27" s="212"/>
      <c r="AQE27" s="212"/>
      <c r="AQF27" s="212"/>
      <c r="AQG27" s="212"/>
      <c r="AQH27" s="212"/>
      <c r="AQI27" s="212"/>
      <c r="AQJ27" s="212"/>
      <c r="AQK27" s="212"/>
      <c r="AQL27" s="212"/>
      <c r="AQM27" s="212"/>
      <c r="AQN27" s="212"/>
      <c r="AQO27" s="212"/>
      <c r="AQP27" s="212"/>
      <c r="AQQ27" s="212"/>
      <c r="AQR27" s="212"/>
      <c r="AQS27" s="212"/>
      <c r="AQT27" s="212"/>
      <c r="AQU27" s="212"/>
      <c r="AQV27" s="212"/>
      <c r="AQW27" s="212"/>
      <c r="AQX27" s="212"/>
      <c r="AQY27" s="212"/>
      <c r="AQZ27" s="212"/>
      <c r="ARA27" s="212"/>
      <c r="ARB27" s="212"/>
      <c r="ARC27" s="212"/>
      <c r="ARD27" s="212"/>
      <c r="ARE27" s="212"/>
      <c r="ARF27" s="212"/>
      <c r="ARG27" s="212"/>
      <c r="ARH27" s="212"/>
      <c r="ARI27" s="212"/>
      <c r="ARJ27" s="212"/>
      <c r="ARK27" s="212"/>
      <c r="ARL27" s="212"/>
      <c r="ARM27" s="212"/>
      <c r="ARN27" s="212"/>
      <c r="ARO27" s="212"/>
      <c r="ARP27" s="212"/>
      <c r="ARQ27" s="212"/>
      <c r="ARR27" s="212"/>
      <c r="ARS27" s="212"/>
      <c r="ART27" s="212"/>
      <c r="ARU27" s="212"/>
      <c r="ARV27" s="212"/>
      <c r="ARW27" s="212"/>
      <c r="ARX27" s="212"/>
      <c r="ARY27" s="212"/>
      <c r="ARZ27" s="212"/>
      <c r="ASA27" s="212"/>
      <c r="ASB27" s="212"/>
      <c r="ASC27" s="212"/>
      <c r="ASD27" s="212"/>
      <c r="ASE27" s="212"/>
      <c r="ASF27" s="212"/>
      <c r="ASG27" s="212"/>
      <c r="ASH27" s="212"/>
      <c r="ASI27" s="212"/>
      <c r="ASJ27" s="212"/>
      <c r="ASK27" s="212"/>
      <c r="ASL27" s="212"/>
      <c r="ASM27" s="212"/>
      <c r="ASN27" s="212"/>
      <c r="ASO27" s="212"/>
      <c r="ASP27" s="212"/>
      <c r="ASQ27" s="212"/>
      <c r="ASR27" s="212"/>
      <c r="ASS27" s="212"/>
      <c r="AST27" s="212"/>
      <c r="ASU27" s="212"/>
      <c r="ASV27" s="212"/>
      <c r="ASW27" s="212"/>
      <c r="ASX27" s="212"/>
      <c r="ASY27" s="212"/>
      <c r="ASZ27" s="212"/>
      <c r="ATA27" s="212"/>
      <c r="ATB27" s="212"/>
      <c r="ATC27" s="212"/>
      <c r="ATD27" s="212"/>
      <c r="ATE27" s="212"/>
      <c r="ATF27" s="212"/>
      <c r="ATG27" s="212"/>
      <c r="ATH27" s="212"/>
      <c r="ATI27" s="212"/>
      <c r="ATJ27" s="212"/>
      <c r="ATK27" s="212"/>
      <c r="ATL27" s="212"/>
      <c r="ATM27" s="212"/>
      <c r="ATN27" s="212"/>
      <c r="ATO27" s="212"/>
      <c r="ATP27" s="212"/>
      <c r="ATQ27" s="212"/>
      <c r="ATR27" s="212"/>
      <c r="ATS27" s="212"/>
      <c r="ATT27" s="212"/>
      <c r="ATU27" s="212"/>
      <c r="ATV27" s="212"/>
      <c r="ATW27" s="212"/>
      <c r="ATX27" s="212"/>
      <c r="ATY27" s="212"/>
      <c r="ATZ27" s="212"/>
      <c r="AUA27" s="212"/>
      <c r="AUB27" s="212"/>
      <c r="AUC27" s="212"/>
      <c r="AUD27" s="212"/>
      <c r="AUE27" s="212"/>
      <c r="AUF27" s="212"/>
      <c r="AUG27" s="212"/>
      <c r="AUH27" s="212"/>
      <c r="AUI27" s="212"/>
      <c r="AUJ27" s="212"/>
      <c r="AUK27" s="212"/>
      <c r="AUL27" s="212"/>
      <c r="AUM27" s="212"/>
      <c r="AUN27" s="212"/>
      <c r="AUO27" s="212"/>
      <c r="AUP27" s="212"/>
      <c r="AUQ27" s="212"/>
      <c r="AUR27" s="212"/>
      <c r="AUS27" s="212"/>
      <c r="AUT27" s="212"/>
      <c r="AUU27" s="212"/>
      <c r="AUV27" s="212"/>
      <c r="AUW27" s="212"/>
      <c r="AUX27" s="212"/>
      <c r="AUY27" s="212"/>
      <c r="AUZ27" s="212"/>
      <c r="AVA27" s="212"/>
      <c r="AVB27" s="212"/>
      <c r="AVC27" s="212"/>
      <c r="AVD27" s="212"/>
      <c r="AVE27" s="212"/>
      <c r="AVF27" s="212"/>
      <c r="AVG27" s="212"/>
      <c r="AVH27" s="212"/>
      <c r="AVI27" s="212"/>
      <c r="AVJ27" s="212"/>
      <c r="AVK27" s="212"/>
      <c r="AVL27" s="212"/>
      <c r="AVM27" s="212"/>
      <c r="AVN27" s="212"/>
      <c r="AVO27" s="212"/>
      <c r="AVP27" s="212"/>
      <c r="AVQ27" s="212"/>
      <c r="AVR27" s="212"/>
      <c r="AVS27" s="212"/>
      <c r="AVT27" s="212"/>
      <c r="AVU27" s="212"/>
      <c r="AVV27" s="212"/>
      <c r="AVW27" s="212"/>
      <c r="AVX27" s="212"/>
      <c r="AVY27" s="212"/>
      <c r="AVZ27" s="212"/>
      <c r="AWA27" s="212"/>
      <c r="AWB27" s="212"/>
      <c r="AWC27" s="212"/>
      <c r="AWD27" s="212"/>
      <c r="AWE27" s="212"/>
      <c r="AWF27" s="212"/>
      <c r="AWG27" s="212"/>
      <c r="AWH27" s="212"/>
      <c r="AWI27" s="212"/>
      <c r="AWJ27" s="212"/>
      <c r="AWK27" s="212"/>
      <c r="AWL27" s="212"/>
      <c r="AWM27" s="212"/>
      <c r="AWN27" s="212"/>
      <c r="AWO27" s="212"/>
      <c r="AWP27" s="212"/>
      <c r="AWQ27" s="212"/>
      <c r="AWR27" s="212"/>
      <c r="AWS27" s="212"/>
      <c r="AWT27" s="212"/>
      <c r="AWU27" s="212"/>
      <c r="AWV27" s="212"/>
      <c r="AWW27" s="212"/>
      <c r="AWX27" s="212"/>
      <c r="AWY27" s="212"/>
      <c r="AWZ27" s="212"/>
      <c r="AXA27" s="212"/>
      <c r="AXB27" s="212"/>
      <c r="AXC27" s="212"/>
      <c r="AXD27" s="212"/>
      <c r="AXE27" s="212"/>
      <c r="AXF27" s="212"/>
      <c r="AXG27" s="212"/>
      <c r="AXH27" s="212"/>
      <c r="AXI27" s="212"/>
      <c r="AXJ27" s="212"/>
      <c r="AXK27" s="212"/>
      <c r="AXL27" s="212"/>
      <c r="AXM27" s="212"/>
      <c r="AXN27" s="212"/>
      <c r="AXO27" s="212"/>
      <c r="AXP27" s="212"/>
      <c r="AXQ27" s="212"/>
      <c r="AXR27" s="212"/>
      <c r="AXS27" s="212"/>
      <c r="AXT27" s="212"/>
      <c r="AXU27" s="212"/>
      <c r="AXV27" s="212"/>
      <c r="AXW27" s="212"/>
      <c r="AXX27" s="212"/>
      <c r="AXY27" s="212"/>
      <c r="AXZ27" s="212"/>
      <c r="AYA27" s="212"/>
      <c r="AYB27" s="212"/>
      <c r="AYC27" s="212"/>
      <c r="AYD27" s="212"/>
      <c r="AYE27" s="212"/>
      <c r="AYF27" s="212"/>
      <c r="AYG27" s="212"/>
      <c r="AYH27" s="212"/>
      <c r="AYI27" s="212"/>
      <c r="AYJ27" s="212"/>
      <c r="AYK27" s="212"/>
      <c r="AYL27" s="212"/>
      <c r="AYM27" s="212"/>
      <c r="AYN27" s="212"/>
      <c r="AYO27" s="212"/>
      <c r="AYP27" s="212"/>
      <c r="AYQ27" s="212"/>
      <c r="AYR27" s="212"/>
      <c r="AYS27" s="212"/>
      <c r="AYT27" s="212"/>
      <c r="AYU27" s="212"/>
      <c r="AYV27" s="212"/>
      <c r="AYW27" s="212"/>
      <c r="AYX27" s="212"/>
      <c r="AYY27" s="212"/>
      <c r="AYZ27" s="212"/>
      <c r="AZA27" s="212"/>
      <c r="AZB27" s="212"/>
      <c r="AZC27" s="212"/>
      <c r="AZD27" s="212"/>
      <c r="AZE27" s="212"/>
      <c r="AZF27" s="212"/>
      <c r="AZG27" s="212"/>
      <c r="AZH27" s="212"/>
      <c r="AZI27" s="212"/>
      <c r="AZJ27" s="212"/>
      <c r="AZK27" s="212"/>
      <c r="AZL27" s="212"/>
      <c r="AZM27" s="212"/>
      <c r="AZN27" s="212"/>
      <c r="AZO27" s="212"/>
      <c r="AZP27" s="212"/>
      <c r="AZQ27" s="212"/>
      <c r="AZR27" s="212"/>
      <c r="AZS27" s="212"/>
      <c r="AZT27" s="212"/>
      <c r="AZU27" s="212"/>
      <c r="AZV27" s="212"/>
      <c r="AZW27" s="212"/>
      <c r="AZX27" s="212"/>
      <c r="AZY27" s="212"/>
      <c r="AZZ27" s="212"/>
      <c r="BAA27" s="212"/>
      <c r="BAB27" s="212"/>
      <c r="BAC27" s="212"/>
      <c r="BAD27" s="212"/>
      <c r="BAE27" s="212"/>
      <c r="BAF27" s="212"/>
      <c r="BAG27" s="212"/>
      <c r="BAH27" s="212"/>
      <c r="BAI27" s="212"/>
      <c r="BAJ27" s="212"/>
      <c r="BAK27" s="212"/>
      <c r="BAL27" s="212"/>
      <c r="BAM27" s="212"/>
      <c r="BAN27" s="212"/>
      <c r="BAO27" s="212"/>
      <c r="BAP27" s="212"/>
      <c r="BAQ27" s="212"/>
      <c r="BAR27" s="212"/>
      <c r="BAS27" s="212"/>
      <c r="BAT27" s="212"/>
      <c r="BAU27" s="212"/>
      <c r="BAV27" s="212"/>
      <c r="BAW27" s="212"/>
      <c r="BAX27" s="212"/>
      <c r="BAY27" s="212"/>
      <c r="BAZ27" s="212"/>
      <c r="BBA27" s="212"/>
      <c r="BBB27" s="212"/>
      <c r="BBC27" s="212"/>
      <c r="BBD27" s="212"/>
      <c r="BBE27" s="212"/>
      <c r="BBF27" s="212"/>
      <c r="BBG27" s="212"/>
      <c r="BBH27" s="212"/>
      <c r="BBI27" s="212"/>
      <c r="BBJ27" s="212"/>
      <c r="BBK27" s="212"/>
      <c r="BBL27" s="212"/>
      <c r="BBM27" s="212"/>
      <c r="BBN27" s="212"/>
      <c r="BBO27" s="212"/>
      <c r="BBP27" s="212"/>
      <c r="BBQ27" s="212"/>
      <c r="BBR27" s="212"/>
      <c r="BBS27" s="212"/>
      <c r="BBT27" s="212"/>
      <c r="BBU27" s="212"/>
      <c r="BBV27" s="212"/>
      <c r="BBW27" s="212"/>
      <c r="BBX27" s="212"/>
      <c r="BBY27" s="212"/>
      <c r="BBZ27" s="212"/>
      <c r="BCA27" s="212"/>
      <c r="BCB27" s="212"/>
      <c r="BCC27" s="212"/>
      <c r="BCD27" s="212"/>
      <c r="BCE27" s="212"/>
      <c r="BCF27" s="212"/>
      <c r="BCG27" s="212"/>
      <c r="BCH27" s="212"/>
      <c r="BCI27" s="212"/>
      <c r="BCJ27" s="212"/>
      <c r="BCK27" s="212"/>
      <c r="BCL27" s="212"/>
      <c r="BCM27" s="212"/>
      <c r="BCN27" s="212"/>
      <c r="BCO27" s="212"/>
      <c r="BCP27" s="212"/>
      <c r="BCQ27" s="212"/>
      <c r="BCR27" s="212"/>
      <c r="BCS27" s="212"/>
      <c r="BCT27" s="212"/>
      <c r="BCU27" s="212"/>
      <c r="BCV27" s="212"/>
      <c r="BCW27" s="212"/>
      <c r="BCX27" s="212"/>
      <c r="BCY27" s="212"/>
      <c r="BCZ27" s="212"/>
      <c r="BDA27" s="212"/>
      <c r="BDB27" s="212"/>
      <c r="BDC27" s="212"/>
      <c r="BDD27" s="212"/>
      <c r="BDE27" s="212"/>
      <c r="BDF27" s="212"/>
      <c r="BDG27" s="212"/>
      <c r="BDH27" s="212"/>
      <c r="BDI27" s="212"/>
      <c r="BDJ27" s="212"/>
      <c r="BDK27" s="212"/>
      <c r="BDL27" s="212"/>
      <c r="BDM27" s="212"/>
      <c r="BDN27" s="212"/>
      <c r="BDO27" s="212"/>
      <c r="BDP27" s="212"/>
      <c r="BDQ27" s="212"/>
      <c r="BDR27" s="212"/>
      <c r="BDS27" s="212"/>
      <c r="BDT27" s="212"/>
      <c r="BDU27" s="212"/>
      <c r="BDV27" s="212"/>
      <c r="BDW27" s="212"/>
      <c r="BDX27" s="212"/>
      <c r="BDY27" s="212"/>
      <c r="BDZ27" s="212"/>
      <c r="BEA27" s="212"/>
      <c r="BEB27" s="212"/>
      <c r="BEC27" s="212"/>
      <c r="BED27" s="212"/>
      <c r="BEE27" s="212"/>
      <c r="BEF27" s="212"/>
      <c r="BEG27" s="212"/>
      <c r="BEH27" s="212"/>
      <c r="BEI27" s="212"/>
      <c r="BEJ27" s="212"/>
      <c r="BEK27" s="212"/>
      <c r="BEL27" s="212"/>
      <c r="BEM27" s="212"/>
      <c r="BEN27" s="212"/>
      <c r="BEO27" s="212"/>
      <c r="BEP27" s="212"/>
      <c r="BEQ27" s="212"/>
      <c r="BER27" s="212"/>
      <c r="BES27" s="212"/>
      <c r="BET27" s="212"/>
      <c r="BEU27" s="212"/>
      <c r="BEV27" s="212"/>
      <c r="BEW27" s="212"/>
      <c r="BEX27" s="212"/>
      <c r="BEY27" s="212"/>
      <c r="BEZ27" s="212"/>
      <c r="BFA27" s="212"/>
      <c r="BFB27" s="212"/>
      <c r="BFC27" s="212"/>
      <c r="BFD27" s="212"/>
      <c r="BFE27" s="212"/>
      <c r="BFF27" s="212"/>
      <c r="BFG27" s="212"/>
      <c r="BFH27" s="212"/>
      <c r="BFI27" s="212"/>
      <c r="BFJ27" s="212"/>
      <c r="BFK27" s="212"/>
      <c r="BFL27" s="212"/>
      <c r="BFM27" s="212"/>
      <c r="BFN27" s="212"/>
      <c r="BFO27" s="212"/>
      <c r="BFP27" s="212"/>
      <c r="BFQ27" s="212"/>
      <c r="BFR27" s="212"/>
      <c r="BFS27" s="212"/>
      <c r="BFT27" s="212"/>
      <c r="BFU27" s="212"/>
      <c r="BFV27" s="212"/>
      <c r="BFW27" s="212"/>
      <c r="BFX27" s="212"/>
      <c r="BFY27" s="212"/>
      <c r="BFZ27" s="212"/>
      <c r="BGA27" s="212"/>
      <c r="BGB27" s="212"/>
      <c r="BGC27" s="212"/>
      <c r="BGD27" s="212"/>
      <c r="BGE27" s="212"/>
      <c r="BGF27" s="212"/>
      <c r="BGG27" s="212"/>
      <c r="BGH27" s="212"/>
      <c r="BGI27" s="212"/>
      <c r="BGJ27" s="212"/>
      <c r="BGK27" s="212"/>
      <c r="BGL27" s="212"/>
      <c r="BGM27" s="212"/>
      <c r="BGN27" s="212"/>
      <c r="BGO27" s="212"/>
      <c r="BGP27" s="212"/>
      <c r="BGQ27" s="212"/>
      <c r="BGR27" s="212"/>
      <c r="BGS27" s="212"/>
      <c r="BGT27" s="212"/>
      <c r="BGU27" s="212"/>
      <c r="BGV27" s="212"/>
      <c r="BGW27" s="212"/>
      <c r="BGX27" s="212"/>
      <c r="BGY27" s="212"/>
      <c r="BGZ27" s="212"/>
      <c r="BHA27" s="212"/>
      <c r="BHB27" s="212"/>
      <c r="BHC27" s="212"/>
      <c r="BHD27" s="212"/>
      <c r="BHE27" s="212"/>
      <c r="BHF27" s="212"/>
      <c r="BHG27" s="212"/>
      <c r="BHH27" s="212"/>
      <c r="BHI27" s="212"/>
      <c r="BHJ27" s="212"/>
      <c r="BHK27" s="212"/>
      <c r="BHL27" s="212"/>
      <c r="BHM27" s="212"/>
      <c r="BHN27" s="212"/>
      <c r="BHO27" s="212"/>
      <c r="BHP27" s="212"/>
      <c r="BHQ27" s="212"/>
      <c r="BHR27" s="212"/>
      <c r="BHS27" s="212"/>
      <c r="BHT27" s="212"/>
      <c r="BHU27" s="212"/>
      <c r="BHV27" s="212"/>
      <c r="BHW27" s="212"/>
      <c r="BHX27" s="212"/>
      <c r="BHY27" s="212"/>
      <c r="BHZ27" s="212"/>
      <c r="BIA27" s="212"/>
      <c r="BIB27" s="212"/>
      <c r="BIC27" s="212"/>
      <c r="BID27" s="212"/>
      <c r="BIE27" s="212"/>
      <c r="BIF27" s="212"/>
      <c r="BIG27" s="212"/>
      <c r="BIH27" s="212"/>
      <c r="BII27" s="212"/>
      <c r="BIJ27" s="212"/>
      <c r="BIK27" s="212"/>
      <c r="BIL27" s="212"/>
      <c r="BIM27" s="212"/>
      <c r="BIN27" s="212"/>
      <c r="BIO27" s="212"/>
      <c r="BIP27" s="212"/>
      <c r="BIQ27" s="212"/>
      <c r="BIR27" s="212"/>
      <c r="BIS27" s="212"/>
      <c r="BIT27" s="212"/>
      <c r="BIU27" s="212"/>
      <c r="BIV27" s="212"/>
      <c r="BIW27" s="212"/>
      <c r="BIX27" s="212"/>
      <c r="BIY27" s="212"/>
      <c r="BIZ27" s="212"/>
      <c r="BJA27" s="212"/>
      <c r="BJB27" s="212"/>
      <c r="BJC27" s="212"/>
      <c r="BJD27" s="212"/>
      <c r="BJE27" s="212"/>
      <c r="BJF27" s="212"/>
      <c r="BJG27" s="212"/>
      <c r="BJH27" s="212"/>
      <c r="BJI27" s="212"/>
      <c r="BJJ27" s="212"/>
      <c r="BJK27" s="212"/>
      <c r="BJL27" s="212"/>
      <c r="BJM27" s="212"/>
      <c r="BJN27" s="212"/>
      <c r="BJO27" s="212"/>
      <c r="BJP27" s="212"/>
      <c r="BJQ27" s="212"/>
      <c r="BJR27" s="212"/>
      <c r="BJS27" s="212"/>
      <c r="BJT27" s="212"/>
      <c r="BJU27" s="212"/>
      <c r="BJV27" s="212"/>
      <c r="BJW27" s="212"/>
      <c r="BJX27" s="212"/>
      <c r="BJY27" s="212"/>
      <c r="BJZ27" s="212"/>
      <c r="BKA27" s="212"/>
      <c r="BKB27" s="212"/>
      <c r="BKC27" s="212"/>
      <c r="BKD27" s="212"/>
      <c r="BKE27" s="212"/>
      <c r="BKF27" s="212"/>
      <c r="BKG27" s="212"/>
      <c r="BKH27" s="212"/>
      <c r="BKI27" s="212"/>
      <c r="BKJ27" s="212"/>
      <c r="BKK27" s="212"/>
      <c r="BKL27" s="212"/>
      <c r="BKM27" s="212"/>
      <c r="BKN27" s="212"/>
      <c r="BKO27" s="212"/>
      <c r="BKP27" s="212"/>
      <c r="BKQ27" s="212"/>
      <c r="BKR27" s="212"/>
      <c r="BKS27" s="212"/>
      <c r="BKT27" s="212"/>
      <c r="BKU27" s="212"/>
      <c r="BKV27" s="212"/>
      <c r="BKW27" s="212"/>
      <c r="BKX27" s="212"/>
      <c r="BKY27" s="212"/>
      <c r="BKZ27" s="212"/>
      <c r="BLA27" s="212"/>
      <c r="BLB27" s="212"/>
      <c r="BLC27" s="212"/>
      <c r="BLD27" s="212"/>
      <c r="BLE27" s="212"/>
      <c r="BLF27" s="212"/>
      <c r="BLG27" s="212"/>
      <c r="BLH27" s="212"/>
      <c r="BLI27" s="212"/>
      <c r="BLJ27" s="212"/>
      <c r="BLK27" s="212"/>
      <c r="BLL27" s="212"/>
      <c r="BLM27" s="212"/>
      <c r="BLN27" s="212"/>
      <c r="BLO27" s="212"/>
      <c r="BLP27" s="212"/>
      <c r="BLQ27" s="212"/>
      <c r="BLR27" s="212"/>
      <c r="BLS27" s="212"/>
      <c r="BLT27" s="212"/>
      <c r="BLU27" s="212"/>
      <c r="BLV27" s="212"/>
      <c r="BLW27" s="212"/>
      <c r="BLX27" s="212"/>
      <c r="BLY27" s="212"/>
      <c r="BLZ27" s="212"/>
      <c r="BMA27" s="212"/>
      <c r="BMB27" s="212"/>
      <c r="BMC27" s="212"/>
      <c r="BMD27" s="212"/>
      <c r="BME27" s="212"/>
      <c r="BMF27" s="212"/>
      <c r="BMG27" s="212"/>
      <c r="BMH27" s="212"/>
      <c r="BMI27" s="212"/>
      <c r="BMJ27" s="212"/>
      <c r="BMK27" s="212"/>
      <c r="BML27" s="212"/>
      <c r="BMM27" s="212"/>
      <c r="BMN27" s="212"/>
      <c r="BMO27" s="212"/>
      <c r="BMP27" s="212"/>
      <c r="BMQ27" s="212"/>
      <c r="BMR27" s="212"/>
      <c r="BMS27" s="212"/>
      <c r="BMT27" s="212"/>
      <c r="BMU27" s="212"/>
      <c r="BMV27" s="212"/>
      <c r="BMW27" s="212"/>
      <c r="BMX27" s="212"/>
      <c r="BMY27" s="212"/>
      <c r="BMZ27" s="212"/>
      <c r="BNA27" s="212"/>
      <c r="BNB27" s="212"/>
      <c r="BNC27" s="212"/>
      <c r="BND27" s="212"/>
      <c r="BNE27" s="212"/>
      <c r="BNF27" s="212"/>
      <c r="BNG27" s="212"/>
      <c r="BNH27" s="212"/>
      <c r="BNI27" s="212"/>
      <c r="BNJ27" s="212"/>
      <c r="BNK27" s="212"/>
      <c r="BNL27" s="212"/>
      <c r="BNM27" s="212"/>
      <c r="BNN27" s="212"/>
      <c r="BNO27" s="212"/>
      <c r="BNP27" s="212"/>
      <c r="BNQ27" s="212"/>
      <c r="BNR27" s="212"/>
      <c r="BNS27" s="212"/>
      <c r="BNT27" s="212"/>
      <c r="BNU27" s="212"/>
      <c r="BNV27" s="212"/>
      <c r="BNW27" s="212"/>
      <c r="BNX27" s="212"/>
      <c r="BNY27" s="212"/>
      <c r="BNZ27" s="212"/>
      <c r="BOA27" s="212"/>
      <c r="BOB27" s="212"/>
      <c r="BOC27" s="212"/>
      <c r="BOD27" s="212"/>
      <c r="BOE27" s="212"/>
      <c r="BOF27" s="212"/>
      <c r="BOG27" s="212"/>
      <c r="BOH27" s="212"/>
      <c r="BOI27" s="212"/>
      <c r="BOJ27" s="212"/>
      <c r="BOK27" s="212"/>
      <c r="BOL27" s="212"/>
      <c r="BOM27" s="212"/>
      <c r="BON27" s="212"/>
      <c r="BOO27" s="212"/>
      <c r="BOP27" s="212"/>
      <c r="BOQ27" s="212"/>
      <c r="BOR27" s="212"/>
      <c r="BOS27" s="212"/>
      <c r="BOT27" s="212"/>
      <c r="BOU27" s="212"/>
      <c r="BOV27" s="212"/>
      <c r="BOW27" s="212"/>
      <c r="BOX27" s="212"/>
      <c r="BOY27" s="212"/>
      <c r="BOZ27" s="212"/>
      <c r="BPA27" s="212"/>
      <c r="BPB27" s="212"/>
      <c r="BPC27" s="212"/>
      <c r="BPD27" s="212"/>
      <c r="BPE27" s="212"/>
      <c r="BPF27" s="212"/>
      <c r="BPG27" s="212"/>
      <c r="BPH27" s="212"/>
      <c r="BPI27" s="212"/>
      <c r="BPJ27" s="212"/>
      <c r="BPK27" s="212"/>
      <c r="BPL27" s="212"/>
      <c r="BPM27" s="212"/>
      <c r="BPN27" s="212"/>
      <c r="BPO27" s="212"/>
      <c r="BPP27" s="212"/>
      <c r="BPQ27" s="212"/>
      <c r="BPR27" s="212"/>
      <c r="BPS27" s="212"/>
      <c r="BPT27" s="212"/>
      <c r="BPU27" s="212"/>
      <c r="BPV27" s="212"/>
      <c r="BPW27" s="212"/>
      <c r="BPX27" s="212"/>
      <c r="BPY27" s="212"/>
      <c r="BPZ27" s="212"/>
      <c r="BQA27" s="212"/>
      <c r="BQB27" s="212"/>
      <c r="BQC27" s="212"/>
      <c r="BQD27" s="212"/>
      <c r="BQE27" s="212"/>
      <c r="BQF27" s="212"/>
      <c r="BQG27" s="212"/>
      <c r="BQH27" s="212"/>
      <c r="BQI27" s="212"/>
      <c r="BQJ27" s="212"/>
      <c r="BQK27" s="212"/>
      <c r="BQL27" s="212"/>
      <c r="BQM27" s="212"/>
      <c r="BQN27" s="212"/>
      <c r="BQO27" s="212"/>
      <c r="BQP27" s="212"/>
      <c r="BQQ27" s="212"/>
      <c r="BQR27" s="212"/>
      <c r="BQS27" s="212"/>
      <c r="BQT27" s="212"/>
      <c r="BQU27" s="212"/>
      <c r="BQV27" s="212"/>
      <c r="BQW27" s="212"/>
      <c r="BQX27" s="212"/>
      <c r="BQY27" s="212"/>
      <c r="BQZ27" s="212"/>
      <c r="BRA27" s="212"/>
      <c r="BRB27" s="212"/>
      <c r="BRC27" s="212"/>
      <c r="BRD27" s="212"/>
      <c r="BRE27" s="212"/>
      <c r="BRF27" s="212"/>
      <c r="BRG27" s="212"/>
      <c r="BRH27" s="212"/>
      <c r="BRI27" s="212"/>
      <c r="BRJ27" s="212"/>
      <c r="BRK27" s="212"/>
      <c r="BRL27" s="212"/>
      <c r="BRM27" s="212"/>
      <c r="BRN27" s="212"/>
      <c r="BRO27" s="212"/>
      <c r="BRP27" s="212"/>
      <c r="BRQ27" s="212"/>
      <c r="BRR27" s="212"/>
      <c r="BRS27" s="212"/>
      <c r="BRT27" s="212"/>
      <c r="BRU27" s="212"/>
      <c r="BRV27" s="212"/>
      <c r="BRW27" s="212"/>
      <c r="BRX27" s="212"/>
      <c r="BRY27" s="212"/>
      <c r="BRZ27" s="212"/>
      <c r="BSA27" s="212"/>
      <c r="BSB27" s="212"/>
      <c r="BSC27" s="212"/>
      <c r="BSD27" s="212"/>
      <c r="BSE27" s="212"/>
      <c r="BSF27" s="212"/>
      <c r="BSG27" s="212"/>
      <c r="BSH27" s="212"/>
      <c r="BSI27" s="212"/>
      <c r="BSJ27" s="212"/>
      <c r="BSK27" s="212"/>
      <c r="BSL27" s="212"/>
      <c r="BSM27" s="212"/>
      <c r="BSN27" s="212"/>
      <c r="BSO27" s="212"/>
      <c r="BSP27" s="212"/>
      <c r="BSQ27" s="212"/>
      <c r="BSR27" s="212"/>
      <c r="BSS27" s="212"/>
      <c r="BST27" s="212"/>
      <c r="BSU27" s="212"/>
      <c r="BSV27" s="212"/>
      <c r="BSW27" s="212"/>
      <c r="BSX27" s="212"/>
      <c r="BSY27" s="212"/>
      <c r="BSZ27" s="212"/>
      <c r="BTA27" s="212"/>
      <c r="BTB27" s="212"/>
      <c r="BTC27" s="212"/>
      <c r="BTD27" s="212"/>
      <c r="BTE27" s="212"/>
      <c r="BTF27" s="212"/>
      <c r="BTG27" s="212"/>
      <c r="BTH27" s="212"/>
      <c r="BTI27" s="212"/>
      <c r="BTJ27" s="212"/>
      <c r="BTK27" s="212"/>
      <c r="BTL27" s="212"/>
      <c r="BTM27" s="212"/>
      <c r="BTN27" s="212"/>
      <c r="BTO27" s="212"/>
      <c r="BTP27" s="212"/>
      <c r="BTQ27" s="212"/>
      <c r="BTR27" s="212"/>
      <c r="BTS27" s="212"/>
      <c r="BTT27" s="212"/>
      <c r="BTU27" s="212"/>
      <c r="BTV27" s="212"/>
      <c r="BTW27" s="212"/>
      <c r="BTX27" s="212"/>
      <c r="BTY27" s="212"/>
      <c r="BTZ27" s="212"/>
      <c r="BUA27" s="212"/>
      <c r="BUB27" s="212"/>
      <c r="BUC27" s="212"/>
      <c r="BUD27" s="212"/>
      <c r="BUE27" s="212"/>
      <c r="BUF27" s="212"/>
      <c r="BUG27" s="212"/>
      <c r="BUH27" s="212"/>
      <c r="BUI27" s="212"/>
      <c r="BUJ27" s="212"/>
      <c r="BUK27" s="212"/>
      <c r="BUL27" s="212"/>
      <c r="BUM27" s="212"/>
      <c r="BUN27" s="212"/>
      <c r="BUO27" s="212"/>
      <c r="BUP27" s="212"/>
      <c r="BUQ27" s="212"/>
      <c r="BUR27" s="212"/>
      <c r="BUS27" s="212"/>
      <c r="BUT27" s="212"/>
      <c r="BUU27" s="212"/>
      <c r="BUV27" s="212"/>
      <c r="BUW27" s="212"/>
      <c r="BUX27" s="212"/>
      <c r="BUY27" s="212"/>
      <c r="BUZ27" s="212"/>
      <c r="BVA27" s="212"/>
      <c r="BVB27" s="212"/>
      <c r="BVC27" s="212"/>
      <c r="BVD27" s="212"/>
      <c r="BVE27" s="212"/>
      <c r="BVF27" s="212"/>
      <c r="BVG27" s="212"/>
      <c r="BVH27" s="212"/>
      <c r="BVI27" s="212"/>
      <c r="BVJ27" s="212"/>
      <c r="BVK27" s="212"/>
      <c r="BVL27" s="212"/>
      <c r="BVM27" s="212"/>
      <c r="BVN27" s="212"/>
      <c r="BVO27" s="212"/>
      <c r="BVP27" s="212"/>
      <c r="BVQ27" s="212"/>
      <c r="BVR27" s="212"/>
      <c r="BVS27" s="212"/>
      <c r="BVT27" s="212"/>
      <c r="BVU27" s="212"/>
      <c r="BVV27" s="212"/>
      <c r="BVW27" s="212"/>
      <c r="BVX27" s="212"/>
      <c r="BVY27" s="212"/>
      <c r="BVZ27" s="212"/>
      <c r="BWA27" s="212"/>
      <c r="BWB27" s="212"/>
      <c r="BWC27" s="212"/>
      <c r="BWD27" s="212"/>
      <c r="BWE27" s="212"/>
      <c r="BWF27" s="212"/>
      <c r="BWG27" s="212"/>
      <c r="BWH27" s="212"/>
      <c r="BWI27" s="212"/>
      <c r="BWJ27" s="212"/>
      <c r="BWK27" s="212"/>
      <c r="BWL27" s="212"/>
      <c r="BWM27" s="212"/>
      <c r="BWN27" s="212"/>
      <c r="BWO27" s="212"/>
      <c r="BWP27" s="212"/>
      <c r="BWQ27" s="212"/>
      <c r="BWR27" s="212"/>
      <c r="BWS27" s="212"/>
      <c r="BWT27" s="212"/>
      <c r="BWU27" s="212"/>
      <c r="BWV27" s="212"/>
      <c r="BWW27" s="212"/>
      <c r="BWX27" s="212"/>
      <c r="BWY27" s="212"/>
      <c r="BWZ27" s="212"/>
      <c r="BXA27" s="212"/>
      <c r="BXB27" s="212"/>
      <c r="BXC27" s="212"/>
      <c r="BXD27" s="212"/>
      <c r="BXE27" s="212"/>
      <c r="BXF27" s="212"/>
      <c r="BXG27" s="212"/>
      <c r="BXH27" s="212"/>
      <c r="BXI27" s="212"/>
      <c r="BXJ27" s="212"/>
      <c r="BXK27" s="212"/>
      <c r="BXL27" s="212"/>
      <c r="BXM27" s="212"/>
      <c r="BXN27" s="212"/>
      <c r="BXO27" s="212"/>
      <c r="BXP27" s="212"/>
      <c r="BXQ27" s="212"/>
      <c r="BXR27" s="212"/>
      <c r="BXS27" s="212"/>
      <c r="BXT27" s="212"/>
      <c r="BXU27" s="212"/>
      <c r="BXV27" s="212"/>
      <c r="BXW27" s="212"/>
      <c r="BXX27" s="212"/>
      <c r="BXY27" s="212"/>
      <c r="BXZ27" s="212"/>
      <c r="BYA27" s="212"/>
      <c r="BYB27" s="212"/>
      <c r="BYC27" s="212"/>
      <c r="BYD27" s="212"/>
      <c r="BYE27" s="212"/>
      <c r="BYF27" s="212"/>
      <c r="BYG27" s="212"/>
    </row>
    <row r="28" spans="1:2009" s="101" customFormat="1" ht="12.75" customHeight="1" thickBot="1" x14ac:dyDescent="0.3">
      <c r="A28" s="98"/>
      <c r="B28" s="98"/>
      <c r="C28" s="174"/>
      <c r="D28" s="174"/>
      <c r="E28" s="174"/>
      <c r="F28" s="174"/>
      <c r="G28" s="17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</row>
    <row r="29" spans="1:2009" s="110" customFormat="1" ht="24.95" customHeight="1" x14ac:dyDescent="0.25">
      <c r="A29" s="141" t="s">
        <v>169</v>
      </c>
      <c r="B29" s="142"/>
      <c r="C29" s="189"/>
      <c r="D29" s="189"/>
      <c r="E29" s="190"/>
      <c r="F29" s="190"/>
      <c r="G29" s="19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hidden="1" customHeight="1" x14ac:dyDescent="0.25">
      <c r="A30" s="399"/>
      <c r="B30" s="114" t="s">
        <v>233</v>
      </c>
      <c r="C30" s="192"/>
      <c r="D30" s="192"/>
      <c r="E30" s="193"/>
      <c r="F30" s="193"/>
      <c r="G30" s="194">
        <f>SUM(C30:F30)</f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110" customFormat="1" ht="24.95" customHeight="1" x14ac:dyDescent="0.25">
      <c r="A31" s="150"/>
      <c r="B31" s="114" t="s">
        <v>334</v>
      </c>
      <c r="C31" s="192">
        <v>22791.16</v>
      </c>
      <c r="D31" s="192">
        <v>23665.75</v>
      </c>
      <c r="E31" s="193">
        <v>21961.040000000001</v>
      </c>
      <c r="F31" s="193"/>
      <c r="G31" s="194">
        <f>SUM(C31:F31)</f>
        <v>68417.950000000012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</row>
    <row r="32" spans="1:2009" s="238" customFormat="1" ht="24.95" customHeight="1" thickBot="1" x14ac:dyDescent="0.3">
      <c r="A32" s="232"/>
      <c r="B32" s="233" t="s">
        <v>170</v>
      </c>
      <c r="C32" s="234">
        <f>SUM(C30:C31)</f>
        <v>22791.16</v>
      </c>
      <c r="D32" s="234">
        <f>D31</f>
        <v>23665.75</v>
      </c>
      <c r="E32" s="234">
        <f>E31</f>
        <v>21961.040000000001</v>
      </c>
      <c r="F32" s="235"/>
      <c r="G32" s="236">
        <f>SUM(G30:G31)</f>
        <v>68417.950000000012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  <c r="MU32" s="237"/>
      <c r="MV32" s="237"/>
      <c r="MW32" s="237"/>
      <c r="MX32" s="237"/>
      <c r="MY32" s="237"/>
      <c r="MZ32" s="237"/>
      <c r="NA32" s="237"/>
      <c r="NB32" s="237"/>
      <c r="NC32" s="237"/>
      <c r="ND32" s="237"/>
      <c r="NE32" s="237"/>
      <c r="NF32" s="237"/>
      <c r="NG32" s="237"/>
      <c r="NH32" s="237"/>
      <c r="NI32" s="237"/>
      <c r="NJ32" s="237"/>
      <c r="NK32" s="237"/>
      <c r="NL32" s="237"/>
      <c r="NM32" s="237"/>
      <c r="NN32" s="237"/>
      <c r="NO32" s="237"/>
      <c r="NP32" s="237"/>
      <c r="NQ32" s="237"/>
      <c r="NR32" s="237"/>
      <c r="NS32" s="237"/>
      <c r="NT32" s="237"/>
      <c r="NU32" s="237"/>
      <c r="NV32" s="237"/>
      <c r="NW32" s="237"/>
      <c r="NX32" s="237"/>
      <c r="NY32" s="237"/>
      <c r="NZ32" s="237"/>
      <c r="OA32" s="237"/>
      <c r="OB32" s="237"/>
      <c r="OC32" s="237"/>
      <c r="OD32" s="237"/>
      <c r="OE32" s="237"/>
      <c r="OF32" s="237"/>
      <c r="OG32" s="237"/>
      <c r="OH32" s="237"/>
      <c r="OI32" s="237"/>
      <c r="OJ32" s="237"/>
      <c r="OK32" s="237"/>
      <c r="OL32" s="237"/>
      <c r="OM32" s="237"/>
      <c r="ON32" s="237"/>
      <c r="OO32" s="237"/>
      <c r="OP32" s="237"/>
      <c r="OQ32" s="237"/>
      <c r="OR32" s="237"/>
      <c r="OS32" s="237"/>
      <c r="OT32" s="237"/>
      <c r="OU32" s="237"/>
      <c r="OV32" s="237"/>
      <c r="OW32" s="237"/>
      <c r="OX32" s="237"/>
      <c r="OY32" s="237"/>
      <c r="OZ32" s="237"/>
      <c r="PA32" s="237"/>
      <c r="PB32" s="237"/>
      <c r="PC32" s="237"/>
      <c r="PD32" s="237"/>
      <c r="PE32" s="237"/>
      <c r="PF32" s="237"/>
      <c r="PG32" s="237"/>
      <c r="PH32" s="237"/>
      <c r="PI32" s="237"/>
      <c r="PJ32" s="237"/>
      <c r="PK32" s="237"/>
      <c r="PL32" s="237"/>
      <c r="PM32" s="237"/>
      <c r="PN32" s="237"/>
      <c r="PO32" s="237"/>
      <c r="PP32" s="237"/>
      <c r="PQ32" s="237"/>
      <c r="PR32" s="237"/>
      <c r="PS32" s="237"/>
      <c r="PT32" s="237"/>
      <c r="PU32" s="237"/>
      <c r="PV32" s="237"/>
      <c r="PW32" s="237"/>
      <c r="PX32" s="237"/>
      <c r="PY32" s="237"/>
      <c r="PZ32" s="237"/>
      <c r="QA32" s="237"/>
      <c r="QB32" s="237"/>
      <c r="QC32" s="237"/>
      <c r="QD32" s="237"/>
      <c r="QE32" s="237"/>
      <c r="QF32" s="237"/>
      <c r="QG32" s="237"/>
      <c r="QH32" s="237"/>
      <c r="QI32" s="237"/>
      <c r="QJ32" s="237"/>
      <c r="QK32" s="237"/>
      <c r="QL32" s="237"/>
      <c r="QM32" s="237"/>
      <c r="QN32" s="237"/>
      <c r="QO32" s="237"/>
      <c r="QP32" s="237"/>
      <c r="QQ32" s="237"/>
      <c r="QR32" s="237"/>
      <c r="QS32" s="237"/>
      <c r="QT32" s="237"/>
      <c r="QU32" s="237"/>
      <c r="QV32" s="237"/>
      <c r="QW32" s="237"/>
      <c r="QX32" s="237"/>
      <c r="QY32" s="237"/>
      <c r="QZ32" s="237"/>
      <c r="RA32" s="237"/>
      <c r="RB32" s="237"/>
      <c r="RC32" s="237"/>
      <c r="RD32" s="237"/>
      <c r="RE32" s="237"/>
      <c r="RF32" s="237"/>
      <c r="RG32" s="237"/>
      <c r="RH32" s="237"/>
      <c r="RI32" s="237"/>
      <c r="RJ32" s="237"/>
      <c r="RK32" s="237"/>
      <c r="RL32" s="237"/>
      <c r="RM32" s="237"/>
      <c r="RN32" s="237"/>
      <c r="RO32" s="237"/>
      <c r="RP32" s="237"/>
      <c r="RQ32" s="237"/>
      <c r="RR32" s="237"/>
      <c r="RS32" s="237"/>
      <c r="RT32" s="237"/>
      <c r="RU32" s="237"/>
      <c r="RV32" s="237"/>
      <c r="RW32" s="237"/>
      <c r="RX32" s="237"/>
      <c r="RY32" s="237"/>
      <c r="RZ32" s="237"/>
      <c r="SA32" s="237"/>
      <c r="SB32" s="237"/>
      <c r="SC32" s="237"/>
      <c r="SD32" s="237"/>
      <c r="SE32" s="237"/>
      <c r="SF32" s="237"/>
      <c r="SG32" s="237"/>
      <c r="SH32" s="237"/>
      <c r="SI32" s="237"/>
      <c r="SJ32" s="237"/>
      <c r="SK32" s="237"/>
      <c r="SL32" s="237"/>
      <c r="SM32" s="237"/>
      <c r="SN32" s="237"/>
      <c r="SO32" s="237"/>
      <c r="SP32" s="237"/>
      <c r="SQ32" s="237"/>
      <c r="SR32" s="237"/>
      <c r="SS32" s="237"/>
      <c r="ST32" s="237"/>
      <c r="SU32" s="237"/>
      <c r="SV32" s="237"/>
      <c r="SW32" s="237"/>
      <c r="SX32" s="237"/>
      <c r="SY32" s="237"/>
      <c r="SZ32" s="237"/>
      <c r="TA32" s="237"/>
      <c r="TB32" s="237"/>
      <c r="TC32" s="237"/>
      <c r="TD32" s="237"/>
      <c r="TE32" s="237"/>
      <c r="TF32" s="237"/>
      <c r="TG32" s="237"/>
      <c r="TH32" s="237"/>
      <c r="TI32" s="237"/>
      <c r="TJ32" s="237"/>
      <c r="TK32" s="237"/>
      <c r="TL32" s="237"/>
      <c r="TM32" s="237"/>
      <c r="TN32" s="237"/>
      <c r="TO32" s="237"/>
      <c r="TP32" s="237"/>
      <c r="TQ32" s="237"/>
      <c r="TR32" s="237"/>
      <c r="TS32" s="237"/>
      <c r="TT32" s="237"/>
      <c r="TU32" s="237"/>
      <c r="TV32" s="237"/>
      <c r="TW32" s="237"/>
      <c r="TX32" s="237"/>
      <c r="TY32" s="237"/>
      <c r="TZ32" s="237"/>
      <c r="UA32" s="237"/>
      <c r="UB32" s="237"/>
      <c r="UC32" s="237"/>
      <c r="UD32" s="237"/>
      <c r="UE32" s="237"/>
      <c r="UF32" s="237"/>
      <c r="UG32" s="237"/>
      <c r="UH32" s="237"/>
      <c r="UI32" s="237"/>
      <c r="UJ32" s="237"/>
      <c r="UK32" s="237"/>
      <c r="UL32" s="237"/>
      <c r="UM32" s="237"/>
      <c r="UN32" s="237"/>
      <c r="UO32" s="237"/>
      <c r="UP32" s="237"/>
      <c r="UQ32" s="237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  <c r="AAZ32" s="237"/>
      <c r="ABA32" s="237"/>
      <c r="ABB32" s="237"/>
      <c r="ABC32" s="237"/>
      <c r="ABD32" s="237"/>
      <c r="ABE32" s="237"/>
      <c r="ABF32" s="237"/>
      <c r="ABG32" s="237"/>
      <c r="ABH32" s="237"/>
      <c r="ABI32" s="237"/>
      <c r="ABJ32" s="237"/>
      <c r="ABK32" s="237"/>
      <c r="ABL32" s="237"/>
      <c r="ABM32" s="237"/>
      <c r="ABN32" s="237"/>
      <c r="ABO32" s="237"/>
      <c r="ABP32" s="237"/>
      <c r="ABQ32" s="237"/>
      <c r="ABR32" s="237"/>
      <c r="ABS32" s="237"/>
      <c r="ABT32" s="237"/>
      <c r="ABU32" s="237"/>
      <c r="ABV32" s="237"/>
      <c r="ABW32" s="237"/>
      <c r="ABX32" s="237"/>
      <c r="ABY32" s="237"/>
      <c r="ABZ32" s="237"/>
      <c r="ACA32" s="237"/>
      <c r="ACB32" s="237"/>
      <c r="ACC32" s="237"/>
      <c r="ACD32" s="237"/>
      <c r="ACE32" s="237"/>
      <c r="ACF32" s="237"/>
      <c r="ACG32" s="237"/>
      <c r="ACH32" s="237"/>
      <c r="ACI32" s="237"/>
      <c r="ACJ32" s="237"/>
      <c r="ACK32" s="237"/>
      <c r="ACL32" s="237"/>
      <c r="ACM32" s="237"/>
      <c r="ACN32" s="237"/>
      <c r="ACO32" s="237"/>
      <c r="ACP32" s="237"/>
      <c r="ACQ32" s="237"/>
      <c r="ACR32" s="237"/>
      <c r="ACS32" s="237"/>
      <c r="ACT32" s="237"/>
      <c r="ACU32" s="237"/>
      <c r="ACV32" s="237"/>
      <c r="ACW32" s="237"/>
      <c r="ACX32" s="237"/>
      <c r="ACY32" s="237"/>
      <c r="ACZ32" s="237"/>
      <c r="ADA32" s="237"/>
      <c r="ADB32" s="237"/>
      <c r="ADC32" s="237"/>
      <c r="ADD32" s="237"/>
      <c r="ADE32" s="237"/>
      <c r="ADF32" s="237"/>
      <c r="ADG32" s="237"/>
      <c r="ADH32" s="237"/>
      <c r="ADI32" s="237"/>
      <c r="ADJ32" s="237"/>
      <c r="ADK32" s="237"/>
      <c r="ADL32" s="237"/>
      <c r="ADM32" s="237"/>
      <c r="ADN32" s="237"/>
      <c r="ADO32" s="237"/>
      <c r="ADP32" s="237"/>
      <c r="ADQ32" s="237"/>
      <c r="ADR32" s="237"/>
      <c r="ADS32" s="237"/>
      <c r="ADT32" s="237"/>
      <c r="ADU32" s="237"/>
      <c r="ADV32" s="237"/>
      <c r="ADW32" s="237"/>
      <c r="ADX32" s="237"/>
      <c r="ADY32" s="237"/>
      <c r="ADZ32" s="237"/>
      <c r="AEA32" s="237"/>
      <c r="AEB32" s="237"/>
      <c r="AEC32" s="237"/>
      <c r="AED32" s="237"/>
      <c r="AEE32" s="237"/>
      <c r="AEF32" s="237"/>
      <c r="AEG32" s="237"/>
      <c r="AEH32" s="237"/>
      <c r="AEI32" s="237"/>
      <c r="AEJ32" s="237"/>
      <c r="AEK32" s="237"/>
      <c r="AEL32" s="237"/>
      <c r="AEM32" s="237"/>
      <c r="AEN32" s="237"/>
      <c r="AEO32" s="237"/>
      <c r="AEP32" s="237"/>
      <c r="AEQ32" s="237"/>
      <c r="AER32" s="237"/>
      <c r="AES32" s="237"/>
      <c r="AET32" s="237"/>
      <c r="AEU32" s="237"/>
      <c r="AEV32" s="237"/>
      <c r="AEW32" s="237"/>
      <c r="AEX32" s="237"/>
      <c r="AEY32" s="237"/>
      <c r="AEZ32" s="237"/>
      <c r="AFA32" s="237"/>
      <c r="AFB32" s="237"/>
      <c r="AFC32" s="237"/>
      <c r="AFD32" s="237"/>
      <c r="AFE32" s="237"/>
      <c r="AFF32" s="237"/>
      <c r="AFG32" s="237"/>
      <c r="AFH32" s="237"/>
      <c r="AFI32" s="237"/>
      <c r="AFJ32" s="237"/>
      <c r="AFK32" s="237"/>
      <c r="AFL32" s="237"/>
      <c r="AFM32" s="237"/>
      <c r="AFN32" s="237"/>
      <c r="AFO32" s="237"/>
      <c r="AFP32" s="237"/>
      <c r="AFQ32" s="237"/>
      <c r="AFR32" s="237"/>
      <c r="AFS32" s="237"/>
      <c r="AFT32" s="237"/>
      <c r="AFU32" s="237"/>
      <c r="AFV32" s="237"/>
      <c r="AFW32" s="237"/>
      <c r="AFX32" s="237"/>
      <c r="AFY32" s="237"/>
      <c r="AFZ32" s="237"/>
      <c r="AGA32" s="237"/>
      <c r="AGB32" s="237"/>
      <c r="AGC32" s="237"/>
      <c r="AGD32" s="237"/>
      <c r="AGE32" s="237"/>
      <c r="AGF32" s="237"/>
      <c r="AGG32" s="237"/>
      <c r="AGH32" s="237"/>
      <c r="AGI32" s="237"/>
      <c r="AGJ32" s="237"/>
      <c r="AGK32" s="237"/>
      <c r="AGL32" s="237"/>
      <c r="AGM32" s="237"/>
      <c r="AGN32" s="237"/>
      <c r="AGO32" s="237"/>
      <c r="AGP32" s="237"/>
      <c r="AGQ32" s="237"/>
      <c r="AGR32" s="237"/>
      <c r="AGS32" s="237"/>
      <c r="AGT32" s="237"/>
      <c r="AGU32" s="237"/>
      <c r="AGV32" s="237"/>
      <c r="AGW32" s="237"/>
      <c r="AGX32" s="237"/>
      <c r="AGY32" s="237"/>
      <c r="AGZ32" s="237"/>
      <c r="AHA32" s="237"/>
      <c r="AHB32" s="237"/>
      <c r="AHC32" s="237"/>
      <c r="AHD32" s="237"/>
      <c r="AHE32" s="237"/>
      <c r="AHF32" s="237"/>
      <c r="AHG32" s="237"/>
      <c r="AHH32" s="237"/>
      <c r="AHI32" s="237"/>
      <c r="AHJ32" s="237"/>
      <c r="AHK32" s="237"/>
      <c r="AHL32" s="237"/>
      <c r="AHM32" s="237"/>
      <c r="AHN32" s="237"/>
      <c r="AHO32" s="237"/>
      <c r="AHP32" s="237"/>
      <c r="AHQ32" s="237"/>
      <c r="AHR32" s="237"/>
      <c r="AHS32" s="237"/>
      <c r="AHT32" s="237"/>
      <c r="AHU32" s="237"/>
      <c r="AHV32" s="237"/>
      <c r="AHW32" s="237"/>
      <c r="AHX32" s="237"/>
      <c r="AHY32" s="237"/>
      <c r="AHZ32" s="237"/>
      <c r="AIA32" s="237"/>
      <c r="AIB32" s="237"/>
      <c r="AIC32" s="237"/>
      <c r="AID32" s="237"/>
      <c r="AIE32" s="237"/>
      <c r="AIF32" s="237"/>
      <c r="AIG32" s="237"/>
      <c r="AIH32" s="237"/>
      <c r="AII32" s="237"/>
      <c r="AIJ32" s="237"/>
      <c r="AIK32" s="237"/>
      <c r="AIL32" s="237"/>
      <c r="AIM32" s="237"/>
      <c r="AIN32" s="237"/>
      <c r="AIO32" s="237"/>
      <c r="AIP32" s="237"/>
      <c r="AIQ32" s="237"/>
      <c r="AIR32" s="237"/>
      <c r="AIS32" s="237"/>
      <c r="AIT32" s="237"/>
      <c r="AIU32" s="237"/>
      <c r="AIV32" s="237"/>
      <c r="AIW32" s="237"/>
      <c r="AIX32" s="237"/>
      <c r="AIY32" s="237"/>
      <c r="AIZ32" s="237"/>
      <c r="AJA32" s="237"/>
      <c r="AJB32" s="237"/>
      <c r="AJC32" s="237"/>
      <c r="AJD32" s="237"/>
      <c r="AJE32" s="237"/>
      <c r="AJF32" s="237"/>
      <c r="AJG32" s="237"/>
      <c r="AJH32" s="237"/>
      <c r="AJI32" s="237"/>
      <c r="AJJ32" s="237"/>
      <c r="AJK32" s="237"/>
      <c r="AJL32" s="237"/>
      <c r="AJM32" s="237"/>
      <c r="AJN32" s="237"/>
      <c r="AJO32" s="237"/>
      <c r="AJP32" s="237"/>
      <c r="AJQ32" s="237"/>
      <c r="AJR32" s="237"/>
      <c r="AJS32" s="237"/>
      <c r="AJT32" s="237"/>
      <c r="AJU32" s="237"/>
      <c r="AJV32" s="237"/>
      <c r="AJW32" s="237"/>
      <c r="AJX32" s="237"/>
      <c r="AJY32" s="237"/>
      <c r="AJZ32" s="237"/>
      <c r="AKA32" s="237"/>
      <c r="AKB32" s="237"/>
      <c r="AKC32" s="237"/>
      <c r="AKD32" s="237"/>
      <c r="AKE32" s="237"/>
      <c r="AKF32" s="237"/>
      <c r="AKG32" s="237"/>
      <c r="AKH32" s="237"/>
      <c r="AKI32" s="237"/>
      <c r="AKJ32" s="237"/>
      <c r="AKK32" s="237"/>
      <c r="AKL32" s="237"/>
      <c r="AKM32" s="237"/>
      <c r="AKN32" s="237"/>
      <c r="AKO32" s="237"/>
      <c r="AKP32" s="237"/>
      <c r="AKQ32" s="237"/>
      <c r="AKR32" s="237"/>
      <c r="AKS32" s="237"/>
      <c r="AKT32" s="237"/>
      <c r="AKU32" s="237"/>
      <c r="AKV32" s="237"/>
      <c r="AKW32" s="237"/>
      <c r="AKX32" s="237"/>
      <c r="AKY32" s="237"/>
      <c r="AKZ32" s="237"/>
      <c r="ALA32" s="237"/>
      <c r="ALB32" s="237"/>
      <c r="ALC32" s="237"/>
      <c r="ALD32" s="237"/>
      <c r="ALE32" s="237"/>
      <c r="ALF32" s="237"/>
      <c r="ALG32" s="237"/>
      <c r="ALH32" s="237"/>
      <c r="ALI32" s="237"/>
      <c r="ALJ32" s="237"/>
      <c r="ALK32" s="237"/>
      <c r="ALL32" s="237"/>
      <c r="ALM32" s="237"/>
      <c r="ALN32" s="237"/>
      <c r="ALO32" s="237"/>
      <c r="ALP32" s="237"/>
      <c r="ALQ32" s="237"/>
      <c r="ALR32" s="237"/>
      <c r="ALS32" s="237"/>
      <c r="ALT32" s="237"/>
      <c r="ALU32" s="237"/>
      <c r="ALV32" s="237"/>
      <c r="ALW32" s="237"/>
      <c r="ALX32" s="237"/>
      <c r="ALY32" s="237"/>
      <c r="ALZ32" s="237"/>
      <c r="AMA32" s="237"/>
      <c r="AMB32" s="237"/>
      <c r="AMC32" s="237"/>
      <c r="AMD32" s="237"/>
      <c r="AME32" s="237"/>
      <c r="AMF32" s="237"/>
      <c r="AMG32" s="237"/>
      <c r="AMH32" s="237"/>
      <c r="AMI32" s="237"/>
      <c r="AMJ32" s="237"/>
      <c r="AMK32" s="237"/>
      <c r="AML32" s="237"/>
      <c r="AMM32" s="237"/>
      <c r="AMN32" s="237"/>
      <c r="AMO32" s="237"/>
      <c r="AMP32" s="237"/>
      <c r="AMQ32" s="237"/>
      <c r="AMR32" s="237"/>
      <c r="AMS32" s="237"/>
      <c r="AMT32" s="237"/>
      <c r="AMU32" s="237"/>
      <c r="AMV32" s="237"/>
      <c r="AMW32" s="237"/>
      <c r="AMX32" s="237"/>
      <c r="AMY32" s="237"/>
      <c r="AMZ32" s="237"/>
      <c r="ANA32" s="237"/>
      <c r="ANB32" s="237"/>
      <c r="ANC32" s="237"/>
      <c r="AND32" s="237"/>
      <c r="ANE32" s="237"/>
      <c r="ANF32" s="237"/>
      <c r="ANG32" s="237"/>
      <c r="ANH32" s="237"/>
      <c r="ANI32" s="237"/>
      <c r="ANJ32" s="237"/>
      <c r="ANK32" s="237"/>
      <c r="ANL32" s="237"/>
      <c r="ANM32" s="237"/>
      <c r="ANN32" s="237"/>
      <c r="ANO32" s="237"/>
      <c r="ANP32" s="237"/>
      <c r="ANQ32" s="237"/>
      <c r="ANR32" s="237"/>
      <c r="ANS32" s="237"/>
      <c r="ANT32" s="237"/>
      <c r="ANU32" s="237"/>
      <c r="ANV32" s="237"/>
      <c r="ANW32" s="237"/>
      <c r="ANX32" s="237"/>
      <c r="ANY32" s="237"/>
      <c r="ANZ32" s="237"/>
      <c r="AOA32" s="237"/>
      <c r="AOB32" s="237"/>
      <c r="AOC32" s="237"/>
      <c r="AOD32" s="237"/>
      <c r="AOE32" s="237"/>
      <c r="AOF32" s="237"/>
      <c r="AOG32" s="237"/>
      <c r="AOH32" s="237"/>
      <c r="AOI32" s="237"/>
      <c r="AOJ32" s="237"/>
      <c r="AOK32" s="237"/>
      <c r="AOL32" s="237"/>
      <c r="AOM32" s="237"/>
      <c r="AON32" s="237"/>
      <c r="AOO32" s="237"/>
      <c r="AOP32" s="237"/>
      <c r="AOQ32" s="237"/>
      <c r="AOR32" s="237"/>
      <c r="AOS32" s="237"/>
      <c r="AOT32" s="237"/>
      <c r="AOU32" s="237"/>
      <c r="AOV32" s="237"/>
      <c r="AOW32" s="237"/>
      <c r="AOX32" s="237"/>
      <c r="AOY32" s="237"/>
      <c r="AOZ32" s="237"/>
      <c r="APA32" s="237"/>
      <c r="APB32" s="237"/>
      <c r="APC32" s="237"/>
      <c r="APD32" s="237"/>
      <c r="APE32" s="237"/>
      <c r="APF32" s="237"/>
      <c r="APG32" s="237"/>
      <c r="APH32" s="237"/>
      <c r="API32" s="237"/>
      <c r="APJ32" s="237"/>
      <c r="APK32" s="237"/>
      <c r="APL32" s="237"/>
      <c r="APM32" s="237"/>
      <c r="APN32" s="237"/>
      <c r="APO32" s="237"/>
      <c r="APP32" s="237"/>
      <c r="APQ32" s="237"/>
      <c r="APR32" s="237"/>
      <c r="APS32" s="237"/>
      <c r="APT32" s="237"/>
      <c r="APU32" s="237"/>
      <c r="APV32" s="237"/>
      <c r="APW32" s="237"/>
      <c r="APX32" s="237"/>
      <c r="APY32" s="237"/>
      <c r="APZ32" s="237"/>
      <c r="AQA32" s="237"/>
      <c r="AQB32" s="237"/>
      <c r="AQC32" s="237"/>
      <c r="AQD32" s="237"/>
      <c r="AQE32" s="237"/>
      <c r="AQF32" s="237"/>
      <c r="AQG32" s="237"/>
      <c r="AQH32" s="237"/>
      <c r="AQI32" s="237"/>
      <c r="AQJ32" s="237"/>
      <c r="AQK32" s="237"/>
      <c r="AQL32" s="237"/>
      <c r="AQM32" s="237"/>
      <c r="AQN32" s="237"/>
      <c r="AQO32" s="237"/>
      <c r="AQP32" s="237"/>
      <c r="AQQ32" s="237"/>
      <c r="AQR32" s="237"/>
      <c r="AQS32" s="237"/>
      <c r="AQT32" s="237"/>
      <c r="AQU32" s="237"/>
      <c r="AQV32" s="237"/>
      <c r="AQW32" s="237"/>
      <c r="AQX32" s="237"/>
      <c r="AQY32" s="237"/>
      <c r="AQZ32" s="237"/>
      <c r="ARA32" s="237"/>
      <c r="ARB32" s="237"/>
      <c r="ARC32" s="237"/>
      <c r="ARD32" s="237"/>
      <c r="ARE32" s="237"/>
      <c r="ARF32" s="237"/>
      <c r="ARG32" s="237"/>
      <c r="ARH32" s="237"/>
      <c r="ARI32" s="237"/>
      <c r="ARJ32" s="237"/>
      <c r="ARK32" s="237"/>
      <c r="ARL32" s="237"/>
      <c r="ARM32" s="237"/>
      <c r="ARN32" s="237"/>
      <c r="ARO32" s="237"/>
      <c r="ARP32" s="237"/>
      <c r="ARQ32" s="237"/>
      <c r="ARR32" s="237"/>
      <c r="ARS32" s="237"/>
      <c r="ART32" s="237"/>
      <c r="ARU32" s="237"/>
      <c r="ARV32" s="237"/>
      <c r="ARW32" s="237"/>
      <c r="ARX32" s="237"/>
      <c r="ARY32" s="237"/>
      <c r="ARZ32" s="237"/>
      <c r="ASA32" s="237"/>
      <c r="ASB32" s="237"/>
      <c r="ASC32" s="237"/>
      <c r="ASD32" s="237"/>
      <c r="ASE32" s="237"/>
      <c r="ASF32" s="237"/>
      <c r="ASG32" s="237"/>
      <c r="ASH32" s="237"/>
      <c r="ASI32" s="237"/>
      <c r="ASJ32" s="237"/>
      <c r="ASK32" s="237"/>
      <c r="ASL32" s="237"/>
      <c r="ASM32" s="237"/>
      <c r="ASN32" s="237"/>
      <c r="ASO32" s="237"/>
      <c r="ASP32" s="237"/>
      <c r="ASQ32" s="237"/>
      <c r="ASR32" s="237"/>
      <c r="ASS32" s="237"/>
      <c r="AST32" s="237"/>
      <c r="ASU32" s="237"/>
      <c r="ASV32" s="237"/>
      <c r="ASW32" s="237"/>
      <c r="ASX32" s="237"/>
      <c r="ASY32" s="237"/>
      <c r="ASZ32" s="237"/>
      <c r="ATA32" s="237"/>
      <c r="ATB32" s="237"/>
      <c r="ATC32" s="237"/>
      <c r="ATD32" s="237"/>
      <c r="ATE32" s="237"/>
      <c r="ATF32" s="237"/>
      <c r="ATG32" s="237"/>
      <c r="ATH32" s="237"/>
      <c r="ATI32" s="237"/>
      <c r="ATJ32" s="237"/>
      <c r="ATK32" s="237"/>
      <c r="ATL32" s="237"/>
      <c r="ATM32" s="237"/>
      <c r="ATN32" s="237"/>
      <c r="ATO32" s="237"/>
      <c r="ATP32" s="237"/>
      <c r="ATQ32" s="237"/>
      <c r="ATR32" s="237"/>
      <c r="ATS32" s="237"/>
      <c r="ATT32" s="237"/>
      <c r="ATU32" s="237"/>
      <c r="ATV32" s="237"/>
      <c r="ATW32" s="237"/>
      <c r="ATX32" s="237"/>
      <c r="ATY32" s="237"/>
      <c r="ATZ32" s="237"/>
      <c r="AUA32" s="237"/>
      <c r="AUB32" s="237"/>
      <c r="AUC32" s="237"/>
      <c r="AUD32" s="237"/>
      <c r="AUE32" s="237"/>
      <c r="AUF32" s="237"/>
      <c r="AUG32" s="237"/>
      <c r="AUH32" s="237"/>
      <c r="AUI32" s="237"/>
      <c r="AUJ32" s="237"/>
      <c r="AUK32" s="237"/>
      <c r="AUL32" s="237"/>
      <c r="AUM32" s="237"/>
      <c r="AUN32" s="237"/>
      <c r="AUO32" s="237"/>
      <c r="AUP32" s="237"/>
      <c r="AUQ32" s="237"/>
      <c r="AUR32" s="237"/>
      <c r="AUS32" s="237"/>
      <c r="AUT32" s="237"/>
      <c r="AUU32" s="237"/>
      <c r="AUV32" s="237"/>
      <c r="AUW32" s="237"/>
      <c r="AUX32" s="237"/>
      <c r="AUY32" s="237"/>
      <c r="AUZ32" s="237"/>
      <c r="AVA32" s="237"/>
      <c r="AVB32" s="237"/>
      <c r="AVC32" s="237"/>
      <c r="AVD32" s="237"/>
      <c r="AVE32" s="237"/>
      <c r="AVF32" s="237"/>
      <c r="AVG32" s="237"/>
      <c r="AVH32" s="237"/>
      <c r="AVI32" s="237"/>
      <c r="AVJ32" s="237"/>
      <c r="AVK32" s="237"/>
      <c r="AVL32" s="237"/>
      <c r="AVM32" s="237"/>
      <c r="AVN32" s="237"/>
      <c r="AVO32" s="237"/>
      <c r="AVP32" s="237"/>
      <c r="AVQ32" s="237"/>
      <c r="AVR32" s="237"/>
      <c r="AVS32" s="237"/>
      <c r="AVT32" s="237"/>
      <c r="AVU32" s="237"/>
      <c r="AVV32" s="237"/>
      <c r="AVW32" s="237"/>
      <c r="AVX32" s="237"/>
      <c r="AVY32" s="237"/>
      <c r="AVZ32" s="237"/>
      <c r="AWA32" s="237"/>
      <c r="AWB32" s="237"/>
      <c r="AWC32" s="237"/>
      <c r="AWD32" s="237"/>
      <c r="AWE32" s="237"/>
      <c r="AWF32" s="237"/>
      <c r="AWG32" s="237"/>
      <c r="AWH32" s="237"/>
      <c r="AWI32" s="237"/>
      <c r="AWJ32" s="237"/>
      <c r="AWK32" s="237"/>
      <c r="AWL32" s="237"/>
      <c r="AWM32" s="237"/>
      <c r="AWN32" s="237"/>
      <c r="AWO32" s="237"/>
      <c r="AWP32" s="237"/>
      <c r="AWQ32" s="237"/>
      <c r="AWR32" s="237"/>
      <c r="AWS32" s="237"/>
      <c r="AWT32" s="237"/>
      <c r="AWU32" s="237"/>
      <c r="AWV32" s="237"/>
      <c r="AWW32" s="237"/>
      <c r="AWX32" s="237"/>
      <c r="AWY32" s="237"/>
      <c r="AWZ32" s="237"/>
      <c r="AXA32" s="237"/>
      <c r="AXB32" s="237"/>
      <c r="AXC32" s="237"/>
      <c r="AXD32" s="237"/>
      <c r="AXE32" s="237"/>
      <c r="AXF32" s="237"/>
      <c r="AXG32" s="237"/>
      <c r="AXH32" s="237"/>
      <c r="AXI32" s="237"/>
      <c r="AXJ32" s="237"/>
      <c r="AXK32" s="237"/>
      <c r="AXL32" s="237"/>
      <c r="AXM32" s="237"/>
      <c r="AXN32" s="237"/>
      <c r="AXO32" s="237"/>
      <c r="AXP32" s="237"/>
      <c r="AXQ32" s="237"/>
      <c r="AXR32" s="237"/>
      <c r="AXS32" s="237"/>
      <c r="AXT32" s="237"/>
      <c r="AXU32" s="237"/>
      <c r="AXV32" s="237"/>
      <c r="AXW32" s="237"/>
      <c r="AXX32" s="237"/>
      <c r="AXY32" s="237"/>
      <c r="AXZ32" s="237"/>
      <c r="AYA32" s="237"/>
      <c r="AYB32" s="237"/>
      <c r="AYC32" s="237"/>
      <c r="AYD32" s="237"/>
      <c r="AYE32" s="237"/>
      <c r="AYF32" s="237"/>
      <c r="AYG32" s="237"/>
      <c r="AYH32" s="237"/>
      <c r="AYI32" s="237"/>
      <c r="AYJ32" s="237"/>
      <c r="AYK32" s="237"/>
      <c r="AYL32" s="237"/>
      <c r="AYM32" s="237"/>
      <c r="AYN32" s="237"/>
      <c r="AYO32" s="237"/>
      <c r="AYP32" s="237"/>
      <c r="AYQ32" s="237"/>
      <c r="AYR32" s="237"/>
      <c r="AYS32" s="237"/>
      <c r="AYT32" s="237"/>
      <c r="AYU32" s="237"/>
      <c r="AYV32" s="237"/>
      <c r="AYW32" s="237"/>
      <c r="AYX32" s="237"/>
      <c r="AYY32" s="237"/>
      <c r="AYZ32" s="237"/>
      <c r="AZA32" s="237"/>
      <c r="AZB32" s="237"/>
      <c r="AZC32" s="237"/>
      <c r="AZD32" s="237"/>
      <c r="AZE32" s="237"/>
      <c r="AZF32" s="237"/>
      <c r="AZG32" s="237"/>
      <c r="AZH32" s="237"/>
      <c r="AZI32" s="237"/>
      <c r="AZJ32" s="237"/>
      <c r="AZK32" s="237"/>
      <c r="AZL32" s="237"/>
      <c r="AZM32" s="237"/>
      <c r="AZN32" s="237"/>
      <c r="AZO32" s="237"/>
      <c r="AZP32" s="237"/>
      <c r="AZQ32" s="237"/>
      <c r="AZR32" s="237"/>
      <c r="AZS32" s="237"/>
      <c r="AZT32" s="237"/>
      <c r="AZU32" s="237"/>
      <c r="AZV32" s="237"/>
      <c r="AZW32" s="237"/>
      <c r="AZX32" s="237"/>
      <c r="AZY32" s="237"/>
      <c r="AZZ32" s="237"/>
      <c r="BAA32" s="237"/>
      <c r="BAB32" s="237"/>
      <c r="BAC32" s="237"/>
      <c r="BAD32" s="237"/>
      <c r="BAE32" s="237"/>
      <c r="BAF32" s="237"/>
      <c r="BAG32" s="237"/>
      <c r="BAH32" s="237"/>
      <c r="BAI32" s="237"/>
      <c r="BAJ32" s="237"/>
      <c r="BAK32" s="237"/>
      <c r="BAL32" s="237"/>
      <c r="BAM32" s="237"/>
      <c r="BAN32" s="237"/>
      <c r="BAO32" s="237"/>
      <c r="BAP32" s="237"/>
      <c r="BAQ32" s="237"/>
      <c r="BAR32" s="237"/>
      <c r="BAS32" s="237"/>
      <c r="BAT32" s="237"/>
      <c r="BAU32" s="237"/>
      <c r="BAV32" s="237"/>
      <c r="BAW32" s="237"/>
      <c r="BAX32" s="237"/>
      <c r="BAY32" s="237"/>
      <c r="BAZ32" s="237"/>
      <c r="BBA32" s="237"/>
      <c r="BBB32" s="237"/>
      <c r="BBC32" s="237"/>
      <c r="BBD32" s="237"/>
      <c r="BBE32" s="237"/>
      <c r="BBF32" s="237"/>
      <c r="BBG32" s="237"/>
      <c r="BBH32" s="237"/>
      <c r="BBI32" s="237"/>
      <c r="BBJ32" s="237"/>
      <c r="BBK32" s="237"/>
      <c r="BBL32" s="237"/>
      <c r="BBM32" s="237"/>
      <c r="BBN32" s="237"/>
      <c r="BBO32" s="237"/>
      <c r="BBP32" s="237"/>
      <c r="BBQ32" s="237"/>
      <c r="BBR32" s="237"/>
      <c r="BBS32" s="237"/>
      <c r="BBT32" s="237"/>
      <c r="BBU32" s="237"/>
      <c r="BBV32" s="237"/>
      <c r="BBW32" s="237"/>
      <c r="BBX32" s="237"/>
      <c r="BBY32" s="237"/>
      <c r="BBZ32" s="237"/>
      <c r="BCA32" s="237"/>
      <c r="BCB32" s="237"/>
      <c r="BCC32" s="237"/>
      <c r="BCD32" s="237"/>
      <c r="BCE32" s="237"/>
      <c r="BCF32" s="237"/>
      <c r="BCG32" s="237"/>
      <c r="BCH32" s="237"/>
      <c r="BCI32" s="237"/>
      <c r="BCJ32" s="237"/>
      <c r="BCK32" s="237"/>
      <c r="BCL32" s="237"/>
      <c r="BCM32" s="237"/>
      <c r="BCN32" s="237"/>
      <c r="BCO32" s="237"/>
      <c r="BCP32" s="237"/>
      <c r="BCQ32" s="237"/>
      <c r="BCR32" s="237"/>
      <c r="BCS32" s="237"/>
      <c r="BCT32" s="237"/>
      <c r="BCU32" s="237"/>
      <c r="BCV32" s="237"/>
      <c r="BCW32" s="237"/>
      <c r="BCX32" s="237"/>
      <c r="BCY32" s="237"/>
      <c r="BCZ32" s="237"/>
      <c r="BDA32" s="237"/>
      <c r="BDB32" s="237"/>
      <c r="BDC32" s="237"/>
      <c r="BDD32" s="237"/>
      <c r="BDE32" s="237"/>
      <c r="BDF32" s="237"/>
      <c r="BDG32" s="237"/>
      <c r="BDH32" s="237"/>
      <c r="BDI32" s="237"/>
      <c r="BDJ32" s="237"/>
      <c r="BDK32" s="237"/>
      <c r="BDL32" s="237"/>
      <c r="BDM32" s="237"/>
      <c r="BDN32" s="237"/>
      <c r="BDO32" s="237"/>
      <c r="BDP32" s="237"/>
      <c r="BDQ32" s="237"/>
      <c r="BDR32" s="237"/>
      <c r="BDS32" s="237"/>
      <c r="BDT32" s="237"/>
      <c r="BDU32" s="237"/>
      <c r="BDV32" s="237"/>
      <c r="BDW32" s="237"/>
      <c r="BDX32" s="237"/>
      <c r="BDY32" s="237"/>
      <c r="BDZ32" s="237"/>
      <c r="BEA32" s="237"/>
      <c r="BEB32" s="237"/>
      <c r="BEC32" s="237"/>
      <c r="BED32" s="237"/>
      <c r="BEE32" s="237"/>
      <c r="BEF32" s="237"/>
      <c r="BEG32" s="237"/>
      <c r="BEH32" s="237"/>
      <c r="BEI32" s="237"/>
      <c r="BEJ32" s="237"/>
      <c r="BEK32" s="237"/>
      <c r="BEL32" s="237"/>
      <c r="BEM32" s="237"/>
      <c r="BEN32" s="237"/>
      <c r="BEO32" s="237"/>
      <c r="BEP32" s="237"/>
      <c r="BEQ32" s="237"/>
      <c r="BER32" s="237"/>
      <c r="BES32" s="237"/>
      <c r="BET32" s="237"/>
      <c r="BEU32" s="237"/>
      <c r="BEV32" s="237"/>
      <c r="BEW32" s="237"/>
      <c r="BEX32" s="237"/>
      <c r="BEY32" s="237"/>
      <c r="BEZ32" s="237"/>
      <c r="BFA32" s="237"/>
      <c r="BFB32" s="237"/>
      <c r="BFC32" s="237"/>
      <c r="BFD32" s="237"/>
      <c r="BFE32" s="237"/>
      <c r="BFF32" s="237"/>
      <c r="BFG32" s="237"/>
      <c r="BFH32" s="237"/>
      <c r="BFI32" s="237"/>
      <c r="BFJ32" s="237"/>
      <c r="BFK32" s="237"/>
      <c r="BFL32" s="237"/>
      <c r="BFM32" s="237"/>
      <c r="BFN32" s="237"/>
      <c r="BFO32" s="237"/>
      <c r="BFP32" s="237"/>
      <c r="BFQ32" s="237"/>
      <c r="BFR32" s="237"/>
      <c r="BFS32" s="237"/>
      <c r="BFT32" s="237"/>
      <c r="BFU32" s="237"/>
      <c r="BFV32" s="237"/>
      <c r="BFW32" s="237"/>
      <c r="BFX32" s="237"/>
      <c r="BFY32" s="237"/>
      <c r="BFZ32" s="237"/>
      <c r="BGA32" s="237"/>
      <c r="BGB32" s="237"/>
      <c r="BGC32" s="237"/>
      <c r="BGD32" s="237"/>
      <c r="BGE32" s="237"/>
      <c r="BGF32" s="237"/>
      <c r="BGG32" s="237"/>
      <c r="BGH32" s="237"/>
      <c r="BGI32" s="237"/>
      <c r="BGJ32" s="237"/>
      <c r="BGK32" s="237"/>
      <c r="BGL32" s="237"/>
      <c r="BGM32" s="237"/>
      <c r="BGN32" s="237"/>
      <c r="BGO32" s="237"/>
      <c r="BGP32" s="237"/>
      <c r="BGQ32" s="237"/>
      <c r="BGR32" s="237"/>
      <c r="BGS32" s="237"/>
      <c r="BGT32" s="237"/>
      <c r="BGU32" s="237"/>
      <c r="BGV32" s="237"/>
      <c r="BGW32" s="237"/>
      <c r="BGX32" s="237"/>
      <c r="BGY32" s="237"/>
      <c r="BGZ32" s="237"/>
      <c r="BHA32" s="237"/>
      <c r="BHB32" s="237"/>
      <c r="BHC32" s="237"/>
      <c r="BHD32" s="237"/>
      <c r="BHE32" s="237"/>
      <c r="BHF32" s="237"/>
      <c r="BHG32" s="237"/>
      <c r="BHH32" s="237"/>
      <c r="BHI32" s="237"/>
      <c r="BHJ32" s="237"/>
      <c r="BHK32" s="237"/>
      <c r="BHL32" s="237"/>
      <c r="BHM32" s="237"/>
      <c r="BHN32" s="237"/>
      <c r="BHO32" s="237"/>
      <c r="BHP32" s="237"/>
      <c r="BHQ32" s="237"/>
      <c r="BHR32" s="237"/>
      <c r="BHS32" s="237"/>
      <c r="BHT32" s="237"/>
      <c r="BHU32" s="237"/>
      <c r="BHV32" s="237"/>
      <c r="BHW32" s="237"/>
      <c r="BHX32" s="237"/>
      <c r="BHY32" s="237"/>
      <c r="BHZ32" s="237"/>
      <c r="BIA32" s="237"/>
      <c r="BIB32" s="237"/>
      <c r="BIC32" s="237"/>
      <c r="BID32" s="237"/>
      <c r="BIE32" s="237"/>
      <c r="BIF32" s="237"/>
      <c r="BIG32" s="237"/>
      <c r="BIH32" s="237"/>
      <c r="BII32" s="237"/>
      <c r="BIJ32" s="237"/>
      <c r="BIK32" s="237"/>
      <c r="BIL32" s="237"/>
      <c r="BIM32" s="237"/>
      <c r="BIN32" s="237"/>
      <c r="BIO32" s="237"/>
      <c r="BIP32" s="237"/>
      <c r="BIQ32" s="237"/>
      <c r="BIR32" s="237"/>
      <c r="BIS32" s="237"/>
      <c r="BIT32" s="237"/>
      <c r="BIU32" s="237"/>
      <c r="BIV32" s="237"/>
      <c r="BIW32" s="237"/>
      <c r="BIX32" s="237"/>
      <c r="BIY32" s="237"/>
      <c r="BIZ32" s="237"/>
      <c r="BJA32" s="237"/>
      <c r="BJB32" s="237"/>
      <c r="BJC32" s="237"/>
      <c r="BJD32" s="237"/>
      <c r="BJE32" s="237"/>
      <c r="BJF32" s="237"/>
      <c r="BJG32" s="237"/>
      <c r="BJH32" s="237"/>
      <c r="BJI32" s="237"/>
      <c r="BJJ32" s="237"/>
      <c r="BJK32" s="237"/>
      <c r="BJL32" s="237"/>
      <c r="BJM32" s="237"/>
      <c r="BJN32" s="237"/>
      <c r="BJO32" s="237"/>
      <c r="BJP32" s="237"/>
      <c r="BJQ32" s="237"/>
      <c r="BJR32" s="237"/>
      <c r="BJS32" s="237"/>
      <c r="BJT32" s="237"/>
      <c r="BJU32" s="237"/>
      <c r="BJV32" s="237"/>
      <c r="BJW32" s="237"/>
      <c r="BJX32" s="237"/>
      <c r="BJY32" s="237"/>
      <c r="BJZ32" s="237"/>
      <c r="BKA32" s="237"/>
      <c r="BKB32" s="237"/>
      <c r="BKC32" s="237"/>
      <c r="BKD32" s="237"/>
      <c r="BKE32" s="237"/>
      <c r="BKF32" s="237"/>
      <c r="BKG32" s="237"/>
      <c r="BKH32" s="237"/>
      <c r="BKI32" s="237"/>
      <c r="BKJ32" s="237"/>
      <c r="BKK32" s="237"/>
      <c r="BKL32" s="237"/>
      <c r="BKM32" s="237"/>
      <c r="BKN32" s="237"/>
      <c r="BKO32" s="237"/>
      <c r="BKP32" s="237"/>
      <c r="BKQ32" s="237"/>
      <c r="BKR32" s="237"/>
      <c r="BKS32" s="237"/>
      <c r="BKT32" s="237"/>
      <c r="BKU32" s="237"/>
      <c r="BKV32" s="237"/>
      <c r="BKW32" s="237"/>
      <c r="BKX32" s="237"/>
      <c r="BKY32" s="237"/>
      <c r="BKZ32" s="237"/>
      <c r="BLA32" s="237"/>
      <c r="BLB32" s="237"/>
      <c r="BLC32" s="237"/>
      <c r="BLD32" s="237"/>
      <c r="BLE32" s="237"/>
      <c r="BLF32" s="237"/>
      <c r="BLG32" s="237"/>
      <c r="BLH32" s="237"/>
      <c r="BLI32" s="237"/>
      <c r="BLJ32" s="237"/>
      <c r="BLK32" s="237"/>
      <c r="BLL32" s="237"/>
      <c r="BLM32" s="237"/>
      <c r="BLN32" s="237"/>
      <c r="BLO32" s="237"/>
      <c r="BLP32" s="237"/>
      <c r="BLQ32" s="237"/>
      <c r="BLR32" s="237"/>
      <c r="BLS32" s="237"/>
      <c r="BLT32" s="237"/>
      <c r="BLU32" s="237"/>
      <c r="BLV32" s="237"/>
      <c r="BLW32" s="237"/>
      <c r="BLX32" s="237"/>
      <c r="BLY32" s="237"/>
      <c r="BLZ32" s="237"/>
      <c r="BMA32" s="237"/>
      <c r="BMB32" s="237"/>
      <c r="BMC32" s="237"/>
      <c r="BMD32" s="237"/>
      <c r="BME32" s="237"/>
      <c r="BMF32" s="237"/>
      <c r="BMG32" s="237"/>
      <c r="BMH32" s="237"/>
      <c r="BMI32" s="237"/>
      <c r="BMJ32" s="237"/>
      <c r="BMK32" s="237"/>
      <c r="BML32" s="237"/>
      <c r="BMM32" s="237"/>
      <c r="BMN32" s="237"/>
      <c r="BMO32" s="237"/>
      <c r="BMP32" s="237"/>
      <c r="BMQ32" s="237"/>
      <c r="BMR32" s="237"/>
      <c r="BMS32" s="237"/>
      <c r="BMT32" s="237"/>
      <c r="BMU32" s="237"/>
      <c r="BMV32" s="237"/>
      <c r="BMW32" s="237"/>
      <c r="BMX32" s="237"/>
      <c r="BMY32" s="237"/>
      <c r="BMZ32" s="237"/>
      <c r="BNA32" s="237"/>
      <c r="BNB32" s="237"/>
      <c r="BNC32" s="237"/>
      <c r="BND32" s="237"/>
      <c r="BNE32" s="237"/>
      <c r="BNF32" s="237"/>
      <c r="BNG32" s="237"/>
      <c r="BNH32" s="237"/>
      <c r="BNI32" s="237"/>
      <c r="BNJ32" s="237"/>
      <c r="BNK32" s="237"/>
      <c r="BNL32" s="237"/>
      <c r="BNM32" s="237"/>
      <c r="BNN32" s="237"/>
      <c r="BNO32" s="237"/>
      <c r="BNP32" s="237"/>
      <c r="BNQ32" s="237"/>
      <c r="BNR32" s="237"/>
      <c r="BNS32" s="237"/>
      <c r="BNT32" s="237"/>
      <c r="BNU32" s="237"/>
      <c r="BNV32" s="237"/>
      <c r="BNW32" s="237"/>
      <c r="BNX32" s="237"/>
      <c r="BNY32" s="237"/>
      <c r="BNZ32" s="237"/>
      <c r="BOA32" s="237"/>
      <c r="BOB32" s="237"/>
      <c r="BOC32" s="237"/>
      <c r="BOD32" s="237"/>
      <c r="BOE32" s="237"/>
      <c r="BOF32" s="237"/>
      <c r="BOG32" s="237"/>
      <c r="BOH32" s="237"/>
      <c r="BOI32" s="237"/>
      <c r="BOJ32" s="237"/>
      <c r="BOK32" s="237"/>
      <c r="BOL32" s="237"/>
      <c r="BOM32" s="237"/>
      <c r="BON32" s="237"/>
      <c r="BOO32" s="237"/>
      <c r="BOP32" s="237"/>
      <c r="BOQ32" s="237"/>
      <c r="BOR32" s="237"/>
      <c r="BOS32" s="237"/>
      <c r="BOT32" s="237"/>
      <c r="BOU32" s="237"/>
      <c r="BOV32" s="237"/>
      <c r="BOW32" s="237"/>
      <c r="BOX32" s="237"/>
      <c r="BOY32" s="237"/>
      <c r="BOZ32" s="237"/>
      <c r="BPA32" s="237"/>
      <c r="BPB32" s="237"/>
      <c r="BPC32" s="237"/>
      <c r="BPD32" s="237"/>
      <c r="BPE32" s="237"/>
      <c r="BPF32" s="237"/>
      <c r="BPG32" s="237"/>
      <c r="BPH32" s="237"/>
      <c r="BPI32" s="237"/>
      <c r="BPJ32" s="237"/>
      <c r="BPK32" s="237"/>
      <c r="BPL32" s="237"/>
      <c r="BPM32" s="237"/>
      <c r="BPN32" s="237"/>
      <c r="BPO32" s="237"/>
      <c r="BPP32" s="237"/>
      <c r="BPQ32" s="237"/>
      <c r="BPR32" s="237"/>
      <c r="BPS32" s="237"/>
      <c r="BPT32" s="237"/>
      <c r="BPU32" s="237"/>
      <c r="BPV32" s="237"/>
      <c r="BPW32" s="237"/>
      <c r="BPX32" s="237"/>
      <c r="BPY32" s="237"/>
      <c r="BPZ32" s="237"/>
      <c r="BQA32" s="237"/>
      <c r="BQB32" s="237"/>
      <c r="BQC32" s="237"/>
      <c r="BQD32" s="237"/>
      <c r="BQE32" s="237"/>
      <c r="BQF32" s="237"/>
      <c r="BQG32" s="237"/>
      <c r="BQH32" s="237"/>
      <c r="BQI32" s="237"/>
      <c r="BQJ32" s="237"/>
      <c r="BQK32" s="237"/>
      <c r="BQL32" s="237"/>
      <c r="BQM32" s="237"/>
      <c r="BQN32" s="237"/>
      <c r="BQO32" s="237"/>
      <c r="BQP32" s="237"/>
      <c r="BQQ32" s="237"/>
      <c r="BQR32" s="237"/>
      <c r="BQS32" s="237"/>
      <c r="BQT32" s="237"/>
      <c r="BQU32" s="237"/>
      <c r="BQV32" s="237"/>
      <c r="BQW32" s="237"/>
      <c r="BQX32" s="237"/>
      <c r="BQY32" s="237"/>
      <c r="BQZ32" s="237"/>
      <c r="BRA32" s="237"/>
      <c r="BRB32" s="237"/>
      <c r="BRC32" s="237"/>
      <c r="BRD32" s="237"/>
      <c r="BRE32" s="237"/>
      <c r="BRF32" s="237"/>
      <c r="BRG32" s="237"/>
      <c r="BRH32" s="237"/>
      <c r="BRI32" s="237"/>
      <c r="BRJ32" s="237"/>
      <c r="BRK32" s="237"/>
      <c r="BRL32" s="237"/>
      <c r="BRM32" s="237"/>
      <c r="BRN32" s="237"/>
      <c r="BRO32" s="237"/>
      <c r="BRP32" s="237"/>
      <c r="BRQ32" s="237"/>
      <c r="BRR32" s="237"/>
      <c r="BRS32" s="237"/>
      <c r="BRT32" s="237"/>
      <c r="BRU32" s="237"/>
      <c r="BRV32" s="237"/>
      <c r="BRW32" s="237"/>
      <c r="BRX32" s="237"/>
      <c r="BRY32" s="237"/>
      <c r="BRZ32" s="237"/>
      <c r="BSA32" s="237"/>
      <c r="BSB32" s="237"/>
      <c r="BSC32" s="237"/>
      <c r="BSD32" s="237"/>
      <c r="BSE32" s="237"/>
      <c r="BSF32" s="237"/>
      <c r="BSG32" s="237"/>
      <c r="BSH32" s="237"/>
      <c r="BSI32" s="237"/>
      <c r="BSJ32" s="237"/>
      <c r="BSK32" s="237"/>
      <c r="BSL32" s="237"/>
      <c r="BSM32" s="237"/>
      <c r="BSN32" s="237"/>
      <c r="BSO32" s="237"/>
      <c r="BSP32" s="237"/>
      <c r="BSQ32" s="237"/>
      <c r="BSR32" s="237"/>
      <c r="BSS32" s="237"/>
      <c r="BST32" s="237"/>
      <c r="BSU32" s="237"/>
      <c r="BSV32" s="237"/>
      <c r="BSW32" s="237"/>
      <c r="BSX32" s="237"/>
      <c r="BSY32" s="237"/>
      <c r="BSZ32" s="237"/>
      <c r="BTA32" s="237"/>
      <c r="BTB32" s="237"/>
      <c r="BTC32" s="237"/>
      <c r="BTD32" s="237"/>
      <c r="BTE32" s="237"/>
      <c r="BTF32" s="237"/>
      <c r="BTG32" s="237"/>
      <c r="BTH32" s="237"/>
      <c r="BTI32" s="237"/>
      <c r="BTJ32" s="237"/>
      <c r="BTK32" s="237"/>
      <c r="BTL32" s="237"/>
      <c r="BTM32" s="237"/>
      <c r="BTN32" s="237"/>
      <c r="BTO32" s="237"/>
      <c r="BTP32" s="237"/>
      <c r="BTQ32" s="237"/>
      <c r="BTR32" s="237"/>
      <c r="BTS32" s="237"/>
      <c r="BTT32" s="237"/>
      <c r="BTU32" s="237"/>
      <c r="BTV32" s="237"/>
      <c r="BTW32" s="237"/>
      <c r="BTX32" s="237"/>
      <c r="BTY32" s="237"/>
      <c r="BTZ32" s="237"/>
      <c r="BUA32" s="237"/>
      <c r="BUB32" s="237"/>
      <c r="BUC32" s="237"/>
      <c r="BUD32" s="237"/>
      <c r="BUE32" s="237"/>
      <c r="BUF32" s="237"/>
      <c r="BUG32" s="237"/>
      <c r="BUH32" s="237"/>
      <c r="BUI32" s="237"/>
      <c r="BUJ32" s="237"/>
      <c r="BUK32" s="237"/>
      <c r="BUL32" s="237"/>
      <c r="BUM32" s="237"/>
      <c r="BUN32" s="237"/>
      <c r="BUO32" s="237"/>
      <c r="BUP32" s="237"/>
      <c r="BUQ32" s="237"/>
      <c r="BUR32" s="237"/>
      <c r="BUS32" s="237"/>
      <c r="BUT32" s="237"/>
      <c r="BUU32" s="237"/>
      <c r="BUV32" s="237"/>
      <c r="BUW32" s="237"/>
      <c r="BUX32" s="237"/>
      <c r="BUY32" s="237"/>
      <c r="BUZ32" s="237"/>
      <c r="BVA32" s="237"/>
      <c r="BVB32" s="237"/>
      <c r="BVC32" s="237"/>
      <c r="BVD32" s="237"/>
      <c r="BVE32" s="237"/>
      <c r="BVF32" s="237"/>
      <c r="BVG32" s="237"/>
      <c r="BVH32" s="237"/>
      <c r="BVI32" s="237"/>
      <c r="BVJ32" s="237"/>
      <c r="BVK32" s="237"/>
      <c r="BVL32" s="237"/>
      <c r="BVM32" s="237"/>
      <c r="BVN32" s="237"/>
      <c r="BVO32" s="237"/>
      <c r="BVP32" s="237"/>
      <c r="BVQ32" s="237"/>
      <c r="BVR32" s="237"/>
      <c r="BVS32" s="237"/>
      <c r="BVT32" s="237"/>
      <c r="BVU32" s="237"/>
      <c r="BVV32" s="237"/>
      <c r="BVW32" s="237"/>
      <c r="BVX32" s="237"/>
      <c r="BVY32" s="237"/>
      <c r="BVZ32" s="237"/>
      <c r="BWA32" s="237"/>
      <c r="BWB32" s="237"/>
      <c r="BWC32" s="237"/>
      <c r="BWD32" s="237"/>
      <c r="BWE32" s="237"/>
      <c r="BWF32" s="237"/>
      <c r="BWG32" s="237"/>
      <c r="BWH32" s="237"/>
      <c r="BWI32" s="237"/>
      <c r="BWJ32" s="237"/>
      <c r="BWK32" s="237"/>
      <c r="BWL32" s="237"/>
      <c r="BWM32" s="237"/>
      <c r="BWN32" s="237"/>
      <c r="BWO32" s="237"/>
      <c r="BWP32" s="237"/>
      <c r="BWQ32" s="237"/>
      <c r="BWR32" s="237"/>
      <c r="BWS32" s="237"/>
      <c r="BWT32" s="237"/>
      <c r="BWU32" s="237"/>
      <c r="BWV32" s="237"/>
      <c r="BWW32" s="237"/>
      <c r="BWX32" s="237"/>
      <c r="BWY32" s="237"/>
      <c r="BWZ32" s="237"/>
      <c r="BXA32" s="237"/>
      <c r="BXB32" s="237"/>
      <c r="BXC32" s="237"/>
      <c r="BXD32" s="237"/>
      <c r="BXE32" s="237"/>
      <c r="BXF32" s="237"/>
      <c r="BXG32" s="237"/>
      <c r="BXH32" s="237"/>
      <c r="BXI32" s="237"/>
      <c r="BXJ32" s="237"/>
      <c r="BXK32" s="237"/>
      <c r="BXL32" s="237"/>
      <c r="BXM32" s="237"/>
      <c r="BXN32" s="237"/>
      <c r="BXO32" s="237"/>
      <c r="BXP32" s="237"/>
      <c r="BXQ32" s="237"/>
      <c r="BXR32" s="237"/>
      <c r="BXS32" s="237"/>
      <c r="BXT32" s="237"/>
      <c r="BXU32" s="237"/>
      <c r="BXV32" s="237"/>
      <c r="BXW32" s="237"/>
      <c r="BXX32" s="237"/>
      <c r="BXY32" s="237"/>
      <c r="BXZ32" s="237"/>
      <c r="BYA32" s="237"/>
      <c r="BYB32" s="237"/>
      <c r="BYC32" s="237"/>
      <c r="BYD32" s="237"/>
      <c r="BYE32" s="237"/>
      <c r="BYF32" s="237"/>
      <c r="BYG32" s="237"/>
    </row>
    <row r="33" spans="1:2009" s="94" customFormat="1" ht="17.25" customHeight="1" thickBot="1" x14ac:dyDescent="0.3">
      <c r="A33" s="111"/>
      <c r="B33" s="111"/>
      <c r="C33" s="182"/>
      <c r="D33" s="182"/>
      <c r="E33" s="182"/>
      <c r="F33" s="182"/>
      <c r="G33" s="182"/>
    </row>
    <row r="34" spans="1:2009" s="113" customFormat="1" ht="24.95" hidden="1" customHeight="1" x14ac:dyDescent="0.25">
      <c r="A34" s="141" t="s">
        <v>45</v>
      </c>
      <c r="B34" s="142"/>
      <c r="C34" s="195"/>
      <c r="D34" s="195"/>
      <c r="E34" s="196"/>
      <c r="F34" s="196"/>
      <c r="G34" s="197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  <c r="AMK34" s="112"/>
      <c r="AML34" s="112"/>
      <c r="AMM34" s="112"/>
      <c r="AMN34" s="112"/>
      <c r="AMO34" s="112"/>
      <c r="AMP34" s="112"/>
      <c r="AMQ34" s="112"/>
      <c r="AMR34" s="112"/>
      <c r="AMS34" s="112"/>
      <c r="AMT34" s="112"/>
      <c r="AMU34" s="112"/>
      <c r="AMV34" s="112"/>
      <c r="AMW34" s="112"/>
      <c r="AMX34" s="112"/>
      <c r="AMY34" s="112"/>
      <c r="AMZ34" s="112"/>
      <c r="ANA34" s="112"/>
      <c r="ANB34" s="112"/>
      <c r="ANC34" s="112"/>
      <c r="AND34" s="112"/>
      <c r="ANE34" s="112"/>
      <c r="ANF34" s="112"/>
      <c r="ANG34" s="112"/>
      <c r="ANH34" s="112"/>
      <c r="ANI34" s="112"/>
      <c r="ANJ34" s="112"/>
      <c r="ANK34" s="112"/>
      <c r="ANL34" s="112"/>
      <c r="ANM34" s="112"/>
      <c r="ANN34" s="112"/>
      <c r="ANO34" s="112"/>
      <c r="ANP34" s="112"/>
      <c r="ANQ34" s="112"/>
      <c r="ANR34" s="112"/>
      <c r="ANS34" s="112"/>
      <c r="ANT34" s="112"/>
      <c r="ANU34" s="112"/>
      <c r="ANV34" s="112"/>
      <c r="ANW34" s="112"/>
      <c r="ANX34" s="112"/>
      <c r="ANY34" s="112"/>
      <c r="ANZ34" s="112"/>
      <c r="AOA34" s="112"/>
      <c r="AOB34" s="112"/>
      <c r="AOC34" s="112"/>
      <c r="AOD34" s="112"/>
      <c r="AOE34" s="112"/>
      <c r="AOF34" s="112"/>
      <c r="AOG34" s="112"/>
      <c r="AOH34" s="112"/>
      <c r="AOI34" s="112"/>
      <c r="AOJ34" s="112"/>
      <c r="AOK34" s="112"/>
      <c r="AOL34" s="112"/>
      <c r="AOM34" s="112"/>
      <c r="AON34" s="112"/>
      <c r="AOO34" s="112"/>
      <c r="AOP34" s="112"/>
      <c r="AOQ34" s="112"/>
      <c r="AOR34" s="112"/>
      <c r="AOS34" s="112"/>
      <c r="AOT34" s="112"/>
      <c r="AOU34" s="112"/>
      <c r="AOV34" s="112"/>
      <c r="AOW34" s="112"/>
      <c r="AOX34" s="112"/>
      <c r="AOY34" s="112"/>
      <c r="AOZ34" s="112"/>
      <c r="APA34" s="112"/>
      <c r="APB34" s="112"/>
      <c r="APC34" s="112"/>
      <c r="APD34" s="112"/>
      <c r="APE34" s="112"/>
      <c r="APF34" s="112"/>
      <c r="APG34" s="112"/>
      <c r="APH34" s="112"/>
      <c r="API34" s="112"/>
      <c r="APJ34" s="112"/>
      <c r="APK34" s="112"/>
      <c r="APL34" s="112"/>
      <c r="APM34" s="112"/>
      <c r="APN34" s="112"/>
      <c r="APO34" s="112"/>
      <c r="APP34" s="112"/>
      <c r="APQ34" s="112"/>
      <c r="APR34" s="112"/>
      <c r="APS34" s="112"/>
      <c r="APT34" s="112"/>
      <c r="APU34" s="112"/>
      <c r="APV34" s="112"/>
      <c r="APW34" s="112"/>
      <c r="APX34" s="112"/>
      <c r="APY34" s="112"/>
      <c r="APZ34" s="112"/>
      <c r="AQA34" s="112"/>
      <c r="AQB34" s="112"/>
      <c r="AQC34" s="112"/>
      <c r="AQD34" s="112"/>
      <c r="AQE34" s="112"/>
      <c r="AQF34" s="112"/>
      <c r="AQG34" s="112"/>
      <c r="AQH34" s="112"/>
      <c r="AQI34" s="112"/>
      <c r="AQJ34" s="112"/>
      <c r="AQK34" s="112"/>
      <c r="AQL34" s="112"/>
      <c r="AQM34" s="112"/>
      <c r="AQN34" s="112"/>
      <c r="AQO34" s="112"/>
      <c r="AQP34" s="112"/>
      <c r="AQQ34" s="112"/>
      <c r="AQR34" s="112"/>
      <c r="AQS34" s="112"/>
      <c r="AQT34" s="112"/>
      <c r="AQU34" s="112"/>
      <c r="AQV34" s="112"/>
      <c r="AQW34" s="112"/>
      <c r="AQX34" s="112"/>
      <c r="AQY34" s="112"/>
      <c r="AQZ34" s="112"/>
      <c r="ARA34" s="112"/>
      <c r="ARB34" s="112"/>
      <c r="ARC34" s="112"/>
      <c r="ARD34" s="112"/>
      <c r="ARE34" s="112"/>
      <c r="ARF34" s="112"/>
      <c r="ARG34" s="112"/>
      <c r="ARH34" s="112"/>
      <c r="ARI34" s="112"/>
      <c r="ARJ34" s="112"/>
      <c r="ARK34" s="112"/>
      <c r="ARL34" s="112"/>
      <c r="ARM34" s="112"/>
      <c r="ARN34" s="112"/>
      <c r="ARO34" s="112"/>
      <c r="ARP34" s="112"/>
      <c r="ARQ34" s="112"/>
      <c r="ARR34" s="112"/>
      <c r="ARS34" s="112"/>
      <c r="ART34" s="112"/>
      <c r="ARU34" s="112"/>
      <c r="ARV34" s="112"/>
      <c r="ARW34" s="112"/>
      <c r="ARX34" s="112"/>
      <c r="ARY34" s="112"/>
      <c r="ARZ34" s="112"/>
      <c r="ASA34" s="112"/>
      <c r="ASB34" s="112"/>
      <c r="ASC34" s="112"/>
      <c r="ASD34" s="112"/>
      <c r="ASE34" s="112"/>
      <c r="ASF34" s="112"/>
      <c r="ASG34" s="112"/>
      <c r="ASH34" s="112"/>
      <c r="ASI34" s="112"/>
      <c r="ASJ34" s="112"/>
      <c r="ASK34" s="112"/>
      <c r="ASL34" s="112"/>
      <c r="ASM34" s="112"/>
      <c r="ASN34" s="112"/>
      <c r="ASO34" s="112"/>
      <c r="ASP34" s="112"/>
      <c r="ASQ34" s="112"/>
      <c r="ASR34" s="112"/>
      <c r="ASS34" s="112"/>
      <c r="AST34" s="112"/>
      <c r="ASU34" s="112"/>
      <c r="ASV34" s="112"/>
      <c r="ASW34" s="112"/>
      <c r="ASX34" s="112"/>
      <c r="ASY34" s="112"/>
      <c r="ASZ34" s="112"/>
      <c r="ATA34" s="112"/>
      <c r="ATB34" s="112"/>
      <c r="ATC34" s="112"/>
      <c r="ATD34" s="112"/>
      <c r="ATE34" s="112"/>
      <c r="ATF34" s="112"/>
      <c r="ATG34" s="112"/>
      <c r="ATH34" s="112"/>
      <c r="ATI34" s="112"/>
      <c r="ATJ34" s="112"/>
      <c r="ATK34" s="112"/>
      <c r="ATL34" s="112"/>
      <c r="ATM34" s="112"/>
      <c r="ATN34" s="112"/>
      <c r="ATO34" s="112"/>
      <c r="ATP34" s="112"/>
      <c r="ATQ34" s="112"/>
      <c r="ATR34" s="112"/>
      <c r="ATS34" s="112"/>
      <c r="ATT34" s="112"/>
      <c r="ATU34" s="112"/>
      <c r="ATV34" s="112"/>
      <c r="ATW34" s="112"/>
      <c r="ATX34" s="112"/>
      <c r="ATY34" s="112"/>
      <c r="ATZ34" s="112"/>
      <c r="AUA34" s="112"/>
      <c r="AUB34" s="112"/>
      <c r="AUC34" s="112"/>
      <c r="AUD34" s="112"/>
      <c r="AUE34" s="112"/>
      <c r="AUF34" s="112"/>
      <c r="AUG34" s="112"/>
      <c r="AUH34" s="112"/>
      <c r="AUI34" s="112"/>
      <c r="AUJ34" s="112"/>
      <c r="AUK34" s="112"/>
      <c r="AUL34" s="112"/>
      <c r="AUM34" s="112"/>
      <c r="AUN34" s="112"/>
      <c r="AUO34" s="112"/>
      <c r="AUP34" s="112"/>
      <c r="AUQ34" s="112"/>
      <c r="AUR34" s="112"/>
      <c r="AUS34" s="112"/>
      <c r="AUT34" s="112"/>
      <c r="AUU34" s="112"/>
      <c r="AUV34" s="112"/>
      <c r="AUW34" s="112"/>
      <c r="AUX34" s="112"/>
      <c r="AUY34" s="112"/>
      <c r="AUZ34" s="112"/>
      <c r="AVA34" s="112"/>
      <c r="AVB34" s="112"/>
      <c r="AVC34" s="112"/>
      <c r="AVD34" s="112"/>
      <c r="AVE34" s="112"/>
      <c r="AVF34" s="112"/>
      <c r="AVG34" s="112"/>
      <c r="AVH34" s="112"/>
      <c r="AVI34" s="112"/>
      <c r="AVJ34" s="112"/>
      <c r="AVK34" s="112"/>
      <c r="AVL34" s="112"/>
      <c r="AVM34" s="112"/>
      <c r="AVN34" s="112"/>
      <c r="AVO34" s="112"/>
      <c r="AVP34" s="112"/>
      <c r="AVQ34" s="112"/>
      <c r="AVR34" s="112"/>
      <c r="AVS34" s="112"/>
      <c r="AVT34" s="112"/>
      <c r="AVU34" s="112"/>
      <c r="AVV34" s="112"/>
      <c r="AVW34" s="112"/>
      <c r="AVX34" s="112"/>
      <c r="AVY34" s="112"/>
      <c r="AVZ34" s="112"/>
      <c r="AWA34" s="112"/>
      <c r="AWB34" s="112"/>
      <c r="AWC34" s="112"/>
      <c r="AWD34" s="112"/>
      <c r="AWE34" s="112"/>
      <c r="AWF34" s="112"/>
      <c r="AWG34" s="112"/>
      <c r="AWH34" s="112"/>
      <c r="AWI34" s="112"/>
      <c r="AWJ34" s="112"/>
      <c r="AWK34" s="112"/>
      <c r="AWL34" s="112"/>
      <c r="AWM34" s="112"/>
      <c r="AWN34" s="112"/>
      <c r="AWO34" s="112"/>
      <c r="AWP34" s="112"/>
      <c r="AWQ34" s="112"/>
      <c r="AWR34" s="112"/>
      <c r="AWS34" s="112"/>
      <c r="AWT34" s="112"/>
      <c r="AWU34" s="112"/>
      <c r="AWV34" s="112"/>
      <c r="AWW34" s="112"/>
      <c r="AWX34" s="112"/>
      <c r="AWY34" s="112"/>
      <c r="AWZ34" s="112"/>
      <c r="AXA34" s="112"/>
      <c r="AXB34" s="112"/>
      <c r="AXC34" s="112"/>
      <c r="AXD34" s="112"/>
      <c r="AXE34" s="112"/>
      <c r="AXF34" s="112"/>
      <c r="AXG34" s="112"/>
      <c r="AXH34" s="112"/>
      <c r="AXI34" s="112"/>
      <c r="AXJ34" s="112"/>
      <c r="AXK34" s="112"/>
      <c r="AXL34" s="112"/>
      <c r="AXM34" s="112"/>
      <c r="AXN34" s="112"/>
      <c r="AXO34" s="112"/>
      <c r="AXP34" s="112"/>
      <c r="AXQ34" s="112"/>
      <c r="AXR34" s="112"/>
      <c r="AXS34" s="112"/>
      <c r="AXT34" s="112"/>
      <c r="AXU34" s="112"/>
      <c r="AXV34" s="112"/>
      <c r="AXW34" s="112"/>
      <c r="AXX34" s="112"/>
      <c r="AXY34" s="112"/>
      <c r="AXZ34" s="112"/>
      <c r="AYA34" s="112"/>
      <c r="AYB34" s="112"/>
      <c r="AYC34" s="112"/>
      <c r="AYD34" s="112"/>
      <c r="AYE34" s="112"/>
      <c r="AYF34" s="112"/>
      <c r="AYG34" s="112"/>
      <c r="AYH34" s="112"/>
      <c r="AYI34" s="112"/>
      <c r="AYJ34" s="112"/>
      <c r="AYK34" s="112"/>
      <c r="AYL34" s="112"/>
      <c r="AYM34" s="112"/>
      <c r="AYN34" s="112"/>
      <c r="AYO34" s="112"/>
      <c r="AYP34" s="112"/>
      <c r="AYQ34" s="112"/>
      <c r="AYR34" s="112"/>
      <c r="AYS34" s="112"/>
      <c r="AYT34" s="112"/>
      <c r="AYU34" s="112"/>
      <c r="AYV34" s="112"/>
      <c r="AYW34" s="112"/>
      <c r="AYX34" s="112"/>
      <c r="AYY34" s="112"/>
      <c r="AYZ34" s="112"/>
      <c r="AZA34" s="112"/>
      <c r="AZB34" s="112"/>
      <c r="AZC34" s="112"/>
      <c r="AZD34" s="112"/>
      <c r="AZE34" s="112"/>
      <c r="AZF34" s="112"/>
      <c r="AZG34" s="112"/>
      <c r="AZH34" s="112"/>
      <c r="AZI34" s="112"/>
      <c r="AZJ34" s="112"/>
      <c r="AZK34" s="112"/>
      <c r="AZL34" s="112"/>
      <c r="AZM34" s="112"/>
      <c r="AZN34" s="112"/>
      <c r="AZO34" s="112"/>
      <c r="AZP34" s="112"/>
      <c r="AZQ34" s="112"/>
      <c r="AZR34" s="112"/>
      <c r="AZS34" s="112"/>
      <c r="AZT34" s="112"/>
      <c r="AZU34" s="112"/>
      <c r="AZV34" s="112"/>
      <c r="AZW34" s="112"/>
      <c r="AZX34" s="112"/>
      <c r="AZY34" s="112"/>
      <c r="AZZ34" s="112"/>
      <c r="BAA34" s="112"/>
      <c r="BAB34" s="112"/>
      <c r="BAC34" s="112"/>
      <c r="BAD34" s="112"/>
      <c r="BAE34" s="112"/>
      <c r="BAF34" s="112"/>
      <c r="BAG34" s="112"/>
      <c r="BAH34" s="112"/>
      <c r="BAI34" s="112"/>
      <c r="BAJ34" s="112"/>
      <c r="BAK34" s="112"/>
      <c r="BAL34" s="112"/>
      <c r="BAM34" s="112"/>
      <c r="BAN34" s="112"/>
      <c r="BAO34" s="112"/>
      <c r="BAP34" s="112"/>
      <c r="BAQ34" s="112"/>
      <c r="BAR34" s="112"/>
      <c r="BAS34" s="112"/>
      <c r="BAT34" s="112"/>
      <c r="BAU34" s="112"/>
      <c r="BAV34" s="112"/>
      <c r="BAW34" s="112"/>
      <c r="BAX34" s="112"/>
      <c r="BAY34" s="112"/>
      <c r="BAZ34" s="112"/>
      <c r="BBA34" s="112"/>
      <c r="BBB34" s="112"/>
      <c r="BBC34" s="112"/>
      <c r="BBD34" s="112"/>
      <c r="BBE34" s="112"/>
      <c r="BBF34" s="112"/>
      <c r="BBG34" s="112"/>
      <c r="BBH34" s="112"/>
      <c r="BBI34" s="112"/>
      <c r="BBJ34" s="112"/>
      <c r="BBK34" s="112"/>
      <c r="BBL34" s="112"/>
      <c r="BBM34" s="112"/>
      <c r="BBN34" s="112"/>
      <c r="BBO34" s="112"/>
      <c r="BBP34" s="112"/>
      <c r="BBQ34" s="112"/>
      <c r="BBR34" s="112"/>
      <c r="BBS34" s="112"/>
      <c r="BBT34" s="112"/>
      <c r="BBU34" s="112"/>
      <c r="BBV34" s="112"/>
      <c r="BBW34" s="112"/>
      <c r="BBX34" s="112"/>
      <c r="BBY34" s="112"/>
      <c r="BBZ34" s="112"/>
      <c r="BCA34" s="112"/>
      <c r="BCB34" s="112"/>
      <c r="BCC34" s="112"/>
      <c r="BCD34" s="112"/>
      <c r="BCE34" s="112"/>
      <c r="BCF34" s="112"/>
      <c r="BCG34" s="112"/>
      <c r="BCH34" s="112"/>
      <c r="BCI34" s="112"/>
      <c r="BCJ34" s="112"/>
      <c r="BCK34" s="112"/>
      <c r="BCL34" s="112"/>
      <c r="BCM34" s="112"/>
      <c r="BCN34" s="112"/>
      <c r="BCO34" s="112"/>
      <c r="BCP34" s="112"/>
      <c r="BCQ34" s="112"/>
      <c r="BCR34" s="112"/>
      <c r="BCS34" s="112"/>
      <c r="BCT34" s="112"/>
      <c r="BCU34" s="112"/>
      <c r="BCV34" s="112"/>
      <c r="BCW34" s="112"/>
      <c r="BCX34" s="112"/>
      <c r="BCY34" s="112"/>
      <c r="BCZ34" s="112"/>
      <c r="BDA34" s="112"/>
      <c r="BDB34" s="112"/>
      <c r="BDC34" s="112"/>
      <c r="BDD34" s="112"/>
      <c r="BDE34" s="112"/>
      <c r="BDF34" s="112"/>
      <c r="BDG34" s="112"/>
      <c r="BDH34" s="112"/>
      <c r="BDI34" s="112"/>
      <c r="BDJ34" s="112"/>
      <c r="BDK34" s="112"/>
      <c r="BDL34" s="112"/>
      <c r="BDM34" s="112"/>
      <c r="BDN34" s="112"/>
      <c r="BDO34" s="112"/>
      <c r="BDP34" s="112"/>
      <c r="BDQ34" s="112"/>
      <c r="BDR34" s="112"/>
      <c r="BDS34" s="112"/>
      <c r="BDT34" s="112"/>
      <c r="BDU34" s="112"/>
      <c r="BDV34" s="112"/>
      <c r="BDW34" s="112"/>
      <c r="BDX34" s="112"/>
      <c r="BDY34" s="112"/>
      <c r="BDZ34" s="112"/>
      <c r="BEA34" s="112"/>
      <c r="BEB34" s="112"/>
      <c r="BEC34" s="112"/>
      <c r="BED34" s="112"/>
      <c r="BEE34" s="112"/>
      <c r="BEF34" s="112"/>
      <c r="BEG34" s="112"/>
      <c r="BEH34" s="112"/>
      <c r="BEI34" s="112"/>
      <c r="BEJ34" s="112"/>
      <c r="BEK34" s="112"/>
      <c r="BEL34" s="112"/>
      <c r="BEM34" s="112"/>
      <c r="BEN34" s="112"/>
      <c r="BEO34" s="112"/>
      <c r="BEP34" s="112"/>
      <c r="BEQ34" s="112"/>
      <c r="BER34" s="112"/>
      <c r="BES34" s="112"/>
      <c r="BET34" s="112"/>
      <c r="BEU34" s="112"/>
      <c r="BEV34" s="112"/>
      <c r="BEW34" s="112"/>
      <c r="BEX34" s="112"/>
      <c r="BEY34" s="112"/>
      <c r="BEZ34" s="112"/>
      <c r="BFA34" s="112"/>
      <c r="BFB34" s="112"/>
      <c r="BFC34" s="112"/>
      <c r="BFD34" s="112"/>
      <c r="BFE34" s="112"/>
      <c r="BFF34" s="112"/>
      <c r="BFG34" s="112"/>
      <c r="BFH34" s="112"/>
      <c r="BFI34" s="112"/>
      <c r="BFJ34" s="112"/>
      <c r="BFK34" s="112"/>
      <c r="BFL34" s="112"/>
      <c r="BFM34" s="112"/>
      <c r="BFN34" s="112"/>
      <c r="BFO34" s="112"/>
      <c r="BFP34" s="112"/>
      <c r="BFQ34" s="112"/>
      <c r="BFR34" s="112"/>
      <c r="BFS34" s="112"/>
      <c r="BFT34" s="112"/>
      <c r="BFU34" s="112"/>
      <c r="BFV34" s="112"/>
      <c r="BFW34" s="112"/>
      <c r="BFX34" s="112"/>
      <c r="BFY34" s="112"/>
      <c r="BFZ34" s="112"/>
      <c r="BGA34" s="112"/>
      <c r="BGB34" s="112"/>
      <c r="BGC34" s="112"/>
      <c r="BGD34" s="112"/>
      <c r="BGE34" s="112"/>
      <c r="BGF34" s="112"/>
      <c r="BGG34" s="112"/>
      <c r="BGH34" s="112"/>
      <c r="BGI34" s="112"/>
      <c r="BGJ34" s="112"/>
      <c r="BGK34" s="112"/>
      <c r="BGL34" s="112"/>
      <c r="BGM34" s="112"/>
      <c r="BGN34" s="112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112"/>
      <c r="BHA34" s="112"/>
      <c r="BHB34" s="112"/>
      <c r="BHC34" s="112"/>
      <c r="BHD34" s="112"/>
      <c r="BHE34" s="112"/>
      <c r="BHF34" s="112"/>
      <c r="BHG34" s="112"/>
      <c r="BHH34" s="112"/>
      <c r="BHI34" s="112"/>
      <c r="BHJ34" s="112"/>
      <c r="BHK34" s="112"/>
      <c r="BHL34" s="112"/>
      <c r="BHM34" s="112"/>
      <c r="BHN34" s="112"/>
      <c r="BHO34" s="112"/>
      <c r="BHP34" s="112"/>
      <c r="BHQ34" s="112"/>
      <c r="BHR34" s="112"/>
      <c r="BHS34" s="112"/>
      <c r="BHT34" s="112"/>
      <c r="BHU34" s="112"/>
      <c r="BHV34" s="112"/>
      <c r="BHW34" s="112"/>
      <c r="BHX34" s="112"/>
      <c r="BHY34" s="112"/>
      <c r="BHZ34" s="112"/>
      <c r="BIA34" s="112"/>
      <c r="BIB34" s="112"/>
      <c r="BIC34" s="112"/>
      <c r="BID34" s="112"/>
      <c r="BIE34" s="112"/>
      <c r="BIF34" s="112"/>
      <c r="BIG34" s="112"/>
      <c r="BIH34" s="112"/>
      <c r="BII34" s="112"/>
      <c r="BIJ34" s="112"/>
      <c r="BIK34" s="112"/>
      <c r="BIL34" s="112"/>
      <c r="BIM34" s="112"/>
      <c r="BIN34" s="112"/>
      <c r="BIO34" s="112"/>
      <c r="BIP34" s="112"/>
      <c r="BIQ34" s="112"/>
      <c r="BIR34" s="112"/>
      <c r="BIS34" s="112"/>
      <c r="BIT34" s="112"/>
      <c r="BIU34" s="112"/>
      <c r="BIV34" s="112"/>
      <c r="BIW34" s="112"/>
      <c r="BIX34" s="112"/>
      <c r="BIY34" s="112"/>
      <c r="BIZ34" s="112"/>
      <c r="BJA34" s="112"/>
      <c r="BJB34" s="112"/>
      <c r="BJC34" s="112"/>
      <c r="BJD34" s="112"/>
      <c r="BJE34" s="112"/>
      <c r="BJF34" s="112"/>
      <c r="BJG34" s="112"/>
      <c r="BJH34" s="112"/>
      <c r="BJI34" s="112"/>
      <c r="BJJ34" s="112"/>
      <c r="BJK34" s="112"/>
      <c r="BJL34" s="112"/>
      <c r="BJM34" s="112"/>
      <c r="BJN34" s="112"/>
      <c r="BJO34" s="112"/>
      <c r="BJP34" s="112"/>
      <c r="BJQ34" s="112"/>
      <c r="BJR34" s="112"/>
      <c r="BJS34" s="112"/>
      <c r="BJT34" s="112"/>
      <c r="BJU34" s="112"/>
      <c r="BJV34" s="112"/>
      <c r="BJW34" s="112"/>
      <c r="BJX34" s="112"/>
      <c r="BJY34" s="112"/>
      <c r="BJZ34" s="112"/>
      <c r="BKA34" s="112"/>
      <c r="BKB34" s="112"/>
      <c r="BKC34" s="112"/>
      <c r="BKD34" s="112"/>
      <c r="BKE34" s="112"/>
      <c r="BKF34" s="112"/>
      <c r="BKG34" s="112"/>
      <c r="BKH34" s="112"/>
      <c r="BKI34" s="112"/>
      <c r="BKJ34" s="112"/>
      <c r="BKK34" s="112"/>
      <c r="BKL34" s="112"/>
      <c r="BKM34" s="112"/>
      <c r="BKN34" s="112"/>
      <c r="BKO34" s="112"/>
      <c r="BKP34" s="112"/>
      <c r="BKQ34" s="112"/>
      <c r="BKR34" s="112"/>
      <c r="BKS34" s="112"/>
      <c r="BKT34" s="112"/>
      <c r="BKU34" s="112"/>
      <c r="BKV34" s="112"/>
      <c r="BKW34" s="112"/>
      <c r="BKX34" s="112"/>
      <c r="BKY34" s="112"/>
      <c r="BKZ34" s="112"/>
      <c r="BLA34" s="112"/>
      <c r="BLB34" s="112"/>
      <c r="BLC34" s="112"/>
      <c r="BLD34" s="112"/>
      <c r="BLE34" s="112"/>
      <c r="BLF34" s="112"/>
      <c r="BLG34" s="112"/>
      <c r="BLH34" s="112"/>
      <c r="BLI34" s="112"/>
      <c r="BLJ34" s="112"/>
      <c r="BLK34" s="112"/>
      <c r="BLL34" s="112"/>
      <c r="BLM34" s="112"/>
      <c r="BLN34" s="112"/>
      <c r="BLO34" s="112"/>
      <c r="BLP34" s="112"/>
      <c r="BLQ34" s="112"/>
      <c r="BLR34" s="112"/>
      <c r="BLS34" s="112"/>
      <c r="BLT34" s="112"/>
      <c r="BLU34" s="112"/>
      <c r="BLV34" s="112"/>
      <c r="BLW34" s="112"/>
      <c r="BLX34" s="112"/>
      <c r="BLY34" s="112"/>
      <c r="BLZ34" s="112"/>
      <c r="BMA34" s="112"/>
      <c r="BMB34" s="112"/>
      <c r="BMC34" s="112"/>
      <c r="BMD34" s="112"/>
      <c r="BME34" s="112"/>
      <c r="BMF34" s="112"/>
      <c r="BMG34" s="112"/>
      <c r="BMH34" s="112"/>
      <c r="BMI34" s="112"/>
      <c r="BMJ34" s="112"/>
      <c r="BMK34" s="112"/>
      <c r="BML34" s="112"/>
      <c r="BMM34" s="112"/>
      <c r="BMN34" s="112"/>
      <c r="BMO34" s="112"/>
      <c r="BMP34" s="112"/>
      <c r="BMQ34" s="112"/>
      <c r="BMR34" s="112"/>
      <c r="BMS34" s="112"/>
      <c r="BMT34" s="112"/>
      <c r="BMU34" s="112"/>
      <c r="BMV34" s="112"/>
      <c r="BMW34" s="112"/>
      <c r="BMX34" s="112"/>
      <c r="BMY34" s="112"/>
      <c r="BMZ34" s="112"/>
      <c r="BNA34" s="112"/>
      <c r="BNB34" s="112"/>
      <c r="BNC34" s="112"/>
      <c r="BND34" s="112"/>
      <c r="BNE34" s="112"/>
      <c r="BNF34" s="112"/>
      <c r="BNG34" s="112"/>
      <c r="BNH34" s="112"/>
      <c r="BNI34" s="112"/>
      <c r="BNJ34" s="112"/>
      <c r="BNK34" s="112"/>
      <c r="BNL34" s="112"/>
      <c r="BNM34" s="112"/>
      <c r="BNN34" s="112"/>
      <c r="BNO34" s="112"/>
      <c r="BNP34" s="112"/>
      <c r="BNQ34" s="112"/>
      <c r="BNR34" s="112"/>
      <c r="BNS34" s="112"/>
      <c r="BNT34" s="112"/>
      <c r="BNU34" s="112"/>
      <c r="BNV34" s="112"/>
      <c r="BNW34" s="112"/>
      <c r="BNX34" s="112"/>
      <c r="BNY34" s="112"/>
      <c r="BNZ34" s="112"/>
      <c r="BOA34" s="112"/>
      <c r="BOB34" s="112"/>
      <c r="BOC34" s="112"/>
      <c r="BOD34" s="112"/>
      <c r="BOE34" s="112"/>
      <c r="BOF34" s="112"/>
      <c r="BOG34" s="112"/>
      <c r="BOH34" s="112"/>
      <c r="BOI34" s="112"/>
      <c r="BOJ34" s="112"/>
      <c r="BOK34" s="112"/>
      <c r="BOL34" s="112"/>
      <c r="BOM34" s="112"/>
      <c r="BON34" s="112"/>
      <c r="BOO34" s="112"/>
      <c r="BOP34" s="112"/>
      <c r="BOQ34" s="112"/>
      <c r="BOR34" s="112"/>
      <c r="BOS34" s="112"/>
      <c r="BOT34" s="112"/>
      <c r="BOU34" s="112"/>
      <c r="BOV34" s="112"/>
      <c r="BOW34" s="112"/>
      <c r="BOX34" s="112"/>
      <c r="BOY34" s="112"/>
      <c r="BOZ34" s="112"/>
      <c r="BPA34" s="112"/>
      <c r="BPB34" s="112"/>
      <c r="BPC34" s="112"/>
      <c r="BPD34" s="112"/>
      <c r="BPE34" s="112"/>
      <c r="BPF34" s="112"/>
      <c r="BPG34" s="112"/>
      <c r="BPH34" s="112"/>
      <c r="BPI34" s="112"/>
      <c r="BPJ34" s="112"/>
      <c r="BPK34" s="112"/>
      <c r="BPL34" s="112"/>
      <c r="BPM34" s="112"/>
      <c r="BPN34" s="112"/>
      <c r="BPO34" s="112"/>
      <c r="BPP34" s="112"/>
      <c r="BPQ34" s="112"/>
      <c r="BPR34" s="112"/>
      <c r="BPS34" s="112"/>
      <c r="BPT34" s="112"/>
      <c r="BPU34" s="112"/>
      <c r="BPV34" s="112"/>
      <c r="BPW34" s="112"/>
      <c r="BPX34" s="112"/>
      <c r="BPY34" s="112"/>
      <c r="BPZ34" s="112"/>
      <c r="BQA34" s="112"/>
      <c r="BQB34" s="112"/>
      <c r="BQC34" s="112"/>
      <c r="BQD34" s="112"/>
      <c r="BQE34" s="112"/>
      <c r="BQF34" s="112"/>
      <c r="BQG34" s="112"/>
      <c r="BQH34" s="112"/>
      <c r="BQI34" s="112"/>
      <c r="BQJ34" s="112"/>
      <c r="BQK34" s="112"/>
      <c r="BQL34" s="112"/>
      <c r="BQM34" s="112"/>
      <c r="BQN34" s="112"/>
      <c r="BQO34" s="112"/>
      <c r="BQP34" s="112"/>
      <c r="BQQ34" s="112"/>
      <c r="BQR34" s="112"/>
      <c r="BQS34" s="112"/>
      <c r="BQT34" s="112"/>
      <c r="BQU34" s="112"/>
      <c r="BQV34" s="112"/>
      <c r="BQW34" s="112"/>
      <c r="BQX34" s="112"/>
      <c r="BQY34" s="112"/>
      <c r="BQZ34" s="112"/>
      <c r="BRA34" s="112"/>
      <c r="BRB34" s="112"/>
      <c r="BRC34" s="112"/>
      <c r="BRD34" s="112"/>
      <c r="BRE34" s="112"/>
      <c r="BRF34" s="112"/>
      <c r="BRG34" s="112"/>
      <c r="BRH34" s="112"/>
      <c r="BRI34" s="112"/>
      <c r="BRJ34" s="112"/>
      <c r="BRK34" s="112"/>
      <c r="BRL34" s="112"/>
      <c r="BRM34" s="112"/>
      <c r="BRN34" s="112"/>
      <c r="BRO34" s="112"/>
      <c r="BRP34" s="112"/>
      <c r="BRQ34" s="112"/>
      <c r="BRR34" s="112"/>
      <c r="BRS34" s="112"/>
      <c r="BRT34" s="112"/>
      <c r="BRU34" s="112"/>
      <c r="BRV34" s="112"/>
      <c r="BRW34" s="112"/>
      <c r="BRX34" s="112"/>
      <c r="BRY34" s="112"/>
      <c r="BRZ34" s="112"/>
      <c r="BSA34" s="112"/>
      <c r="BSB34" s="112"/>
      <c r="BSC34" s="112"/>
      <c r="BSD34" s="112"/>
      <c r="BSE34" s="112"/>
      <c r="BSF34" s="112"/>
      <c r="BSG34" s="112"/>
      <c r="BSH34" s="112"/>
      <c r="BSI34" s="112"/>
      <c r="BSJ34" s="112"/>
      <c r="BSK34" s="112"/>
      <c r="BSL34" s="112"/>
      <c r="BSM34" s="112"/>
      <c r="BSN34" s="112"/>
      <c r="BSO34" s="112"/>
      <c r="BSP34" s="112"/>
      <c r="BSQ34" s="112"/>
      <c r="BSR34" s="112"/>
      <c r="BSS34" s="112"/>
      <c r="BST34" s="112"/>
      <c r="BSU34" s="112"/>
      <c r="BSV34" s="112"/>
      <c r="BSW34" s="112"/>
      <c r="BSX34" s="112"/>
      <c r="BSY34" s="112"/>
      <c r="BSZ34" s="112"/>
      <c r="BTA34" s="112"/>
      <c r="BTB34" s="112"/>
      <c r="BTC34" s="112"/>
      <c r="BTD34" s="112"/>
      <c r="BTE34" s="112"/>
      <c r="BTF34" s="112"/>
      <c r="BTG34" s="112"/>
      <c r="BTH34" s="112"/>
      <c r="BTI34" s="112"/>
      <c r="BTJ34" s="112"/>
      <c r="BTK34" s="112"/>
      <c r="BTL34" s="112"/>
      <c r="BTM34" s="112"/>
      <c r="BTN34" s="112"/>
      <c r="BTO34" s="112"/>
      <c r="BTP34" s="112"/>
      <c r="BTQ34" s="112"/>
      <c r="BTR34" s="112"/>
      <c r="BTS34" s="112"/>
      <c r="BTT34" s="112"/>
      <c r="BTU34" s="112"/>
      <c r="BTV34" s="112"/>
      <c r="BTW34" s="112"/>
      <c r="BTX34" s="112"/>
      <c r="BTY34" s="112"/>
      <c r="BTZ34" s="112"/>
      <c r="BUA34" s="112"/>
      <c r="BUB34" s="112"/>
      <c r="BUC34" s="112"/>
      <c r="BUD34" s="112"/>
      <c r="BUE34" s="112"/>
      <c r="BUF34" s="112"/>
      <c r="BUG34" s="112"/>
      <c r="BUH34" s="112"/>
      <c r="BUI34" s="112"/>
      <c r="BUJ34" s="112"/>
      <c r="BUK34" s="112"/>
      <c r="BUL34" s="112"/>
      <c r="BUM34" s="112"/>
      <c r="BUN34" s="112"/>
      <c r="BUO34" s="112"/>
      <c r="BUP34" s="112"/>
      <c r="BUQ34" s="112"/>
      <c r="BUR34" s="112"/>
      <c r="BUS34" s="112"/>
      <c r="BUT34" s="112"/>
      <c r="BUU34" s="112"/>
      <c r="BUV34" s="112"/>
      <c r="BUW34" s="112"/>
      <c r="BUX34" s="112"/>
      <c r="BUY34" s="112"/>
      <c r="BUZ34" s="112"/>
      <c r="BVA34" s="112"/>
      <c r="BVB34" s="112"/>
      <c r="BVC34" s="112"/>
      <c r="BVD34" s="112"/>
      <c r="BVE34" s="112"/>
      <c r="BVF34" s="112"/>
      <c r="BVG34" s="112"/>
      <c r="BVH34" s="112"/>
      <c r="BVI34" s="112"/>
      <c r="BVJ34" s="112"/>
      <c r="BVK34" s="112"/>
      <c r="BVL34" s="112"/>
      <c r="BVM34" s="112"/>
      <c r="BVN34" s="112"/>
      <c r="BVO34" s="112"/>
      <c r="BVP34" s="112"/>
      <c r="BVQ34" s="112"/>
      <c r="BVR34" s="112"/>
      <c r="BVS34" s="112"/>
      <c r="BVT34" s="112"/>
      <c r="BVU34" s="112"/>
      <c r="BVV34" s="112"/>
      <c r="BVW34" s="112"/>
      <c r="BVX34" s="112"/>
      <c r="BVY34" s="112"/>
      <c r="BVZ34" s="112"/>
      <c r="BWA34" s="112"/>
      <c r="BWB34" s="112"/>
      <c r="BWC34" s="112"/>
      <c r="BWD34" s="112"/>
      <c r="BWE34" s="112"/>
      <c r="BWF34" s="112"/>
      <c r="BWG34" s="112"/>
      <c r="BWH34" s="112"/>
      <c r="BWI34" s="112"/>
      <c r="BWJ34" s="112"/>
      <c r="BWK34" s="112"/>
      <c r="BWL34" s="112"/>
      <c r="BWM34" s="112"/>
      <c r="BWN34" s="112"/>
      <c r="BWO34" s="112"/>
      <c r="BWP34" s="112"/>
      <c r="BWQ34" s="112"/>
      <c r="BWR34" s="112"/>
      <c r="BWS34" s="112"/>
      <c r="BWT34" s="112"/>
      <c r="BWU34" s="112"/>
      <c r="BWV34" s="112"/>
      <c r="BWW34" s="112"/>
      <c r="BWX34" s="112"/>
      <c r="BWY34" s="112"/>
      <c r="BWZ34" s="112"/>
      <c r="BXA34" s="112"/>
      <c r="BXB34" s="112"/>
      <c r="BXC34" s="112"/>
      <c r="BXD34" s="112"/>
      <c r="BXE34" s="112"/>
      <c r="BXF34" s="112"/>
      <c r="BXG34" s="112"/>
      <c r="BXH34" s="112"/>
      <c r="BXI34" s="112"/>
      <c r="BXJ34" s="112"/>
      <c r="BXK34" s="112"/>
      <c r="BXL34" s="112"/>
      <c r="BXM34" s="112"/>
      <c r="BXN34" s="112"/>
      <c r="BXO34" s="112"/>
      <c r="BXP34" s="112"/>
      <c r="BXQ34" s="112"/>
      <c r="BXR34" s="112"/>
      <c r="BXS34" s="112"/>
      <c r="BXT34" s="112"/>
      <c r="BXU34" s="112"/>
      <c r="BXV34" s="112"/>
      <c r="BXW34" s="112"/>
      <c r="BXX34" s="112"/>
      <c r="BXY34" s="112"/>
      <c r="BXZ34" s="112"/>
      <c r="BYA34" s="112"/>
      <c r="BYB34" s="112"/>
      <c r="BYC34" s="112"/>
      <c r="BYD34" s="112"/>
      <c r="BYE34" s="112"/>
      <c r="BYF34" s="112"/>
      <c r="BYG34" s="112"/>
    </row>
    <row r="35" spans="1:2009" s="115" customFormat="1" ht="24.95" hidden="1" customHeight="1" x14ac:dyDescent="0.25">
      <c r="A35" s="143"/>
      <c r="B35" s="114" t="s">
        <v>46</v>
      </c>
      <c r="C35" s="192"/>
      <c r="D35" s="192"/>
      <c r="E35" s="193"/>
      <c r="F35" s="193"/>
      <c r="G35" s="1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  <c r="BGB35" s="94"/>
      <c r="BGC35" s="94"/>
      <c r="BGD35" s="94"/>
      <c r="BGE35" s="94"/>
      <c r="BGF35" s="94"/>
      <c r="BGG35" s="94"/>
      <c r="BGH35" s="94"/>
      <c r="BGI35" s="94"/>
      <c r="BGJ35" s="94"/>
      <c r="BGK35" s="94"/>
      <c r="BGL35" s="94"/>
      <c r="BGM35" s="94"/>
      <c r="BGN35" s="94"/>
      <c r="BGO35" s="94"/>
      <c r="BGP35" s="94"/>
      <c r="BGQ35" s="94"/>
      <c r="BGR35" s="94"/>
      <c r="BGS35" s="94"/>
      <c r="BGT35" s="94"/>
      <c r="BGU35" s="94"/>
      <c r="BGV35" s="94"/>
      <c r="BGW35" s="94"/>
      <c r="BGX35" s="94"/>
      <c r="BGY35" s="94"/>
      <c r="BGZ35" s="94"/>
      <c r="BHA35" s="94"/>
      <c r="BHB35" s="94"/>
      <c r="BHC35" s="94"/>
      <c r="BHD35" s="94"/>
      <c r="BHE35" s="94"/>
      <c r="BHF35" s="94"/>
      <c r="BHG35" s="94"/>
      <c r="BHH35" s="94"/>
      <c r="BHI35" s="94"/>
      <c r="BHJ35" s="94"/>
      <c r="BHK35" s="94"/>
      <c r="BHL35" s="94"/>
      <c r="BHM35" s="94"/>
      <c r="BHN35" s="94"/>
      <c r="BHO35" s="94"/>
      <c r="BHP35" s="94"/>
      <c r="BHQ35" s="94"/>
      <c r="BHR35" s="94"/>
      <c r="BHS35" s="94"/>
      <c r="BHT35" s="94"/>
      <c r="BHU35" s="94"/>
      <c r="BHV35" s="94"/>
      <c r="BHW35" s="94"/>
      <c r="BHX35" s="94"/>
      <c r="BHY35" s="94"/>
      <c r="BHZ35" s="94"/>
      <c r="BIA35" s="94"/>
      <c r="BIB35" s="94"/>
      <c r="BIC35" s="94"/>
      <c r="BID35" s="94"/>
      <c r="BIE35" s="94"/>
      <c r="BIF35" s="94"/>
      <c r="BIG35" s="94"/>
      <c r="BIH35" s="94"/>
      <c r="BII35" s="94"/>
      <c r="BIJ35" s="94"/>
      <c r="BIK35" s="94"/>
      <c r="BIL35" s="94"/>
      <c r="BIM35" s="94"/>
      <c r="BIN35" s="94"/>
      <c r="BIO35" s="94"/>
      <c r="BIP35" s="94"/>
      <c r="BIQ35" s="94"/>
      <c r="BIR35" s="94"/>
      <c r="BIS35" s="94"/>
      <c r="BIT35" s="94"/>
      <c r="BIU35" s="94"/>
      <c r="BIV35" s="94"/>
      <c r="BIW35" s="94"/>
      <c r="BIX35" s="94"/>
      <c r="BIY35" s="94"/>
      <c r="BIZ35" s="94"/>
      <c r="BJA35" s="94"/>
      <c r="BJB35" s="94"/>
      <c r="BJC35" s="94"/>
      <c r="BJD35" s="94"/>
      <c r="BJE35" s="94"/>
      <c r="BJF35" s="94"/>
      <c r="BJG35" s="94"/>
      <c r="BJH35" s="94"/>
      <c r="BJI35" s="94"/>
      <c r="BJJ35" s="94"/>
      <c r="BJK35" s="94"/>
      <c r="BJL35" s="94"/>
      <c r="BJM35" s="94"/>
      <c r="BJN35" s="94"/>
      <c r="BJO35" s="94"/>
      <c r="BJP35" s="94"/>
      <c r="BJQ35" s="94"/>
      <c r="BJR35" s="94"/>
      <c r="BJS35" s="94"/>
      <c r="BJT35" s="94"/>
      <c r="BJU35" s="94"/>
      <c r="BJV35" s="94"/>
      <c r="BJW35" s="94"/>
      <c r="BJX35" s="94"/>
      <c r="BJY35" s="94"/>
      <c r="BJZ35" s="94"/>
      <c r="BKA35" s="94"/>
      <c r="BKB35" s="94"/>
      <c r="BKC35" s="94"/>
      <c r="BKD35" s="94"/>
      <c r="BKE35" s="94"/>
      <c r="BKF35" s="94"/>
      <c r="BKG35" s="94"/>
      <c r="BKH35" s="94"/>
      <c r="BKI35" s="94"/>
      <c r="BKJ35" s="94"/>
      <c r="BKK35" s="94"/>
      <c r="BKL35" s="94"/>
      <c r="BKM35" s="94"/>
      <c r="BKN35" s="94"/>
      <c r="BKO35" s="94"/>
      <c r="BKP35" s="94"/>
      <c r="BKQ35" s="94"/>
      <c r="BKR35" s="94"/>
      <c r="BKS35" s="94"/>
      <c r="BKT35" s="94"/>
      <c r="BKU35" s="94"/>
      <c r="BKV35" s="94"/>
      <c r="BKW35" s="94"/>
      <c r="BKX35" s="94"/>
      <c r="BKY35" s="94"/>
      <c r="BKZ35" s="94"/>
      <c r="BLA35" s="94"/>
      <c r="BLB35" s="94"/>
      <c r="BLC35" s="94"/>
      <c r="BLD35" s="94"/>
      <c r="BLE35" s="94"/>
      <c r="BLF35" s="94"/>
      <c r="BLG35" s="94"/>
      <c r="BLH35" s="94"/>
      <c r="BLI35" s="94"/>
      <c r="BLJ35" s="94"/>
      <c r="BLK35" s="94"/>
      <c r="BLL35" s="94"/>
      <c r="BLM35" s="94"/>
      <c r="BLN35" s="94"/>
      <c r="BLO35" s="94"/>
      <c r="BLP35" s="94"/>
      <c r="BLQ35" s="94"/>
      <c r="BLR35" s="94"/>
      <c r="BLS35" s="94"/>
      <c r="BLT35" s="94"/>
      <c r="BLU35" s="94"/>
      <c r="BLV35" s="94"/>
      <c r="BLW35" s="94"/>
      <c r="BLX35" s="94"/>
      <c r="BLY35" s="94"/>
      <c r="BLZ35" s="94"/>
      <c r="BMA35" s="94"/>
      <c r="BMB35" s="94"/>
      <c r="BMC35" s="94"/>
      <c r="BMD35" s="94"/>
      <c r="BME35" s="94"/>
      <c r="BMF35" s="94"/>
      <c r="BMG35" s="94"/>
      <c r="BMH35" s="94"/>
      <c r="BMI35" s="94"/>
      <c r="BMJ35" s="94"/>
      <c r="BMK35" s="94"/>
      <c r="BML35" s="94"/>
      <c r="BMM35" s="94"/>
      <c r="BMN35" s="94"/>
      <c r="BMO35" s="94"/>
      <c r="BMP35" s="94"/>
      <c r="BMQ35" s="94"/>
      <c r="BMR35" s="94"/>
      <c r="BMS35" s="94"/>
      <c r="BMT35" s="94"/>
      <c r="BMU35" s="94"/>
      <c r="BMV35" s="94"/>
      <c r="BMW35" s="94"/>
      <c r="BMX35" s="94"/>
      <c r="BMY35" s="94"/>
      <c r="BMZ35" s="94"/>
      <c r="BNA35" s="94"/>
      <c r="BNB35" s="94"/>
      <c r="BNC35" s="94"/>
      <c r="BND35" s="94"/>
      <c r="BNE35" s="94"/>
      <c r="BNF35" s="94"/>
      <c r="BNG35" s="94"/>
      <c r="BNH35" s="94"/>
      <c r="BNI35" s="94"/>
      <c r="BNJ35" s="94"/>
      <c r="BNK35" s="94"/>
      <c r="BNL35" s="94"/>
      <c r="BNM35" s="94"/>
      <c r="BNN35" s="94"/>
      <c r="BNO35" s="94"/>
      <c r="BNP35" s="94"/>
      <c r="BNQ35" s="94"/>
      <c r="BNR35" s="94"/>
      <c r="BNS35" s="94"/>
      <c r="BNT35" s="94"/>
      <c r="BNU35" s="94"/>
      <c r="BNV35" s="94"/>
      <c r="BNW35" s="94"/>
      <c r="BNX35" s="94"/>
      <c r="BNY35" s="94"/>
      <c r="BNZ35" s="94"/>
      <c r="BOA35" s="94"/>
      <c r="BOB35" s="94"/>
      <c r="BOC35" s="94"/>
      <c r="BOD35" s="94"/>
      <c r="BOE35" s="94"/>
      <c r="BOF35" s="94"/>
      <c r="BOG35" s="94"/>
      <c r="BOH35" s="94"/>
      <c r="BOI35" s="94"/>
      <c r="BOJ35" s="94"/>
      <c r="BOK35" s="94"/>
      <c r="BOL35" s="94"/>
      <c r="BOM35" s="94"/>
      <c r="BON35" s="94"/>
      <c r="BOO35" s="94"/>
      <c r="BOP35" s="94"/>
      <c r="BOQ35" s="94"/>
      <c r="BOR35" s="94"/>
      <c r="BOS35" s="94"/>
      <c r="BOT35" s="94"/>
      <c r="BOU35" s="94"/>
      <c r="BOV35" s="94"/>
      <c r="BOW35" s="94"/>
      <c r="BOX35" s="94"/>
      <c r="BOY35" s="94"/>
      <c r="BOZ35" s="94"/>
      <c r="BPA35" s="94"/>
      <c r="BPB35" s="94"/>
      <c r="BPC35" s="94"/>
      <c r="BPD35" s="94"/>
      <c r="BPE35" s="94"/>
      <c r="BPF35" s="94"/>
      <c r="BPG35" s="94"/>
      <c r="BPH35" s="94"/>
      <c r="BPI35" s="94"/>
      <c r="BPJ35" s="94"/>
      <c r="BPK35" s="94"/>
      <c r="BPL35" s="94"/>
      <c r="BPM35" s="94"/>
      <c r="BPN35" s="94"/>
      <c r="BPO35" s="94"/>
      <c r="BPP35" s="94"/>
      <c r="BPQ35" s="94"/>
      <c r="BPR35" s="94"/>
      <c r="BPS35" s="94"/>
      <c r="BPT35" s="94"/>
      <c r="BPU35" s="94"/>
      <c r="BPV35" s="94"/>
      <c r="BPW35" s="94"/>
      <c r="BPX35" s="94"/>
      <c r="BPY35" s="94"/>
      <c r="BPZ35" s="94"/>
      <c r="BQA35" s="94"/>
      <c r="BQB35" s="94"/>
      <c r="BQC35" s="94"/>
      <c r="BQD35" s="94"/>
      <c r="BQE35" s="94"/>
      <c r="BQF35" s="94"/>
      <c r="BQG35" s="94"/>
      <c r="BQH35" s="94"/>
      <c r="BQI35" s="94"/>
      <c r="BQJ35" s="94"/>
      <c r="BQK35" s="94"/>
      <c r="BQL35" s="94"/>
      <c r="BQM35" s="94"/>
      <c r="BQN35" s="94"/>
      <c r="BQO35" s="94"/>
      <c r="BQP35" s="94"/>
      <c r="BQQ35" s="94"/>
      <c r="BQR35" s="94"/>
      <c r="BQS35" s="94"/>
      <c r="BQT35" s="94"/>
      <c r="BQU35" s="94"/>
      <c r="BQV35" s="94"/>
      <c r="BQW35" s="94"/>
      <c r="BQX35" s="94"/>
      <c r="BQY35" s="94"/>
      <c r="BQZ35" s="94"/>
      <c r="BRA35" s="94"/>
      <c r="BRB35" s="94"/>
      <c r="BRC35" s="94"/>
      <c r="BRD35" s="94"/>
      <c r="BRE35" s="94"/>
      <c r="BRF35" s="94"/>
      <c r="BRG35" s="94"/>
      <c r="BRH35" s="94"/>
      <c r="BRI35" s="94"/>
      <c r="BRJ35" s="94"/>
      <c r="BRK35" s="94"/>
      <c r="BRL35" s="94"/>
      <c r="BRM35" s="94"/>
      <c r="BRN35" s="94"/>
      <c r="BRO35" s="94"/>
      <c r="BRP35" s="94"/>
      <c r="BRQ35" s="94"/>
      <c r="BRR35" s="94"/>
      <c r="BRS35" s="94"/>
      <c r="BRT35" s="94"/>
      <c r="BRU35" s="94"/>
      <c r="BRV35" s="94"/>
      <c r="BRW35" s="94"/>
      <c r="BRX35" s="94"/>
      <c r="BRY35" s="94"/>
      <c r="BRZ35" s="94"/>
      <c r="BSA35" s="94"/>
      <c r="BSB35" s="94"/>
      <c r="BSC35" s="94"/>
      <c r="BSD35" s="94"/>
      <c r="BSE35" s="94"/>
      <c r="BSF35" s="94"/>
      <c r="BSG35" s="94"/>
      <c r="BSH35" s="94"/>
      <c r="BSI35" s="94"/>
      <c r="BSJ35" s="94"/>
      <c r="BSK35" s="94"/>
      <c r="BSL35" s="94"/>
      <c r="BSM35" s="94"/>
      <c r="BSN35" s="94"/>
      <c r="BSO35" s="94"/>
      <c r="BSP35" s="94"/>
      <c r="BSQ35" s="94"/>
      <c r="BSR35" s="94"/>
      <c r="BSS35" s="94"/>
      <c r="BST35" s="94"/>
      <c r="BSU35" s="94"/>
      <c r="BSV35" s="94"/>
      <c r="BSW35" s="94"/>
      <c r="BSX35" s="94"/>
      <c r="BSY35" s="94"/>
      <c r="BSZ35" s="94"/>
      <c r="BTA35" s="94"/>
      <c r="BTB35" s="94"/>
      <c r="BTC35" s="94"/>
      <c r="BTD35" s="94"/>
      <c r="BTE35" s="94"/>
      <c r="BTF35" s="94"/>
      <c r="BTG35" s="94"/>
      <c r="BTH35" s="94"/>
      <c r="BTI35" s="94"/>
      <c r="BTJ35" s="94"/>
      <c r="BTK35" s="94"/>
      <c r="BTL35" s="94"/>
      <c r="BTM35" s="94"/>
      <c r="BTN35" s="94"/>
      <c r="BTO35" s="94"/>
      <c r="BTP35" s="94"/>
      <c r="BTQ35" s="94"/>
      <c r="BTR35" s="94"/>
      <c r="BTS35" s="94"/>
      <c r="BTT35" s="94"/>
      <c r="BTU35" s="94"/>
      <c r="BTV35" s="94"/>
      <c r="BTW35" s="94"/>
      <c r="BTX35" s="94"/>
      <c r="BTY35" s="94"/>
      <c r="BTZ35" s="94"/>
      <c r="BUA35" s="94"/>
      <c r="BUB35" s="94"/>
      <c r="BUC35" s="94"/>
      <c r="BUD35" s="94"/>
      <c r="BUE35" s="94"/>
      <c r="BUF35" s="94"/>
      <c r="BUG35" s="94"/>
      <c r="BUH35" s="94"/>
      <c r="BUI35" s="94"/>
      <c r="BUJ35" s="94"/>
      <c r="BUK35" s="94"/>
      <c r="BUL35" s="94"/>
      <c r="BUM35" s="94"/>
      <c r="BUN35" s="94"/>
      <c r="BUO35" s="94"/>
      <c r="BUP35" s="94"/>
      <c r="BUQ35" s="94"/>
      <c r="BUR35" s="94"/>
      <c r="BUS35" s="94"/>
      <c r="BUT35" s="94"/>
      <c r="BUU35" s="94"/>
      <c r="BUV35" s="94"/>
      <c r="BUW35" s="94"/>
      <c r="BUX35" s="94"/>
      <c r="BUY35" s="94"/>
      <c r="BUZ35" s="94"/>
      <c r="BVA35" s="94"/>
      <c r="BVB35" s="94"/>
      <c r="BVC35" s="94"/>
      <c r="BVD35" s="94"/>
      <c r="BVE35" s="94"/>
      <c r="BVF35" s="94"/>
      <c r="BVG35" s="94"/>
      <c r="BVH35" s="94"/>
      <c r="BVI35" s="94"/>
      <c r="BVJ35" s="94"/>
      <c r="BVK35" s="94"/>
      <c r="BVL35" s="94"/>
      <c r="BVM35" s="94"/>
      <c r="BVN35" s="94"/>
      <c r="BVO35" s="94"/>
      <c r="BVP35" s="94"/>
      <c r="BVQ35" s="94"/>
      <c r="BVR35" s="94"/>
      <c r="BVS35" s="94"/>
      <c r="BVT35" s="94"/>
      <c r="BVU35" s="94"/>
      <c r="BVV35" s="94"/>
      <c r="BVW35" s="94"/>
      <c r="BVX35" s="94"/>
      <c r="BVY35" s="94"/>
      <c r="BVZ35" s="94"/>
      <c r="BWA35" s="94"/>
      <c r="BWB35" s="94"/>
      <c r="BWC35" s="94"/>
      <c r="BWD35" s="94"/>
      <c r="BWE35" s="94"/>
      <c r="BWF35" s="94"/>
      <c r="BWG35" s="94"/>
      <c r="BWH35" s="94"/>
      <c r="BWI35" s="94"/>
      <c r="BWJ35" s="94"/>
      <c r="BWK35" s="94"/>
      <c r="BWL35" s="94"/>
      <c r="BWM35" s="94"/>
      <c r="BWN35" s="94"/>
      <c r="BWO35" s="94"/>
      <c r="BWP35" s="94"/>
      <c r="BWQ35" s="94"/>
      <c r="BWR35" s="94"/>
      <c r="BWS35" s="94"/>
      <c r="BWT35" s="94"/>
      <c r="BWU35" s="94"/>
      <c r="BWV35" s="94"/>
      <c r="BWW35" s="94"/>
      <c r="BWX35" s="94"/>
      <c r="BWY35" s="94"/>
      <c r="BWZ35" s="94"/>
      <c r="BXA35" s="94"/>
      <c r="BXB35" s="94"/>
      <c r="BXC35" s="94"/>
      <c r="BXD35" s="94"/>
      <c r="BXE35" s="94"/>
      <c r="BXF35" s="94"/>
      <c r="BXG35" s="94"/>
      <c r="BXH35" s="94"/>
      <c r="BXI35" s="94"/>
      <c r="BXJ35" s="94"/>
      <c r="BXK35" s="94"/>
      <c r="BXL35" s="94"/>
      <c r="BXM35" s="94"/>
      <c r="BXN35" s="94"/>
      <c r="BXO35" s="94"/>
      <c r="BXP35" s="94"/>
      <c r="BXQ35" s="94"/>
      <c r="BXR35" s="94"/>
      <c r="BXS35" s="94"/>
      <c r="BXT35" s="94"/>
      <c r="BXU35" s="94"/>
      <c r="BXV35" s="94"/>
      <c r="BXW35" s="94"/>
      <c r="BXX35" s="94"/>
      <c r="BXY35" s="94"/>
      <c r="BXZ35" s="94"/>
      <c r="BYA35" s="94"/>
      <c r="BYB35" s="94"/>
      <c r="BYC35" s="94"/>
      <c r="BYD35" s="94"/>
      <c r="BYE35" s="94"/>
      <c r="BYF35" s="94"/>
      <c r="BYG35" s="94"/>
    </row>
    <row r="36" spans="1:2009" s="238" customFormat="1" ht="24.95" hidden="1" customHeight="1" thickBot="1" x14ac:dyDescent="0.3">
      <c r="A36" s="239"/>
      <c r="B36" s="233" t="s">
        <v>80</v>
      </c>
      <c r="C36" s="234"/>
      <c r="D36" s="234"/>
      <c r="E36" s="234"/>
      <c r="F36" s="234"/>
      <c r="G36" s="236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  <c r="RH36" s="237"/>
      <c r="RI36" s="237"/>
      <c r="RJ36" s="237"/>
      <c r="RK36" s="237"/>
      <c r="RL36" s="237"/>
      <c r="RM36" s="237"/>
      <c r="RN36" s="237"/>
      <c r="RO36" s="237"/>
      <c r="RP36" s="237"/>
      <c r="RQ36" s="237"/>
      <c r="RR36" s="237"/>
      <c r="RS36" s="237"/>
      <c r="RT36" s="237"/>
      <c r="RU36" s="237"/>
      <c r="RV36" s="237"/>
      <c r="RW36" s="237"/>
      <c r="RX36" s="237"/>
      <c r="RY36" s="237"/>
      <c r="RZ36" s="237"/>
      <c r="SA36" s="237"/>
      <c r="SB36" s="237"/>
      <c r="SC36" s="237"/>
      <c r="SD36" s="237"/>
      <c r="SE36" s="237"/>
      <c r="SF36" s="237"/>
      <c r="SG36" s="237"/>
      <c r="SH36" s="237"/>
      <c r="SI36" s="237"/>
      <c r="SJ36" s="237"/>
      <c r="SK36" s="237"/>
      <c r="SL36" s="237"/>
      <c r="SM36" s="237"/>
      <c r="SN36" s="237"/>
      <c r="SO36" s="237"/>
      <c r="SP36" s="237"/>
      <c r="SQ36" s="237"/>
      <c r="SR36" s="237"/>
      <c r="SS36" s="237"/>
      <c r="ST36" s="237"/>
      <c r="SU36" s="237"/>
      <c r="SV36" s="237"/>
      <c r="SW36" s="237"/>
      <c r="SX36" s="237"/>
      <c r="SY36" s="237"/>
      <c r="SZ36" s="237"/>
      <c r="TA36" s="237"/>
      <c r="TB36" s="237"/>
      <c r="TC36" s="237"/>
      <c r="TD36" s="237"/>
      <c r="TE36" s="237"/>
      <c r="TF36" s="237"/>
      <c r="TG36" s="237"/>
      <c r="TH36" s="237"/>
      <c r="TI36" s="237"/>
      <c r="TJ36" s="237"/>
      <c r="TK36" s="237"/>
      <c r="TL36" s="237"/>
      <c r="TM36" s="237"/>
      <c r="TN36" s="237"/>
      <c r="TO36" s="237"/>
      <c r="TP36" s="237"/>
      <c r="TQ36" s="237"/>
      <c r="TR36" s="237"/>
      <c r="TS36" s="237"/>
      <c r="TT36" s="237"/>
      <c r="TU36" s="237"/>
      <c r="TV36" s="237"/>
      <c r="TW36" s="237"/>
      <c r="TX36" s="237"/>
      <c r="TY36" s="237"/>
      <c r="TZ36" s="237"/>
      <c r="UA36" s="237"/>
      <c r="UB36" s="237"/>
      <c r="UC36" s="237"/>
      <c r="UD36" s="237"/>
      <c r="UE36" s="237"/>
      <c r="UF36" s="237"/>
      <c r="UG36" s="237"/>
      <c r="UH36" s="237"/>
      <c r="UI36" s="237"/>
      <c r="UJ36" s="237"/>
      <c r="UK36" s="237"/>
      <c r="UL36" s="237"/>
      <c r="UM36" s="237"/>
      <c r="UN36" s="237"/>
      <c r="UO36" s="237"/>
      <c r="UP36" s="237"/>
      <c r="UQ36" s="237"/>
      <c r="UR36" s="237"/>
      <c r="US36" s="237"/>
      <c r="UT36" s="237"/>
      <c r="UU36" s="237"/>
      <c r="UV36" s="237"/>
      <c r="UW36" s="237"/>
      <c r="UX36" s="237"/>
      <c r="UY36" s="237"/>
      <c r="UZ36" s="237"/>
      <c r="VA36" s="237"/>
      <c r="VB36" s="237"/>
      <c r="VC36" s="237"/>
      <c r="VD36" s="237"/>
      <c r="VE36" s="237"/>
      <c r="VF36" s="237"/>
      <c r="VG36" s="237"/>
      <c r="VH36" s="237"/>
      <c r="VI36" s="237"/>
      <c r="VJ36" s="237"/>
      <c r="VK36" s="237"/>
      <c r="VL36" s="237"/>
      <c r="VM36" s="237"/>
      <c r="VN36" s="237"/>
      <c r="VO36" s="237"/>
      <c r="VP36" s="237"/>
      <c r="VQ36" s="237"/>
      <c r="VR36" s="237"/>
      <c r="VS36" s="237"/>
      <c r="VT36" s="237"/>
      <c r="VU36" s="237"/>
      <c r="VV36" s="237"/>
      <c r="VW36" s="237"/>
      <c r="VX36" s="237"/>
      <c r="VY36" s="237"/>
      <c r="VZ36" s="237"/>
      <c r="WA36" s="237"/>
      <c r="WB36" s="237"/>
      <c r="WC36" s="237"/>
      <c r="WD36" s="237"/>
      <c r="WE36" s="237"/>
      <c r="WF36" s="237"/>
      <c r="WG36" s="237"/>
      <c r="WH36" s="237"/>
      <c r="WI36" s="237"/>
      <c r="WJ36" s="237"/>
      <c r="WK36" s="237"/>
      <c r="WL36" s="237"/>
      <c r="WM36" s="237"/>
      <c r="WN36" s="237"/>
      <c r="WO36" s="237"/>
      <c r="WP36" s="237"/>
      <c r="WQ36" s="237"/>
      <c r="WR36" s="237"/>
      <c r="WS36" s="237"/>
      <c r="WT36" s="237"/>
      <c r="WU36" s="237"/>
      <c r="WV36" s="237"/>
      <c r="WW36" s="237"/>
      <c r="WX36" s="237"/>
      <c r="WY36" s="237"/>
      <c r="WZ36" s="237"/>
      <c r="XA36" s="237"/>
      <c r="XB36" s="237"/>
      <c r="XC36" s="237"/>
      <c r="XD36" s="237"/>
      <c r="XE36" s="237"/>
      <c r="XF36" s="237"/>
      <c r="XG36" s="237"/>
      <c r="XH36" s="237"/>
      <c r="XI36" s="237"/>
      <c r="XJ36" s="237"/>
      <c r="XK36" s="237"/>
      <c r="XL36" s="237"/>
      <c r="XM36" s="237"/>
      <c r="XN36" s="237"/>
      <c r="XO36" s="237"/>
      <c r="XP36" s="237"/>
      <c r="XQ36" s="237"/>
      <c r="XR36" s="237"/>
      <c r="XS36" s="237"/>
      <c r="XT36" s="237"/>
      <c r="XU36" s="237"/>
      <c r="XV36" s="237"/>
      <c r="XW36" s="237"/>
      <c r="XX36" s="237"/>
      <c r="XY36" s="237"/>
      <c r="XZ36" s="237"/>
      <c r="YA36" s="237"/>
      <c r="YB36" s="237"/>
      <c r="YC36" s="237"/>
      <c r="YD36" s="237"/>
      <c r="YE36" s="237"/>
      <c r="YF36" s="237"/>
      <c r="YG36" s="237"/>
      <c r="YH36" s="237"/>
      <c r="YI36" s="237"/>
      <c r="YJ36" s="237"/>
      <c r="YK36" s="237"/>
      <c r="YL36" s="237"/>
      <c r="YM36" s="237"/>
      <c r="YN36" s="237"/>
      <c r="YO36" s="237"/>
      <c r="YP36" s="237"/>
      <c r="YQ36" s="237"/>
      <c r="YR36" s="237"/>
      <c r="YS36" s="237"/>
      <c r="YT36" s="237"/>
      <c r="YU36" s="237"/>
      <c r="YV36" s="237"/>
      <c r="YW36" s="237"/>
      <c r="YX36" s="237"/>
      <c r="YY36" s="237"/>
      <c r="YZ36" s="237"/>
      <c r="ZA36" s="237"/>
      <c r="ZB36" s="237"/>
      <c r="ZC36" s="237"/>
      <c r="ZD36" s="237"/>
      <c r="ZE36" s="237"/>
      <c r="ZF36" s="237"/>
      <c r="ZG36" s="237"/>
      <c r="ZH36" s="237"/>
      <c r="ZI36" s="237"/>
      <c r="ZJ36" s="237"/>
      <c r="ZK36" s="237"/>
      <c r="ZL36" s="237"/>
      <c r="ZM36" s="237"/>
      <c r="ZN36" s="237"/>
      <c r="ZO36" s="237"/>
      <c r="ZP36" s="237"/>
      <c r="ZQ36" s="237"/>
      <c r="ZR36" s="237"/>
      <c r="ZS36" s="237"/>
      <c r="ZT36" s="237"/>
      <c r="ZU36" s="237"/>
      <c r="ZV36" s="237"/>
      <c r="ZW36" s="237"/>
      <c r="ZX36" s="237"/>
      <c r="ZY36" s="237"/>
      <c r="ZZ36" s="237"/>
      <c r="AAA36" s="237"/>
      <c r="AAB36" s="237"/>
      <c r="AAC36" s="237"/>
      <c r="AAD36" s="237"/>
      <c r="AAE36" s="237"/>
      <c r="AAF36" s="237"/>
      <c r="AAG36" s="237"/>
      <c r="AAH36" s="237"/>
      <c r="AAI36" s="237"/>
      <c r="AAJ36" s="237"/>
      <c r="AAK36" s="237"/>
      <c r="AAL36" s="237"/>
      <c r="AAM36" s="237"/>
      <c r="AAN36" s="237"/>
      <c r="AAO36" s="237"/>
      <c r="AAP36" s="237"/>
      <c r="AAQ36" s="237"/>
      <c r="AAR36" s="237"/>
      <c r="AAS36" s="237"/>
      <c r="AAT36" s="237"/>
      <c r="AAU36" s="237"/>
      <c r="AAV36" s="237"/>
      <c r="AAW36" s="237"/>
      <c r="AAX36" s="237"/>
      <c r="AAY36" s="237"/>
      <c r="AAZ36" s="237"/>
      <c r="ABA36" s="237"/>
      <c r="ABB36" s="237"/>
      <c r="ABC36" s="237"/>
      <c r="ABD36" s="237"/>
      <c r="ABE36" s="237"/>
      <c r="ABF36" s="237"/>
      <c r="ABG36" s="237"/>
      <c r="ABH36" s="237"/>
      <c r="ABI36" s="237"/>
      <c r="ABJ36" s="237"/>
      <c r="ABK36" s="237"/>
      <c r="ABL36" s="237"/>
      <c r="ABM36" s="237"/>
      <c r="ABN36" s="237"/>
      <c r="ABO36" s="237"/>
      <c r="ABP36" s="237"/>
      <c r="ABQ36" s="237"/>
      <c r="ABR36" s="237"/>
      <c r="ABS36" s="237"/>
      <c r="ABT36" s="237"/>
      <c r="ABU36" s="237"/>
      <c r="ABV36" s="237"/>
      <c r="ABW36" s="237"/>
      <c r="ABX36" s="237"/>
      <c r="ABY36" s="237"/>
      <c r="ABZ36" s="237"/>
      <c r="ACA36" s="237"/>
      <c r="ACB36" s="237"/>
      <c r="ACC36" s="237"/>
      <c r="ACD36" s="237"/>
      <c r="ACE36" s="237"/>
      <c r="ACF36" s="237"/>
      <c r="ACG36" s="237"/>
      <c r="ACH36" s="237"/>
      <c r="ACI36" s="237"/>
      <c r="ACJ36" s="237"/>
      <c r="ACK36" s="237"/>
      <c r="ACL36" s="237"/>
      <c r="ACM36" s="237"/>
      <c r="ACN36" s="237"/>
      <c r="ACO36" s="237"/>
      <c r="ACP36" s="237"/>
      <c r="ACQ36" s="237"/>
      <c r="ACR36" s="237"/>
      <c r="ACS36" s="237"/>
      <c r="ACT36" s="237"/>
      <c r="ACU36" s="237"/>
      <c r="ACV36" s="237"/>
      <c r="ACW36" s="237"/>
      <c r="ACX36" s="237"/>
      <c r="ACY36" s="237"/>
      <c r="ACZ36" s="237"/>
      <c r="ADA36" s="237"/>
      <c r="ADB36" s="237"/>
      <c r="ADC36" s="237"/>
      <c r="ADD36" s="237"/>
      <c r="ADE36" s="237"/>
      <c r="ADF36" s="237"/>
      <c r="ADG36" s="237"/>
      <c r="ADH36" s="237"/>
      <c r="ADI36" s="237"/>
      <c r="ADJ36" s="237"/>
      <c r="ADK36" s="237"/>
      <c r="ADL36" s="237"/>
      <c r="ADM36" s="237"/>
      <c r="ADN36" s="237"/>
      <c r="ADO36" s="237"/>
      <c r="ADP36" s="237"/>
      <c r="ADQ36" s="237"/>
      <c r="ADR36" s="237"/>
      <c r="ADS36" s="237"/>
      <c r="ADT36" s="237"/>
      <c r="ADU36" s="237"/>
      <c r="ADV36" s="237"/>
      <c r="ADW36" s="237"/>
      <c r="ADX36" s="237"/>
      <c r="ADY36" s="237"/>
      <c r="ADZ36" s="237"/>
      <c r="AEA36" s="237"/>
      <c r="AEB36" s="237"/>
      <c r="AEC36" s="237"/>
      <c r="AED36" s="237"/>
      <c r="AEE36" s="237"/>
      <c r="AEF36" s="237"/>
      <c r="AEG36" s="237"/>
      <c r="AEH36" s="237"/>
      <c r="AEI36" s="237"/>
      <c r="AEJ36" s="237"/>
      <c r="AEK36" s="237"/>
      <c r="AEL36" s="237"/>
      <c r="AEM36" s="237"/>
      <c r="AEN36" s="237"/>
      <c r="AEO36" s="237"/>
      <c r="AEP36" s="237"/>
      <c r="AEQ36" s="237"/>
      <c r="AER36" s="237"/>
      <c r="AES36" s="237"/>
      <c r="AET36" s="237"/>
      <c r="AEU36" s="237"/>
      <c r="AEV36" s="237"/>
      <c r="AEW36" s="237"/>
      <c r="AEX36" s="237"/>
      <c r="AEY36" s="237"/>
      <c r="AEZ36" s="237"/>
      <c r="AFA36" s="237"/>
      <c r="AFB36" s="237"/>
      <c r="AFC36" s="237"/>
      <c r="AFD36" s="237"/>
      <c r="AFE36" s="237"/>
      <c r="AFF36" s="237"/>
      <c r="AFG36" s="237"/>
      <c r="AFH36" s="237"/>
      <c r="AFI36" s="237"/>
      <c r="AFJ36" s="237"/>
      <c r="AFK36" s="237"/>
      <c r="AFL36" s="237"/>
      <c r="AFM36" s="237"/>
      <c r="AFN36" s="237"/>
      <c r="AFO36" s="237"/>
      <c r="AFP36" s="237"/>
      <c r="AFQ36" s="237"/>
      <c r="AFR36" s="237"/>
      <c r="AFS36" s="237"/>
      <c r="AFT36" s="237"/>
      <c r="AFU36" s="237"/>
      <c r="AFV36" s="237"/>
      <c r="AFW36" s="237"/>
      <c r="AFX36" s="237"/>
      <c r="AFY36" s="237"/>
      <c r="AFZ36" s="237"/>
      <c r="AGA36" s="237"/>
      <c r="AGB36" s="237"/>
      <c r="AGC36" s="237"/>
      <c r="AGD36" s="237"/>
      <c r="AGE36" s="237"/>
      <c r="AGF36" s="237"/>
      <c r="AGG36" s="237"/>
      <c r="AGH36" s="237"/>
      <c r="AGI36" s="237"/>
      <c r="AGJ36" s="237"/>
      <c r="AGK36" s="237"/>
      <c r="AGL36" s="237"/>
      <c r="AGM36" s="237"/>
      <c r="AGN36" s="237"/>
      <c r="AGO36" s="237"/>
      <c r="AGP36" s="237"/>
      <c r="AGQ36" s="237"/>
      <c r="AGR36" s="237"/>
      <c r="AGS36" s="237"/>
      <c r="AGT36" s="237"/>
      <c r="AGU36" s="237"/>
      <c r="AGV36" s="237"/>
      <c r="AGW36" s="237"/>
      <c r="AGX36" s="237"/>
      <c r="AGY36" s="237"/>
      <c r="AGZ36" s="237"/>
      <c r="AHA36" s="237"/>
      <c r="AHB36" s="237"/>
      <c r="AHC36" s="237"/>
      <c r="AHD36" s="237"/>
      <c r="AHE36" s="237"/>
      <c r="AHF36" s="237"/>
      <c r="AHG36" s="237"/>
      <c r="AHH36" s="237"/>
      <c r="AHI36" s="237"/>
      <c r="AHJ36" s="237"/>
      <c r="AHK36" s="237"/>
      <c r="AHL36" s="237"/>
      <c r="AHM36" s="237"/>
      <c r="AHN36" s="237"/>
      <c r="AHO36" s="237"/>
      <c r="AHP36" s="237"/>
      <c r="AHQ36" s="237"/>
      <c r="AHR36" s="237"/>
      <c r="AHS36" s="237"/>
      <c r="AHT36" s="237"/>
      <c r="AHU36" s="237"/>
      <c r="AHV36" s="237"/>
      <c r="AHW36" s="237"/>
      <c r="AHX36" s="237"/>
      <c r="AHY36" s="237"/>
      <c r="AHZ36" s="237"/>
      <c r="AIA36" s="237"/>
      <c r="AIB36" s="237"/>
      <c r="AIC36" s="237"/>
      <c r="AID36" s="237"/>
      <c r="AIE36" s="237"/>
      <c r="AIF36" s="237"/>
      <c r="AIG36" s="237"/>
      <c r="AIH36" s="237"/>
      <c r="AII36" s="237"/>
      <c r="AIJ36" s="237"/>
      <c r="AIK36" s="237"/>
      <c r="AIL36" s="237"/>
      <c r="AIM36" s="237"/>
      <c r="AIN36" s="237"/>
      <c r="AIO36" s="237"/>
      <c r="AIP36" s="237"/>
      <c r="AIQ36" s="237"/>
      <c r="AIR36" s="237"/>
      <c r="AIS36" s="237"/>
      <c r="AIT36" s="237"/>
      <c r="AIU36" s="237"/>
      <c r="AIV36" s="237"/>
      <c r="AIW36" s="237"/>
      <c r="AIX36" s="237"/>
      <c r="AIY36" s="237"/>
      <c r="AIZ36" s="237"/>
      <c r="AJA36" s="237"/>
      <c r="AJB36" s="237"/>
      <c r="AJC36" s="237"/>
      <c r="AJD36" s="237"/>
      <c r="AJE36" s="237"/>
      <c r="AJF36" s="237"/>
      <c r="AJG36" s="237"/>
      <c r="AJH36" s="237"/>
      <c r="AJI36" s="237"/>
      <c r="AJJ36" s="237"/>
      <c r="AJK36" s="237"/>
      <c r="AJL36" s="237"/>
      <c r="AJM36" s="237"/>
      <c r="AJN36" s="237"/>
      <c r="AJO36" s="237"/>
      <c r="AJP36" s="237"/>
      <c r="AJQ36" s="237"/>
      <c r="AJR36" s="237"/>
      <c r="AJS36" s="237"/>
      <c r="AJT36" s="237"/>
      <c r="AJU36" s="237"/>
      <c r="AJV36" s="237"/>
      <c r="AJW36" s="237"/>
      <c r="AJX36" s="237"/>
      <c r="AJY36" s="237"/>
      <c r="AJZ36" s="237"/>
      <c r="AKA36" s="237"/>
      <c r="AKB36" s="237"/>
      <c r="AKC36" s="237"/>
      <c r="AKD36" s="237"/>
      <c r="AKE36" s="237"/>
      <c r="AKF36" s="237"/>
      <c r="AKG36" s="237"/>
      <c r="AKH36" s="237"/>
      <c r="AKI36" s="237"/>
      <c r="AKJ36" s="237"/>
      <c r="AKK36" s="237"/>
      <c r="AKL36" s="237"/>
      <c r="AKM36" s="237"/>
      <c r="AKN36" s="237"/>
      <c r="AKO36" s="237"/>
      <c r="AKP36" s="237"/>
      <c r="AKQ36" s="237"/>
      <c r="AKR36" s="237"/>
      <c r="AKS36" s="237"/>
      <c r="AKT36" s="237"/>
      <c r="AKU36" s="237"/>
      <c r="AKV36" s="237"/>
      <c r="AKW36" s="237"/>
      <c r="AKX36" s="237"/>
      <c r="AKY36" s="237"/>
      <c r="AKZ36" s="237"/>
      <c r="ALA36" s="237"/>
      <c r="ALB36" s="237"/>
      <c r="ALC36" s="237"/>
      <c r="ALD36" s="237"/>
      <c r="ALE36" s="237"/>
      <c r="ALF36" s="237"/>
      <c r="ALG36" s="237"/>
      <c r="ALH36" s="237"/>
      <c r="ALI36" s="237"/>
      <c r="ALJ36" s="237"/>
      <c r="ALK36" s="237"/>
      <c r="ALL36" s="237"/>
      <c r="ALM36" s="237"/>
      <c r="ALN36" s="237"/>
      <c r="ALO36" s="237"/>
      <c r="ALP36" s="237"/>
      <c r="ALQ36" s="237"/>
      <c r="ALR36" s="237"/>
      <c r="ALS36" s="237"/>
      <c r="ALT36" s="237"/>
      <c r="ALU36" s="237"/>
      <c r="ALV36" s="237"/>
      <c r="ALW36" s="237"/>
      <c r="ALX36" s="237"/>
      <c r="ALY36" s="237"/>
      <c r="ALZ36" s="237"/>
      <c r="AMA36" s="237"/>
      <c r="AMB36" s="237"/>
      <c r="AMC36" s="237"/>
      <c r="AMD36" s="237"/>
      <c r="AME36" s="237"/>
      <c r="AMF36" s="237"/>
      <c r="AMG36" s="237"/>
      <c r="AMH36" s="237"/>
      <c r="AMI36" s="237"/>
      <c r="AMJ36" s="237"/>
      <c r="AMK36" s="237"/>
      <c r="AML36" s="237"/>
      <c r="AMM36" s="237"/>
      <c r="AMN36" s="237"/>
      <c r="AMO36" s="237"/>
      <c r="AMP36" s="237"/>
      <c r="AMQ36" s="237"/>
      <c r="AMR36" s="237"/>
      <c r="AMS36" s="237"/>
      <c r="AMT36" s="237"/>
      <c r="AMU36" s="237"/>
      <c r="AMV36" s="237"/>
      <c r="AMW36" s="237"/>
      <c r="AMX36" s="237"/>
      <c r="AMY36" s="237"/>
      <c r="AMZ36" s="237"/>
      <c r="ANA36" s="237"/>
      <c r="ANB36" s="237"/>
      <c r="ANC36" s="237"/>
      <c r="AND36" s="237"/>
      <c r="ANE36" s="237"/>
      <c r="ANF36" s="237"/>
      <c r="ANG36" s="237"/>
      <c r="ANH36" s="237"/>
      <c r="ANI36" s="237"/>
      <c r="ANJ36" s="237"/>
      <c r="ANK36" s="237"/>
      <c r="ANL36" s="237"/>
      <c r="ANM36" s="237"/>
      <c r="ANN36" s="237"/>
      <c r="ANO36" s="237"/>
      <c r="ANP36" s="237"/>
      <c r="ANQ36" s="237"/>
      <c r="ANR36" s="237"/>
      <c r="ANS36" s="237"/>
      <c r="ANT36" s="237"/>
      <c r="ANU36" s="237"/>
      <c r="ANV36" s="237"/>
      <c r="ANW36" s="237"/>
      <c r="ANX36" s="237"/>
      <c r="ANY36" s="237"/>
      <c r="ANZ36" s="237"/>
      <c r="AOA36" s="237"/>
      <c r="AOB36" s="237"/>
      <c r="AOC36" s="237"/>
      <c r="AOD36" s="237"/>
      <c r="AOE36" s="237"/>
      <c r="AOF36" s="237"/>
      <c r="AOG36" s="237"/>
      <c r="AOH36" s="237"/>
      <c r="AOI36" s="237"/>
      <c r="AOJ36" s="237"/>
      <c r="AOK36" s="237"/>
      <c r="AOL36" s="237"/>
      <c r="AOM36" s="237"/>
      <c r="AON36" s="237"/>
      <c r="AOO36" s="237"/>
      <c r="AOP36" s="237"/>
      <c r="AOQ36" s="237"/>
      <c r="AOR36" s="237"/>
      <c r="AOS36" s="237"/>
      <c r="AOT36" s="237"/>
      <c r="AOU36" s="237"/>
      <c r="AOV36" s="237"/>
      <c r="AOW36" s="237"/>
      <c r="AOX36" s="237"/>
      <c r="AOY36" s="237"/>
      <c r="AOZ36" s="237"/>
      <c r="APA36" s="237"/>
      <c r="APB36" s="237"/>
      <c r="APC36" s="237"/>
      <c r="APD36" s="237"/>
      <c r="APE36" s="237"/>
      <c r="APF36" s="237"/>
      <c r="APG36" s="237"/>
      <c r="APH36" s="237"/>
      <c r="API36" s="237"/>
      <c r="APJ36" s="237"/>
      <c r="APK36" s="237"/>
      <c r="APL36" s="237"/>
      <c r="APM36" s="237"/>
      <c r="APN36" s="237"/>
      <c r="APO36" s="237"/>
      <c r="APP36" s="237"/>
      <c r="APQ36" s="237"/>
      <c r="APR36" s="237"/>
      <c r="APS36" s="237"/>
      <c r="APT36" s="237"/>
      <c r="APU36" s="237"/>
      <c r="APV36" s="237"/>
      <c r="APW36" s="237"/>
      <c r="APX36" s="237"/>
      <c r="APY36" s="237"/>
      <c r="APZ36" s="237"/>
      <c r="AQA36" s="237"/>
      <c r="AQB36" s="237"/>
      <c r="AQC36" s="237"/>
      <c r="AQD36" s="237"/>
      <c r="AQE36" s="237"/>
      <c r="AQF36" s="237"/>
      <c r="AQG36" s="237"/>
      <c r="AQH36" s="237"/>
      <c r="AQI36" s="237"/>
      <c r="AQJ36" s="237"/>
      <c r="AQK36" s="237"/>
      <c r="AQL36" s="237"/>
      <c r="AQM36" s="237"/>
      <c r="AQN36" s="237"/>
      <c r="AQO36" s="237"/>
      <c r="AQP36" s="237"/>
      <c r="AQQ36" s="237"/>
      <c r="AQR36" s="237"/>
      <c r="AQS36" s="237"/>
      <c r="AQT36" s="237"/>
      <c r="AQU36" s="237"/>
      <c r="AQV36" s="237"/>
      <c r="AQW36" s="237"/>
      <c r="AQX36" s="237"/>
      <c r="AQY36" s="237"/>
      <c r="AQZ36" s="237"/>
      <c r="ARA36" s="237"/>
      <c r="ARB36" s="237"/>
      <c r="ARC36" s="237"/>
      <c r="ARD36" s="237"/>
      <c r="ARE36" s="237"/>
      <c r="ARF36" s="237"/>
      <c r="ARG36" s="237"/>
      <c r="ARH36" s="237"/>
      <c r="ARI36" s="237"/>
      <c r="ARJ36" s="237"/>
      <c r="ARK36" s="237"/>
      <c r="ARL36" s="237"/>
      <c r="ARM36" s="237"/>
      <c r="ARN36" s="237"/>
      <c r="ARO36" s="237"/>
      <c r="ARP36" s="237"/>
      <c r="ARQ36" s="237"/>
      <c r="ARR36" s="237"/>
      <c r="ARS36" s="237"/>
      <c r="ART36" s="237"/>
      <c r="ARU36" s="237"/>
      <c r="ARV36" s="237"/>
      <c r="ARW36" s="237"/>
      <c r="ARX36" s="237"/>
      <c r="ARY36" s="237"/>
      <c r="ARZ36" s="237"/>
      <c r="ASA36" s="237"/>
      <c r="ASB36" s="237"/>
      <c r="ASC36" s="237"/>
      <c r="ASD36" s="237"/>
      <c r="ASE36" s="237"/>
      <c r="ASF36" s="237"/>
      <c r="ASG36" s="237"/>
      <c r="ASH36" s="237"/>
      <c r="ASI36" s="237"/>
      <c r="ASJ36" s="237"/>
      <c r="ASK36" s="237"/>
      <c r="ASL36" s="237"/>
      <c r="ASM36" s="237"/>
      <c r="ASN36" s="237"/>
      <c r="ASO36" s="237"/>
      <c r="ASP36" s="237"/>
      <c r="ASQ36" s="237"/>
      <c r="ASR36" s="237"/>
      <c r="ASS36" s="237"/>
      <c r="AST36" s="237"/>
      <c r="ASU36" s="237"/>
      <c r="ASV36" s="237"/>
      <c r="ASW36" s="237"/>
      <c r="ASX36" s="237"/>
      <c r="ASY36" s="237"/>
      <c r="ASZ36" s="237"/>
      <c r="ATA36" s="237"/>
      <c r="ATB36" s="237"/>
      <c r="ATC36" s="237"/>
      <c r="ATD36" s="237"/>
      <c r="ATE36" s="237"/>
      <c r="ATF36" s="237"/>
      <c r="ATG36" s="237"/>
      <c r="ATH36" s="237"/>
      <c r="ATI36" s="237"/>
      <c r="ATJ36" s="237"/>
      <c r="ATK36" s="237"/>
      <c r="ATL36" s="237"/>
      <c r="ATM36" s="237"/>
      <c r="ATN36" s="237"/>
      <c r="ATO36" s="237"/>
      <c r="ATP36" s="237"/>
      <c r="ATQ36" s="237"/>
      <c r="ATR36" s="237"/>
      <c r="ATS36" s="237"/>
      <c r="ATT36" s="237"/>
      <c r="ATU36" s="237"/>
      <c r="ATV36" s="237"/>
      <c r="ATW36" s="237"/>
      <c r="ATX36" s="237"/>
      <c r="ATY36" s="237"/>
      <c r="ATZ36" s="237"/>
      <c r="AUA36" s="237"/>
      <c r="AUB36" s="237"/>
      <c r="AUC36" s="237"/>
      <c r="AUD36" s="237"/>
      <c r="AUE36" s="237"/>
      <c r="AUF36" s="237"/>
      <c r="AUG36" s="237"/>
      <c r="AUH36" s="237"/>
      <c r="AUI36" s="237"/>
      <c r="AUJ36" s="237"/>
      <c r="AUK36" s="237"/>
      <c r="AUL36" s="237"/>
      <c r="AUM36" s="237"/>
      <c r="AUN36" s="237"/>
      <c r="AUO36" s="237"/>
      <c r="AUP36" s="237"/>
      <c r="AUQ36" s="237"/>
      <c r="AUR36" s="237"/>
      <c r="AUS36" s="237"/>
      <c r="AUT36" s="237"/>
      <c r="AUU36" s="237"/>
      <c r="AUV36" s="237"/>
      <c r="AUW36" s="237"/>
      <c r="AUX36" s="237"/>
      <c r="AUY36" s="237"/>
      <c r="AUZ36" s="237"/>
      <c r="AVA36" s="237"/>
      <c r="AVB36" s="237"/>
      <c r="AVC36" s="237"/>
      <c r="AVD36" s="237"/>
      <c r="AVE36" s="237"/>
      <c r="AVF36" s="237"/>
      <c r="AVG36" s="237"/>
      <c r="AVH36" s="237"/>
      <c r="AVI36" s="237"/>
      <c r="AVJ36" s="237"/>
      <c r="AVK36" s="237"/>
      <c r="AVL36" s="237"/>
      <c r="AVM36" s="237"/>
      <c r="AVN36" s="237"/>
      <c r="AVO36" s="237"/>
      <c r="AVP36" s="237"/>
      <c r="AVQ36" s="237"/>
      <c r="AVR36" s="237"/>
      <c r="AVS36" s="237"/>
      <c r="AVT36" s="237"/>
      <c r="AVU36" s="237"/>
      <c r="AVV36" s="237"/>
      <c r="AVW36" s="237"/>
      <c r="AVX36" s="237"/>
      <c r="AVY36" s="237"/>
      <c r="AVZ36" s="237"/>
      <c r="AWA36" s="237"/>
      <c r="AWB36" s="237"/>
      <c r="AWC36" s="237"/>
      <c r="AWD36" s="237"/>
      <c r="AWE36" s="237"/>
      <c r="AWF36" s="237"/>
      <c r="AWG36" s="237"/>
      <c r="AWH36" s="237"/>
      <c r="AWI36" s="237"/>
      <c r="AWJ36" s="237"/>
      <c r="AWK36" s="237"/>
      <c r="AWL36" s="237"/>
      <c r="AWM36" s="237"/>
      <c r="AWN36" s="237"/>
      <c r="AWO36" s="237"/>
      <c r="AWP36" s="237"/>
      <c r="AWQ36" s="237"/>
      <c r="AWR36" s="237"/>
      <c r="AWS36" s="237"/>
      <c r="AWT36" s="237"/>
      <c r="AWU36" s="237"/>
      <c r="AWV36" s="237"/>
      <c r="AWW36" s="237"/>
      <c r="AWX36" s="237"/>
      <c r="AWY36" s="237"/>
      <c r="AWZ36" s="237"/>
      <c r="AXA36" s="237"/>
      <c r="AXB36" s="237"/>
      <c r="AXC36" s="237"/>
      <c r="AXD36" s="237"/>
      <c r="AXE36" s="237"/>
      <c r="AXF36" s="237"/>
      <c r="AXG36" s="237"/>
      <c r="AXH36" s="237"/>
      <c r="AXI36" s="237"/>
      <c r="AXJ36" s="237"/>
      <c r="AXK36" s="237"/>
      <c r="AXL36" s="237"/>
      <c r="AXM36" s="237"/>
      <c r="AXN36" s="237"/>
      <c r="AXO36" s="237"/>
      <c r="AXP36" s="237"/>
      <c r="AXQ36" s="237"/>
      <c r="AXR36" s="237"/>
      <c r="AXS36" s="237"/>
      <c r="AXT36" s="237"/>
      <c r="AXU36" s="237"/>
      <c r="AXV36" s="237"/>
      <c r="AXW36" s="237"/>
      <c r="AXX36" s="237"/>
      <c r="AXY36" s="237"/>
      <c r="AXZ36" s="237"/>
      <c r="AYA36" s="237"/>
      <c r="AYB36" s="237"/>
      <c r="AYC36" s="237"/>
      <c r="AYD36" s="237"/>
      <c r="AYE36" s="237"/>
      <c r="AYF36" s="237"/>
      <c r="AYG36" s="237"/>
      <c r="AYH36" s="237"/>
      <c r="AYI36" s="237"/>
      <c r="AYJ36" s="237"/>
      <c r="AYK36" s="237"/>
      <c r="AYL36" s="237"/>
      <c r="AYM36" s="237"/>
      <c r="AYN36" s="237"/>
      <c r="AYO36" s="237"/>
      <c r="AYP36" s="237"/>
      <c r="AYQ36" s="237"/>
      <c r="AYR36" s="237"/>
      <c r="AYS36" s="237"/>
      <c r="AYT36" s="237"/>
      <c r="AYU36" s="237"/>
      <c r="AYV36" s="237"/>
      <c r="AYW36" s="237"/>
      <c r="AYX36" s="237"/>
      <c r="AYY36" s="237"/>
      <c r="AYZ36" s="237"/>
      <c r="AZA36" s="237"/>
      <c r="AZB36" s="237"/>
      <c r="AZC36" s="237"/>
      <c r="AZD36" s="237"/>
      <c r="AZE36" s="237"/>
      <c r="AZF36" s="237"/>
      <c r="AZG36" s="237"/>
      <c r="AZH36" s="237"/>
      <c r="AZI36" s="237"/>
      <c r="AZJ36" s="237"/>
      <c r="AZK36" s="237"/>
      <c r="AZL36" s="237"/>
      <c r="AZM36" s="237"/>
      <c r="AZN36" s="237"/>
      <c r="AZO36" s="237"/>
      <c r="AZP36" s="237"/>
      <c r="AZQ36" s="237"/>
      <c r="AZR36" s="237"/>
      <c r="AZS36" s="237"/>
      <c r="AZT36" s="237"/>
      <c r="AZU36" s="237"/>
      <c r="AZV36" s="237"/>
      <c r="AZW36" s="237"/>
      <c r="AZX36" s="237"/>
      <c r="AZY36" s="237"/>
      <c r="AZZ36" s="237"/>
      <c r="BAA36" s="237"/>
      <c r="BAB36" s="237"/>
      <c r="BAC36" s="237"/>
      <c r="BAD36" s="237"/>
      <c r="BAE36" s="237"/>
      <c r="BAF36" s="237"/>
      <c r="BAG36" s="237"/>
      <c r="BAH36" s="237"/>
      <c r="BAI36" s="237"/>
      <c r="BAJ36" s="237"/>
      <c r="BAK36" s="237"/>
      <c r="BAL36" s="237"/>
      <c r="BAM36" s="237"/>
      <c r="BAN36" s="237"/>
      <c r="BAO36" s="237"/>
      <c r="BAP36" s="237"/>
      <c r="BAQ36" s="237"/>
      <c r="BAR36" s="237"/>
      <c r="BAS36" s="237"/>
      <c r="BAT36" s="237"/>
      <c r="BAU36" s="237"/>
      <c r="BAV36" s="237"/>
      <c r="BAW36" s="237"/>
      <c r="BAX36" s="237"/>
      <c r="BAY36" s="237"/>
      <c r="BAZ36" s="237"/>
      <c r="BBA36" s="237"/>
      <c r="BBB36" s="237"/>
      <c r="BBC36" s="237"/>
      <c r="BBD36" s="237"/>
      <c r="BBE36" s="237"/>
      <c r="BBF36" s="237"/>
      <c r="BBG36" s="237"/>
      <c r="BBH36" s="237"/>
      <c r="BBI36" s="237"/>
      <c r="BBJ36" s="237"/>
      <c r="BBK36" s="237"/>
      <c r="BBL36" s="237"/>
      <c r="BBM36" s="237"/>
      <c r="BBN36" s="237"/>
      <c r="BBO36" s="237"/>
      <c r="BBP36" s="237"/>
      <c r="BBQ36" s="237"/>
      <c r="BBR36" s="237"/>
      <c r="BBS36" s="237"/>
      <c r="BBT36" s="237"/>
      <c r="BBU36" s="237"/>
      <c r="BBV36" s="237"/>
      <c r="BBW36" s="237"/>
      <c r="BBX36" s="237"/>
      <c r="BBY36" s="237"/>
      <c r="BBZ36" s="237"/>
      <c r="BCA36" s="237"/>
      <c r="BCB36" s="237"/>
      <c r="BCC36" s="237"/>
      <c r="BCD36" s="237"/>
      <c r="BCE36" s="237"/>
      <c r="BCF36" s="237"/>
      <c r="BCG36" s="237"/>
      <c r="BCH36" s="237"/>
      <c r="BCI36" s="237"/>
      <c r="BCJ36" s="237"/>
      <c r="BCK36" s="237"/>
      <c r="BCL36" s="237"/>
      <c r="BCM36" s="237"/>
      <c r="BCN36" s="237"/>
      <c r="BCO36" s="237"/>
      <c r="BCP36" s="237"/>
      <c r="BCQ36" s="237"/>
      <c r="BCR36" s="237"/>
      <c r="BCS36" s="237"/>
      <c r="BCT36" s="237"/>
      <c r="BCU36" s="237"/>
      <c r="BCV36" s="237"/>
      <c r="BCW36" s="237"/>
      <c r="BCX36" s="237"/>
      <c r="BCY36" s="237"/>
      <c r="BCZ36" s="237"/>
      <c r="BDA36" s="237"/>
      <c r="BDB36" s="237"/>
      <c r="BDC36" s="237"/>
      <c r="BDD36" s="237"/>
      <c r="BDE36" s="237"/>
      <c r="BDF36" s="237"/>
      <c r="BDG36" s="237"/>
      <c r="BDH36" s="237"/>
      <c r="BDI36" s="237"/>
      <c r="BDJ36" s="237"/>
      <c r="BDK36" s="237"/>
      <c r="BDL36" s="237"/>
      <c r="BDM36" s="237"/>
      <c r="BDN36" s="237"/>
      <c r="BDO36" s="237"/>
      <c r="BDP36" s="237"/>
      <c r="BDQ36" s="237"/>
      <c r="BDR36" s="237"/>
      <c r="BDS36" s="237"/>
      <c r="BDT36" s="237"/>
      <c r="BDU36" s="237"/>
      <c r="BDV36" s="237"/>
      <c r="BDW36" s="237"/>
      <c r="BDX36" s="237"/>
      <c r="BDY36" s="237"/>
      <c r="BDZ36" s="237"/>
      <c r="BEA36" s="237"/>
      <c r="BEB36" s="237"/>
      <c r="BEC36" s="237"/>
      <c r="BED36" s="237"/>
      <c r="BEE36" s="237"/>
      <c r="BEF36" s="237"/>
      <c r="BEG36" s="237"/>
      <c r="BEH36" s="237"/>
      <c r="BEI36" s="237"/>
      <c r="BEJ36" s="237"/>
      <c r="BEK36" s="237"/>
      <c r="BEL36" s="237"/>
      <c r="BEM36" s="237"/>
      <c r="BEN36" s="237"/>
      <c r="BEO36" s="237"/>
      <c r="BEP36" s="237"/>
      <c r="BEQ36" s="237"/>
      <c r="BER36" s="237"/>
      <c r="BES36" s="237"/>
      <c r="BET36" s="237"/>
      <c r="BEU36" s="237"/>
      <c r="BEV36" s="237"/>
      <c r="BEW36" s="237"/>
      <c r="BEX36" s="237"/>
      <c r="BEY36" s="237"/>
      <c r="BEZ36" s="237"/>
      <c r="BFA36" s="237"/>
      <c r="BFB36" s="237"/>
      <c r="BFC36" s="237"/>
      <c r="BFD36" s="237"/>
      <c r="BFE36" s="237"/>
      <c r="BFF36" s="237"/>
      <c r="BFG36" s="237"/>
      <c r="BFH36" s="237"/>
      <c r="BFI36" s="237"/>
      <c r="BFJ36" s="237"/>
      <c r="BFK36" s="237"/>
      <c r="BFL36" s="237"/>
      <c r="BFM36" s="237"/>
      <c r="BFN36" s="237"/>
      <c r="BFO36" s="237"/>
      <c r="BFP36" s="237"/>
      <c r="BFQ36" s="237"/>
      <c r="BFR36" s="237"/>
      <c r="BFS36" s="237"/>
      <c r="BFT36" s="237"/>
      <c r="BFU36" s="237"/>
      <c r="BFV36" s="237"/>
      <c r="BFW36" s="237"/>
      <c r="BFX36" s="237"/>
      <c r="BFY36" s="237"/>
      <c r="BFZ36" s="237"/>
      <c r="BGA36" s="237"/>
      <c r="BGB36" s="237"/>
      <c r="BGC36" s="237"/>
      <c r="BGD36" s="237"/>
      <c r="BGE36" s="237"/>
      <c r="BGF36" s="237"/>
      <c r="BGG36" s="237"/>
      <c r="BGH36" s="237"/>
      <c r="BGI36" s="237"/>
      <c r="BGJ36" s="237"/>
      <c r="BGK36" s="237"/>
      <c r="BGL36" s="237"/>
      <c r="BGM36" s="237"/>
      <c r="BGN36" s="237"/>
      <c r="BGO36" s="237"/>
      <c r="BGP36" s="237"/>
      <c r="BGQ36" s="237"/>
      <c r="BGR36" s="237"/>
      <c r="BGS36" s="237"/>
      <c r="BGT36" s="237"/>
      <c r="BGU36" s="237"/>
      <c r="BGV36" s="237"/>
      <c r="BGW36" s="237"/>
      <c r="BGX36" s="237"/>
      <c r="BGY36" s="237"/>
      <c r="BGZ36" s="237"/>
      <c r="BHA36" s="237"/>
      <c r="BHB36" s="237"/>
      <c r="BHC36" s="237"/>
      <c r="BHD36" s="237"/>
      <c r="BHE36" s="237"/>
      <c r="BHF36" s="237"/>
      <c r="BHG36" s="237"/>
      <c r="BHH36" s="237"/>
      <c r="BHI36" s="237"/>
      <c r="BHJ36" s="237"/>
      <c r="BHK36" s="237"/>
      <c r="BHL36" s="237"/>
      <c r="BHM36" s="237"/>
      <c r="BHN36" s="237"/>
      <c r="BHO36" s="237"/>
      <c r="BHP36" s="237"/>
      <c r="BHQ36" s="237"/>
      <c r="BHR36" s="237"/>
      <c r="BHS36" s="237"/>
      <c r="BHT36" s="237"/>
      <c r="BHU36" s="237"/>
      <c r="BHV36" s="237"/>
      <c r="BHW36" s="237"/>
      <c r="BHX36" s="237"/>
      <c r="BHY36" s="237"/>
      <c r="BHZ36" s="237"/>
      <c r="BIA36" s="237"/>
      <c r="BIB36" s="237"/>
      <c r="BIC36" s="237"/>
      <c r="BID36" s="237"/>
      <c r="BIE36" s="237"/>
      <c r="BIF36" s="237"/>
      <c r="BIG36" s="237"/>
      <c r="BIH36" s="237"/>
      <c r="BII36" s="237"/>
      <c r="BIJ36" s="237"/>
      <c r="BIK36" s="237"/>
      <c r="BIL36" s="237"/>
      <c r="BIM36" s="237"/>
      <c r="BIN36" s="237"/>
      <c r="BIO36" s="237"/>
      <c r="BIP36" s="237"/>
      <c r="BIQ36" s="237"/>
      <c r="BIR36" s="237"/>
      <c r="BIS36" s="237"/>
      <c r="BIT36" s="237"/>
      <c r="BIU36" s="237"/>
      <c r="BIV36" s="237"/>
      <c r="BIW36" s="237"/>
      <c r="BIX36" s="237"/>
      <c r="BIY36" s="237"/>
      <c r="BIZ36" s="237"/>
      <c r="BJA36" s="237"/>
      <c r="BJB36" s="237"/>
      <c r="BJC36" s="237"/>
      <c r="BJD36" s="237"/>
      <c r="BJE36" s="237"/>
      <c r="BJF36" s="237"/>
      <c r="BJG36" s="237"/>
      <c r="BJH36" s="237"/>
      <c r="BJI36" s="237"/>
      <c r="BJJ36" s="237"/>
      <c r="BJK36" s="237"/>
      <c r="BJL36" s="237"/>
      <c r="BJM36" s="237"/>
      <c r="BJN36" s="237"/>
      <c r="BJO36" s="237"/>
      <c r="BJP36" s="237"/>
      <c r="BJQ36" s="237"/>
      <c r="BJR36" s="237"/>
      <c r="BJS36" s="237"/>
      <c r="BJT36" s="237"/>
      <c r="BJU36" s="237"/>
      <c r="BJV36" s="237"/>
      <c r="BJW36" s="237"/>
      <c r="BJX36" s="237"/>
      <c r="BJY36" s="237"/>
      <c r="BJZ36" s="237"/>
      <c r="BKA36" s="237"/>
      <c r="BKB36" s="237"/>
      <c r="BKC36" s="237"/>
      <c r="BKD36" s="237"/>
      <c r="BKE36" s="237"/>
      <c r="BKF36" s="237"/>
      <c r="BKG36" s="237"/>
      <c r="BKH36" s="237"/>
      <c r="BKI36" s="237"/>
      <c r="BKJ36" s="237"/>
      <c r="BKK36" s="237"/>
      <c r="BKL36" s="237"/>
      <c r="BKM36" s="237"/>
      <c r="BKN36" s="237"/>
      <c r="BKO36" s="237"/>
      <c r="BKP36" s="237"/>
      <c r="BKQ36" s="237"/>
      <c r="BKR36" s="237"/>
      <c r="BKS36" s="237"/>
      <c r="BKT36" s="237"/>
      <c r="BKU36" s="237"/>
      <c r="BKV36" s="237"/>
      <c r="BKW36" s="237"/>
      <c r="BKX36" s="237"/>
      <c r="BKY36" s="237"/>
      <c r="BKZ36" s="237"/>
      <c r="BLA36" s="237"/>
      <c r="BLB36" s="237"/>
      <c r="BLC36" s="237"/>
      <c r="BLD36" s="237"/>
      <c r="BLE36" s="237"/>
      <c r="BLF36" s="237"/>
      <c r="BLG36" s="237"/>
      <c r="BLH36" s="237"/>
      <c r="BLI36" s="237"/>
      <c r="BLJ36" s="237"/>
      <c r="BLK36" s="237"/>
      <c r="BLL36" s="237"/>
      <c r="BLM36" s="237"/>
      <c r="BLN36" s="237"/>
      <c r="BLO36" s="237"/>
      <c r="BLP36" s="237"/>
      <c r="BLQ36" s="237"/>
      <c r="BLR36" s="237"/>
      <c r="BLS36" s="237"/>
      <c r="BLT36" s="237"/>
      <c r="BLU36" s="237"/>
      <c r="BLV36" s="237"/>
      <c r="BLW36" s="237"/>
      <c r="BLX36" s="237"/>
      <c r="BLY36" s="237"/>
      <c r="BLZ36" s="237"/>
      <c r="BMA36" s="237"/>
      <c r="BMB36" s="237"/>
      <c r="BMC36" s="237"/>
      <c r="BMD36" s="237"/>
      <c r="BME36" s="237"/>
      <c r="BMF36" s="237"/>
      <c r="BMG36" s="237"/>
      <c r="BMH36" s="237"/>
      <c r="BMI36" s="237"/>
      <c r="BMJ36" s="237"/>
      <c r="BMK36" s="237"/>
      <c r="BML36" s="237"/>
      <c r="BMM36" s="237"/>
      <c r="BMN36" s="237"/>
      <c r="BMO36" s="237"/>
      <c r="BMP36" s="237"/>
      <c r="BMQ36" s="237"/>
      <c r="BMR36" s="237"/>
      <c r="BMS36" s="237"/>
      <c r="BMT36" s="237"/>
      <c r="BMU36" s="237"/>
      <c r="BMV36" s="237"/>
      <c r="BMW36" s="237"/>
      <c r="BMX36" s="237"/>
      <c r="BMY36" s="237"/>
      <c r="BMZ36" s="237"/>
      <c r="BNA36" s="237"/>
      <c r="BNB36" s="237"/>
      <c r="BNC36" s="237"/>
      <c r="BND36" s="237"/>
      <c r="BNE36" s="237"/>
      <c r="BNF36" s="237"/>
      <c r="BNG36" s="237"/>
      <c r="BNH36" s="237"/>
      <c r="BNI36" s="237"/>
      <c r="BNJ36" s="237"/>
      <c r="BNK36" s="237"/>
      <c r="BNL36" s="237"/>
      <c r="BNM36" s="237"/>
      <c r="BNN36" s="237"/>
      <c r="BNO36" s="237"/>
      <c r="BNP36" s="237"/>
      <c r="BNQ36" s="237"/>
      <c r="BNR36" s="237"/>
      <c r="BNS36" s="237"/>
      <c r="BNT36" s="237"/>
      <c r="BNU36" s="237"/>
      <c r="BNV36" s="237"/>
      <c r="BNW36" s="237"/>
      <c r="BNX36" s="237"/>
      <c r="BNY36" s="237"/>
      <c r="BNZ36" s="237"/>
      <c r="BOA36" s="237"/>
      <c r="BOB36" s="237"/>
      <c r="BOC36" s="237"/>
      <c r="BOD36" s="237"/>
      <c r="BOE36" s="237"/>
      <c r="BOF36" s="237"/>
      <c r="BOG36" s="237"/>
      <c r="BOH36" s="237"/>
      <c r="BOI36" s="237"/>
      <c r="BOJ36" s="237"/>
      <c r="BOK36" s="237"/>
      <c r="BOL36" s="237"/>
      <c r="BOM36" s="237"/>
      <c r="BON36" s="237"/>
      <c r="BOO36" s="237"/>
      <c r="BOP36" s="237"/>
      <c r="BOQ36" s="237"/>
      <c r="BOR36" s="237"/>
      <c r="BOS36" s="237"/>
      <c r="BOT36" s="237"/>
      <c r="BOU36" s="237"/>
      <c r="BOV36" s="237"/>
      <c r="BOW36" s="237"/>
      <c r="BOX36" s="237"/>
      <c r="BOY36" s="237"/>
      <c r="BOZ36" s="237"/>
      <c r="BPA36" s="237"/>
      <c r="BPB36" s="237"/>
      <c r="BPC36" s="237"/>
      <c r="BPD36" s="237"/>
      <c r="BPE36" s="237"/>
      <c r="BPF36" s="237"/>
      <c r="BPG36" s="237"/>
      <c r="BPH36" s="237"/>
      <c r="BPI36" s="237"/>
      <c r="BPJ36" s="237"/>
      <c r="BPK36" s="237"/>
      <c r="BPL36" s="237"/>
      <c r="BPM36" s="237"/>
      <c r="BPN36" s="237"/>
      <c r="BPO36" s="237"/>
      <c r="BPP36" s="237"/>
      <c r="BPQ36" s="237"/>
      <c r="BPR36" s="237"/>
      <c r="BPS36" s="237"/>
      <c r="BPT36" s="237"/>
      <c r="BPU36" s="237"/>
      <c r="BPV36" s="237"/>
      <c r="BPW36" s="237"/>
      <c r="BPX36" s="237"/>
      <c r="BPY36" s="237"/>
      <c r="BPZ36" s="237"/>
      <c r="BQA36" s="237"/>
      <c r="BQB36" s="237"/>
      <c r="BQC36" s="237"/>
      <c r="BQD36" s="237"/>
      <c r="BQE36" s="237"/>
      <c r="BQF36" s="237"/>
      <c r="BQG36" s="237"/>
      <c r="BQH36" s="237"/>
      <c r="BQI36" s="237"/>
      <c r="BQJ36" s="237"/>
      <c r="BQK36" s="237"/>
      <c r="BQL36" s="237"/>
      <c r="BQM36" s="237"/>
      <c r="BQN36" s="237"/>
      <c r="BQO36" s="237"/>
      <c r="BQP36" s="237"/>
      <c r="BQQ36" s="237"/>
      <c r="BQR36" s="237"/>
      <c r="BQS36" s="237"/>
      <c r="BQT36" s="237"/>
      <c r="BQU36" s="237"/>
      <c r="BQV36" s="237"/>
      <c r="BQW36" s="237"/>
      <c r="BQX36" s="237"/>
      <c r="BQY36" s="237"/>
      <c r="BQZ36" s="237"/>
      <c r="BRA36" s="237"/>
      <c r="BRB36" s="237"/>
      <c r="BRC36" s="237"/>
      <c r="BRD36" s="237"/>
      <c r="BRE36" s="237"/>
      <c r="BRF36" s="237"/>
      <c r="BRG36" s="237"/>
      <c r="BRH36" s="237"/>
      <c r="BRI36" s="237"/>
      <c r="BRJ36" s="237"/>
      <c r="BRK36" s="237"/>
      <c r="BRL36" s="237"/>
      <c r="BRM36" s="237"/>
      <c r="BRN36" s="237"/>
      <c r="BRO36" s="237"/>
      <c r="BRP36" s="237"/>
      <c r="BRQ36" s="237"/>
      <c r="BRR36" s="237"/>
      <c r="BRS36" s="237"/>
      <c r="BRT36" s="237"/>
      <c r="BRU36" s="237"/>
      <c r="BRV36" s="237"/>
      <c r="BRW36" s="237"/>
      <c r="BRX36" s="237"/>
      <c r="BRY36" s="237"/>
      <c r="BRZ36" s="237"/>
      <c r="BSA36" s="237"/>
      <c r="BSB36" s="237"/>
      <c r="BSC36" s="237"/>
      <c r="BSD36" s="237"/>
      <c r="BSE36" s="237"/>
      <c r="BSF36" s="237"/>
      <c r="BSG36" s="237"/>
      <c r="BSH36" s="237"/>
      <c r="BSI36" s="237"/>
      <c r="BSJ36" s="237"/>
      <c r="BSK36" s="237"/>
      <c r="BSL36" s="237"/>
      <c r="BSM36" s="237"/>
      <c r="BSN36" s="237"/>
      <c r="BSO36" s="237"/>
      <c r="BSP36" s="237"/>
      <c r="BSQ36" s="237"/>
      <c r="BSR36" s="237"/>
      <c r="BSS36" s="237"/>
      <c r="BST36" s="237"/>
      <c r="BSU36" s="237"/>
      <c r="BSV36" s="237"/>
      <c r="BSW36" s="237"/>
      <c r="BSX36" s="237"/>
      <c r="BSY36" s="237"/>
      <c r="BSZ36" s="237"/>
      <c r="BTA36" s="237"/>
      <c r="BTB36" s="237"/>
      <c r="BTC36" s="237"/>
      <c r="BTD36" s="237"/>
      <c r="BTE36" s="237"/>
      <c r="BTF36" s="237"/>
      <c r="BTG36" s="237"/>
      <c r="BTH36" s="237"/>
      <c r="BTI36" s="237"/>
      <c r="BTJ36" s="237"/>
      <c r="BTK36" s="237"/>
      <c r="BTL36" s="237"/>
      <c r="BTM36" s="237"/>
      <c r="BTN36" s="237"/>
      <c r="BTO36" s="237"/>
      <c r="BTP36" s="237"/>
      <c r="BTQ36" s="237"/>
      <c r="BTR36" s="237"/>
      <c r="BTS36" s="237"/>
      <c r="BTT36" s="237"/>
      <c r="BTU36" s="237"/>
      <c r="BTV36" s="237"/>
      <c r="BTW36" s="237"/>
      <c r="BTX36" s="237"/>
      <c r="BTY36" s="237"/>
      <c r="BTZ36" s="237"/>
      <c r="BUA36" s="237"/>
      <c r="BUB36" s="237"/>
      <c r="BUC36" s="237"/>
      <c r="BUD36" s="237"/>
      <c r="BUE36" s="237"/>
      <c r="BUF36" s="237"/>
      <c r="BUG36" s="237"/>
      <c r="BUH36" s="237"/>
      <c r="BUI36" s="237"/>
      <c r="BUJ36" s="237"/>
      <c r="BUK36" s="237"/>
      <c r="BUL36" s="237"/>
      <c r="BUM36" s="237"/>
      <c r="BUN36" s="237"/>
      <c r="BUO36" s="237"/>
      <c r="BUP36" s="237"/>
      <c r="BUQ36" s="237"/>
      <c r="BUR36" s="237"/>
      <c r="BUS36" s="237"/>
      <c r="BUT36" s="237"/>
      <c r="BUU36" s="237"/>
      <c r="BUV36" s="237"/>
      <c r="BUW36" s="237"/>
      <c r="BUX36" s="237"/>
      <c r="BUY36" s="237"/>
      <c r="BUZ36" s="237"/>
      <c r="BVA36" s="237"/>
      <c r="BVB36" s="237"/>
      <c r="BVC36" s="237"/>
      <c r="BVD36" s="237"/>
      <c r="BVE36" s="237"/>
      <c r="BVF36" s="237"/>
      <c r="BVG36" s="237"/>
      <c r="BVH36" s="237"/>
      <c r="BVI36" s="237"/>
      <c r="BVJ36" s="237"/>
      <c r="BVK36" s="237"/>
      <c r="BVL36" s="237"/>
      <c r="BVM36" s="237"/>
      <c r="BVN36" s="237"/>
      <c r="BVO36" s="237"/>
      <c r="BVP36" s="237"/>
      <c r="BVQ36" s="237"/>
      <c r="BVR36" s="237"/>
      <c r="BVS36" s="237"/>
      <c r="BVT36" s="237"/>
      <c r="BVU36" s="237"/>
      <c r="BVV36" s="237"/>
      <c r="BVW36" s="237"/>
      <c r="BVX36" s="237"/>
      <c r="BVY36" s="237"/>
      <c r="BVZ36" s="237"/>
      <c r="BWA36" s="237"/>
      <c r="BWB36" s="237"/>
      <c r="BWC36" s="237"/>
      <c r="BWD36" s="237"/>
      <c r="BWE36" s="237"/>
      <c r="BWF36" s="237"/>
      <c r="BWG36" s="237"/>
      <c r="BWH36" s="237"/>
      <c r="BWI36" s="237"/>
      <c r="BWJ36" s="237"/>
      <c r="BWK36" s="237"/>
      <c r="BWL36" s="237"/>
      <c r="BWM36" s="237"/>
      <c r="BWN36" s="237"/>
      <c r="BWO36" s="237"/>
      <c r="BWP36" s="237"/>
      <c r="BWQ36" s="237"/>
      <c r="BWR36" s="237"/>
      <c r="BWS36" s="237"/>
      <c r="BWT36" s="237"/>
      <c r="BWU36" s="237"/>
      <c r="BWV36" s="237"/>
      <c r="BWW36" s="237"/>
      <c r="BWX36" s="237"/>
      <c r="BWY36" s="237"/>
      <c r="BWZ36" s="237"/>
      <c r="BXA36" s="237"/>
      <c r="BXB36" s="237"/>
      <c r="BXC36" s="237"/>
      <c r="BXD36" s="237"/>
      <c r="BXE36" s="237"/>
      <c r="BXF36" s="237"/>
      <c r="BXG36" s="237"/>
      <c r="BXH36" s="237"/>
      <c r="BXI36" s="237"/>
      <c r="BXJ36" s="237"/>
      <c r="BXK36" s="237"/>
      <c r="BXL36" s="237"/>
      <c r="BXM36" s="237"/>
      <c r="BXN36" s="237"/>
      <c r="BXO36" s="237"/>
      <c r="BXP36" s="237"/>
      <c r="BXQ36" s="237"/>
      <c r="BXR36" s="237"/>
      <c r="BXS36" s="237"/>
      <c r="BXT36" s="237"/>
      <c r="BXU36" s="237"/>
      <c r="BXV36" s="237"/>
      <c r="BXW36" s="237"/>
      <c r="BXX36" s="237"/>
      <c r="BXY36" s="237"/>
      <c r="BXZ36" s="237"/>
      <c r="BYA36" s="237"/>
      <c r="BYB36" s="237"/>
      <c r="BYC36" s="237"/>
      <c r="BYD36" s="237"/>
      <c r="BYE36" s="237"/>
      <c r="BYF36" s="237"/>
      <c r="BYG36" s="237"/>
    </row>
    <row r="37" spans="1:2009" s="101" customFormat="1" ht="13.5" hidden="1" customHeight="1" thickBot="1" x14ac:dyDescent="0.3">
      <c r="A37" s="98"/>
      <c r="B37" s="98"/>
      <c r="C37" s="174"/>
      <c r="D37" s="174"/>
      <c r="E37" s="174"/>
      <c r="F37" s="174"/>
      <c r="G37" s="17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4" t="s">
        <v>52</v>
      </c>
      <c r="B38" s="145"/>
      <c r="C38" s="198"/>
      <c r="D38" s="198"/>
      <c r="E38" s="199"/>
      <c r="F38" s="199"/>
      <c r="G38" s="20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customHeight="1" x14ac:dyDescent="0.25">
      <c r="A39" s="146"/>
      <c r="B39" s="117" t="s">
        <v>150</v>
      </c>
      <c r="C39" s="201">
        <v>3458.33</v>
      </c>
      <c r="D39" s="201">
        <v>3458.33</v>
      </c>
      <c r="E39" s="202"/>
      <c r="F39" s="202"/>
      <c r="G39" s="203">
        <f>ROUND(SUM(C39:F39),5)</f>
        <v>6916.66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hidden="1" customHeight="1" x14ac:dyDescent="0.25">
      <c r="A40" s="146"/>
      <c r="B40" s="117" t="s">
        <v>163</v>
      </c>
      <c r="C40" s="201"/>
      <c r="D40" s="201"/>
      <c r="E40" s="202"/>
      <c r="F40" s="202"/>
      <c r="G40" s="203">
        <f>SUM(C40:F40)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116" customFormat="1" ht="24.95" customHeight="1" x14ac:dyDescent="0.25">
      <c r="A41" s="146"/>
      <c r="B41" s="128" t="s">
        <v>53</v>
      </c>
      <c r="C41" s="201">
        <f>3368.72+12158.7-1219.36</f>
        <v>14308.06</v>
      </c>
      <c r="D41" s="201">
        <f>1219.36+4453.99</f>
        <v>5673.3499999999995</v>
      </c>
      <c r="E41" s="202"/>
      <c r="F41" s="202"/>
      <c r="G41" s="203">
        <f>ROUND(SUM(C41:F41),5)</f>
        <v>19981.41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</row>
    <row r="42" spans="1:2009" s="244" customFormat="1" ht="24.95" customHeight="1" thickBot="1" x14ac:dyDescent="0.3">
      <c r="A42" s="240"/>
      <c r="B42" s="241" t="s">
        <v>54</v>
      </c>
      <c r="C42" s="242">
        <f>SUM(C39:C41)</f>
        <v>17766.39</v>
      </c>
      <c r="D42" s="242">
        <f>SUM(D39:D41)</f>
        <v>9131.68</v>
      </c>
      <c r="E42" s="242"/>
      <c r="F42" s="242"/>
      <c r="G42" s="243">
        <f t="shared" ref="G42" si="1">SUM(G39:G41)</f>
        <v>26898.07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4"/>
      <c r="OR42" s="224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4"/>
      <c r="PW42" s="224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4"/>
      <c r="RA42" s="224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4"/>
      <c r="SF42" s="224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4"/>
      <c r="TK42" s="224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4"/>
      <c r="UO42" s="224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4"/>
      <c r="VT42" s="224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4"/>
      <c r="WX42" s="224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4"/>
      <c r="YC42" s="224"/>
      <c r="YD42" s="224"/>
      <c r="YE42" s="224"/>
      <c r="YF42" s="224"/>
      <c r="YG42" s="224"/>
      <c r="YH42" s="224"/>
      <c r="YI42" s="224"/>
      <c r="YJ42" s="224"/>
      <c r="YK42" s="224"/>
      <c r="YL42" s="224"/>
      <c r="YM42" s="224"/>
      <c r="YN42" s="224"/>
      <c r="YO42" s="224"/>
      <c r="YP42" s="224"/>
      <c r="YQ42" s="224"/>
      <c r="YR42" s="224"/>
      <c r="YS42" s="224"/>
      <c r="YT42" s="224"/>
      <c r="YU42" s="224"/>
      <c r="YV42" s="224"/>
      <c r="YW42" s="224"/>
      <c r="YX42" s="224"/>
      <c r="YY42" s="224"/>
      <c r="YZ42" s="224"/>
      <c r="ZA42" s="224"/>
      <c r="ZB42" s="224"/>
      <c r="ZC42" s="224"/>
      <c r="ZD42" s="224"/>
      <c r="ZE42" s="224"/>
      <c r="ZF42" s="224"/>
      <c r="ZG42" s="224"/>
      <c r="ZH42" s="224"/>
      <c r="ZI42" s="224"/>
      <c r="ZJ42" s="224"/>
      <c r="ZK42" s="224"/>
      <c r="ZL42" s="224"/>
      <c r="ZM42" s="224"/>
      <c r="ZN42" s="224"/>
      <c r="ZO42" s="224"/>
      <c r="ZP42" s="224"/>
      <c r="ZQ42" s="224"/>
      <c r="ZR42" s="224"/>
      <c r="ZS42" s="224"/>
      <c r="ZT42" s="224"/>
      <c r="ZU42" s="224"/>
      <c r="ZV42" s="224"/>
      <c r="ZW42" s="224"/>
      <c r="ZX42" s="224"/>
      <c r="ZY42" s="224"/>
      <c r="ZZ42" s="224"/>
      <c r="AAA42" s="224"/>
      <c r="AAB42" s="224"/>
      <c r="AAC42" s="224"/>
      <c r="AAD42" s="224"/>
      <c r="AAE42" s="224"/>
      <c r="AAF42" s="224"/>
      <c r="AAG42" s="224"/>
      <c r="AAH42" s="224"/>
      <c r="AAI42" s="224"/>
      <c r="AAJ42" s="224"/>
      <c r="AAK42" s="224"/>
      <c r="AAL42" s="224"/>
      <c r="AAM42" s="224"/>
      <c r="AAN42" s="224"/>
      <c r="AAO42" s="224"/>
      <c r="AAP42" s="224"/>
      <c r="AAQ42" s="224"/>
      <c r="AAR42" s="224"/>
      <c r="AAS42" s="224"/>
      <c r="AAT42" s="224"/>
      <c r="AAU42" s="224"/>
      <c r="AAV42" s="224"/>
      <c r="AAW42" s="224"/>
      <c r="AAX42" s="224"/>
      <c r="AAY42" s="224"/>
      <c r="AAZ42" s="224"/>
      <c r="ABA42" s="224"/>
      <c r="ABB42" s="224"/>
      <c r="ABC42" s="224"/>
      <c r="ABD42" s="224"/>
      <c r="ABE42" s="224"/>
      <c r="ABF42" s="224"/>
      <c r="ABG42" s="224"/>
      <c r="ABH42" s="224"/>
      <c r="ABI42" s="224"/>
      <c r="ABJ42" s="224"/>
      <c r="ABK42" s="224"/>
      <c r="ABL42" s="224"/>
      <c r="ABM42" s="224"/>
      <c r="ABN42" s="224"/>
      <c r="ABO42" s="224"/>
      <c r="ABP42" s="224"/>
      <c r="ABQ42" s="224"/>
      <c r="ABR42" s="224"/>
      <c r="ABS42" s="224"/>
      <c r="ABT42" s="224"/>
      <c r="ABU42" s="224"/>
      <c r="ABV42" s="224"/>
      <c r="ABW42" s="224"/>
      <c r="ABX42" s="224"/>
      <c r="ABY42" s="224"/>
      <c r="ABZ42" s="224"/>
      <c r="ACA42" s="224"/>
      <c r="ACB42" s="224"/>
      <c r="ACC42" s="224"/>
      <c r="ACD42" s="224"/>
      <c r="ACE42" s="224"/>
      <c r="ACF42" s="224"/>
      <c r="ACG42" s="224"/>
      <c r="ACH42" s="224"/>
      <c r="ACI42" s="224"/>
      <c r="ACJ42" s="224"/>
      <c r="ACK42" s="224"/>
      <c r="ACL42" s="224"/>
      <c r="ACM42" s="224"/>
      <c r="ACN42" s="224"/>
      <c r="ACO42" s="224"/>
      <c r="ACP42" s="224"/>
      <c r="ACQ42" s="224"/>
      <c r="ACR42" s="224"/>
      <c r="ACS42" s="224"/>
      <c r="ACT42" s="224"/>
      <c r="ACU42" s="224"/>
      <c r="ACV42" s="224"/>
      <c r="ACW42" s="224"/>
      <c r="ACX42" s="224"/>
      <c r="ACY42" s="224"/>
      <c r="ACZ42" s="224"/>
      <c r="ADA42" s="224"/>
      <c r="ADB42" s="224"/>
      <c r="ADC42" s="224"/>
      <c r="ADD42" s="224"/>
      <c r="ADE42" s="224"/>
      <c r="ADF42" s="224"/>
      <c r="ADG42" s="224"/>
      <c r="ADH42" s="224"/>
      <c r="ADI42" s="224"/>
      <c r="ADJ42" s="224"/>
      <c r="ADK42" s="224"/>
      <c r="ADL42" s="224"/>
      <c r="ADM42" s="224"/>
      <c r="ADN42" s="224"/>
      <c r="ADO42" s="224"/>
      <c r="ADP42" s="224"/>
      <c r="ADQ42" s="224"/>
      <c r="ADR42" s="224"/>
      <c r="ADS42" s="224"/>
      <c r="ADT42" s="224"/>
      <c r="ADU42" s="224"/>
      <c r="ADV42" s="224"/>
      <c r="ADW42" s="224"/>
      <c r="ADX42" s="224"/>
      <c r="ADY42" s="224"/>
      <c r="ADZ42" s="224"/>
      <c r="AEA42" s="224"/>
      <c r="AEB42" s="224"/>
      <c r="AEC42" s="224"/>
      <c r="AED42" s="224"/>
      <c r="AEE42" s="224"/>
      <c r="AEF42" s="224"/>
      <c r="AEG42" s="224"/>
      <c r="AEH42" s="224"/>
      <c r="AEI42" s="224"/>
      <c r="AEJ42" s="224"/>
      <c r="AEK42" s="224"/>
      <c r="AEL42" s="224"/>
      <c r="AEM42" s="224"/>
      <c r="AEN42" s="224"/>
      <c r="AEO42" s="224"/>
      <c r="AEP42" s="224"/>
      <c r="AEQ42" s="224"/>
      <c r="AER42" s="224"/>
      <c r="AES42" s="224"/>
      <c r="AET42" s="224"/>
      <c r="AEU42" s="224"/>
      <c r="AEV42" s="224"/>
      <c r="AEW42" s="224"/>
      <c r="AEX42" s="224"/>
      <c r="AEY42" s="224"/>
      <c r="AEZ42" s="224"/>
      <c r="AFA42" s="224"/>
      <c r="AFB42" s="224"/>
      <c r="AFC42" s="224"/>
      <c r="AFD42" s="224"/>
      <c r="AFE42" s="224"/>
      <c r="AFF42" s="224"/>
      <c r="AFG42" s="224"/>
      <c r="AFH42" s="224"/>
      <c r="AFI42" s="224"/>
      <c r="AFJ42" s="224"/>
      <c r="AFK42" s="224"/>
      <c r="AFL42" s="224"/>
      <c r="AFM42" s="224"/>
      <c r="AFN42" s="224"/>
      <c r="AFO42" s="224"/>
      <c r="AFP42" s="224"/>
      <c r="AFQ42" s="224"/>
      <c r="AFR42" s="224"/>
      <c r="AFS42" s="224"/>
      <c r="AFT42" s="224"/>
      <c r="AFU42" s="224"/>
      <c r="AFV42" s="224"/>
      <c r="AFW42" s="224"/>
      <c r="AFX42" s="224"/>
      <c r="AFY42" s="224"/>
      <c r="AFZ42" s="224"/>
      <c r="AGA42" s="224"/>
      <c r="AGB42" s="224"/>
      <c r="AGC42" s="224"/>
      <c r="AGD42" s="224"/>
      <c r="AGE42" s="224"/>
      <c r="AGF42" s="224"/>
      <c r="AGG42" s="224"/>
      <c r="AGH42" s="224"/>
      <c r="AGI42" s="224"/>
      <c r="AGJ42" s="224"/>
      <c r="AGK42" s="224"/>
      <c r="AGL42" s="224"/>
      <c r="AGM42" s="224"/>
      <c r="AGN42" s="224"/>
      <c r="AGO42" s="224"/>
      <c r="AGP42" s="224"/>
      <c r="AGQ42" s="224"/>
      <c r="AGR42" s="224"/>
      <c r="AGS42" s="224"/>
      <c r="AGT42" s="224"/>
      <c r="AGU42" s="224"/>
      <c r="AGV42" s="224"/>
      <c r="AGW42" s="224"/>
      <c r="AGX42" s="224"/>
      <c r="AGY42" s="224"/>
      <c r="AGZ42" s="224"/>
      <c r="AHA42" s="224"/>
      <c r="AHB42" s="224"/>
      <c r="AHC42" s="224"/>
      <c r="AHD42" s="224"/>
      <c r="AHE42" s="224"/>
      <c r="AHF42" s="224"/>
      <c r="AHG42" s="224"/>
      <c r="AHH42" s="224"/>
      <c r="AHI42" s="224"/>
      <c r="AHJ42" s="224"/>
      <c r="AHK42" s="224"/>
      <c r="AHL42" s="224"/>
      <c r="AHM42" s="224"/>
      <c r="AHN42" s="224"/>
      <c r="AHO42" s="224"/>
      <c r="AHP42" s="224"/>
      <c r="AHQ42" s="224"/>
      <c r="AHR42" s="224"/>
      <c r="AHS42" s="224"/>
      <c r="AHT42" s="224"/>
      <c r="AHU42" s="224"/>
      <c r="AHV42" s="224"/>
      <c r="AHW42" s="224"/>
      <c r="AHX42" s="224"/>
      <c r="AHY42" s="224"/>
      <c r="AHZ42" s="224"/>
      <c r="AIA42" s="224"/>
      <c r="AIB42" s="224"/>
      <c r="AIC42" s="224"/>
      <c r="AID42" s="224"/>
      <c r="AIE42" s="224"/>
      <c r="AIF42" s="224"/>
      <c r="AIG42" s="224"/>
      <c r="AIH42" s="224"/>
      <c r="AII42" s="224"/>
      <c r="AIJ42" s="224"/>
      <c r="AIK42" s="224"/>
      <c r="AIL42" s="224"/>
      <c r="AIM42" s="224"/>
      <c r="AIN42" s="224"/>
      <c r="AIO42" s="224"/>
      <c r="AIP42" s="224"/>
      <c r="AIQ42" s="224"/>
      <c r="AIR42" s="224"/>
      <c r="AIS42" s="224"/>
      <c r="AIT42" s="224"/>
      <c r="AIU42" s="224"/>
      <c r="AIV42" s="224"/>
      <c r="AIW42" s="224"/>
      <c r="AIX42" s="224"/>
      <c r="AIY42" s="224"/>
      <c r="AIZ42" s="224"/>
      <c r="AJA42" s="224"/>
      <c r="AJB42" s="224"/>
      <c r="AJC42" s="224"/>
      <c r="AJD42" s="224"/>
      <c r="AJE42" s="224"/>
      <c r="AJF42" s="224"/>
      <c r="AJG42" s="224"/>
      <c r="AJH42" s="224"/>
      <c r="AJI42" s="224"/>
      <c r="AJJ42" s="224"/>
      <c r="AJK42" s="224"/>
      <c r="AJL42" s="224"/>
      <c r="AJM42" s="224"/>
      <c r="AJN42" s="224"/>
      <c r="AJO42" s="224"/>
      <c r="AJP42" s="224"/>
      <c r="AJQ42" s="224"/>
      <c r="AJR42" s="224"/>
      <c r="AJS42" s="224"/>
      <c r="AJT42" s="224"/>
      <c r="AJU42" s="224"/>
      <c r="AJV42" s="224"/>
      <c r="AJW42" s="224"/>
      <c r="AJX42" s="224"/>
      <c r="AJY42" s="224"/>
      <c r="AJZ42" s="224"/>
      <c r="AKA42" s="224"/>
      <c r="AKB42" s="224"/>
      <c r="AKC42" s="224"/>
      <c r="AKD42" s="224"/>
      <c r="AKE42" s="224"/>
      <c r="AKF42" s="224"/>
      <c r="AKG42" s="224"/>
      <c r="AKH42" s="224"/>
      <c r="AKI42" s="224"/>
      <c r="AKJ42" s="224"/>
      <c r="AKK42" s="224"/>
      <c r="AKL42" s="224"/>
      <c r="AKM42" s="224"/>
      <c r="AKN42" s="224"/>
      <c r="AKO42" s="224"/>
      <c r="AKP42" s="224"/>
      <c r="AKQ42" s="224"/>
      <c r="AKR42" s="224"/>
      <c r="AKS42" s="224"/>
      <c r="AKT42" s="224"/>
      <c r="AKU42" s="224"/>
      <c r="AKV42" s="224"/>
      <c r="AKW42" s="224"/>
      <c r="AKX42" s="224"/>
      <c r="AKY42" s="224"/>
      <c r="AKZ42" s="224"/>
      <c r="ALA42" s="224"/>
      <c r="ALB42" s="224"/>
      <c r="ALC42" s="224"/>
      <c r="ALD42" s="224"/>
      <c r="ALE42" s="224"/>
      <c r="ALF42" s="224"/>
      <c r="ALG42" s="224"/>
      <c r="ALH42" s="224"/>
      <c r="ALI42" s="224"/>
      <c r="ALJ42" s="224"/>
      <c r="ALK42" s="224"/>
      <c r="ALL42" s="224"/>
      <c r="ALM42" s="224"/>
      <c r="ALN42" s="224"/>
      <c r="ALO42" s="224"/>
      <c r="ALP42" s="224"/>
      <c r="ALQ42" s="224"/>
      <c r="ALR42" s="224"/>
      <c r="ALS42" s="224"/>
      <c r="ALT42" s="224"/>
      <c r="ALU42" s="224"/>
      <c r="ALV42" s="224"/>
      <c r="ALW42" s="224"/>
      <c r="ALX42" s="224"/>
      <c r="ALY42" s="224"/>
      <c r="ALZ42" s="224"/>
      <c r="AMA42" s="224"/>
      <c r="AMB42" s="224"/>
      <c r="AMC42" s="224"/>
      <c r="AMD42" s="224"/>
      <c r="AME42" s="224"/>
      <c r="AMF42" s="224"/>
      <c r="AMG42" s="224"/>
      <c r="AMH42" s="224"/>
      <c r="AMI42" s="224"/>
      <c r="AMJ42" s="224"/>
      <c r="AMK42" s="224"/>
      <c r="AML42" s="224"/>
      <c r="AMM42" s="224"/>
      <c r="AMN42" s="224"/>
      <c r="AMO42" s="224"/>
      <c r="AMP42" s="224"/>
      <c r="AMQ42" s="224"/>
      <c r="AMR42" s="224"/>
      <c r="AMS42" s="224"/>
      <c r="AMT42" s="224"/>
      <c r="AMU42" s="224"/>
      <c r="AMV42" s="224"/>
      <c r="AMW42" s="224"/>
      <c r="AMX42" s="224"/>
      <c r="AMY42" s="224"/>
      <c r="AMZ42" s="224"/>
      <c r="ANA42" s="224"/>
      <c r="ANB42" s="224"/>
      <c r="ANC42" s="224"/>
      <c r="AND42" s="224"/>
      <c r="ANE42" s="224"/>
      <c r="ANF42" s="224"/>
      <c r="ANG42" s="224"/>
      <c r="ANH42" s="224"/>
      <c r="ANI42" s="224"/>
      <c r="ANJ42" s="224"/>
      <c r="ANK42" s="224"/>
      <c r="ANL42" s="224"/>
      <c r="ANM42" s="224"/>
      <c r="ANN42" s="224"/>
      <c r="ANO42" s="224"/>
      <c r="ANP42" s="224"/>
      <c r="ANQ42" s="224"/>
      <c r="ANR42" s="224"/>
      <c r="ANS42" s="224"/>
      <c r="ANT42" s="224"/>
      <c r="ANU42" s="224"/>
      <c r="ANV42" s="224"/>
      <c r="ANW42" s="224"/>
      <c r="ANX42" s="224"/>
      <c r="ANY42" s="224"/>
      <c r="ANZ42" s="224"/>
      <c r="AOA42" s="224"/>
      <c r="AOB42" s="224"/>
      <c r="AOC42" s="224"/>
      <c r="AOD42" s="224"/>
      <c r="AOE42" s="224"/>
      <c r="AOF42" s="224"/>
      <c r="AOG42" s="224"/>
      <c r="AOH42" s="224"/>
      <c r="AOI42" s="224"/>
      <c r="AOJ42" s="224"/>
      <c r="AOK42" s="224"/>
      <c r="AOL42" s="224"/>
      <c r="AOM42" s="224"/>
      <c r="AON42" s="224"/>
      <c r="AOO42" s="224"/>
      <c r="AOP42" s="224"/>
      <c r="AOQ42" s="224"/>
      <c r="AOR42" s="224"/>
      <c r="AOS42" s="224"/>
      <c r="AOT42" s="224"/>
      <c r="AOU42" s="224"/>
      <c r="AOV42" s="224"/>
      <c r="AOW42" s="224"/>
      <c r="AOX42" s="224"/>
      <c r="AOY42" s="224"/>
      <c r="AOZ42" s="224"/>
      <c r="APA42" s="224"/>
      <c r="APB42" s="224"/>
      <c r="APC42" s="224"/>
      <c r="APD42" s="224"/>
      <c r="APE42" s="224"/>
      <c r="APF42" s="224"/>
      <c r="APG42" s="224"/>
      <c r="APH42" s="224"/>
      <c r="API42" s="224"/>
      <c r="APJ42" s="224"/>
      <c r="APK42" s="224"/>
      <c r="APL42" s="224"/>
      <c r="APM42" s="224"/>
      <c r="APN42" s="224"/>
      <c r="APO42" s="224"/>
      <c r="APP42" s="224"/>
      <c r="APQ42" s="224"/>
      <c r="APR42" s="224"/>
      <c r="APS42" s="224"/>
      <c r="APT42" s="224"/>
      <c r="APU42" s="224"/>
      <c r="APV42" s="224"/>
      <c r="APW42" s="224"/>
      <c r="APX42" s="224"/>
      <c r="APY42" s="224"/>
      <c r="APZ42" s="224"/>
      <c r="AQA42" s="224"/>
      <c r="AQB42" s="224"/>
      <c r="AQC42" s="224"/>
      <c r="AQD42" s="224"/>
      <c r="AQE42" s="224"/>
      <c r="AQF42" s="224"/>
      <c r="AQG42" s="224"/>
      <c r="AQH42" s="224"/>
      <c r="AQI42" s="224"/>
      <c r="AQJ42" s="224"/>
      <c r="AQK42" s="224"/>
      <c r="AQL42" s="224"/>
      <c r="AQM42" s="224"/>
      <c r="AQN42" s="224"/>
      <c r="AQO42" s="224"/>
      <c r="AQP42" s="224"/>
      <c r="AQQ42" s="224"/>
      <c r="AQR42" s="224"/>
      <c r="AQS42" s="224"/>
      <c r="AQT42" s="224"/>
      <c r="AQU42" s="224"/>
      <c r="AQV42" s="224"/>
      <c r="AQW42" s="224"/>
      <c r="AQX42" s="224"/>
      <c r="AQY42" s="224"/>
      <c r="AQZ42" s="224"/>
      <c r="ARA42" s="224"/>
      <c r="ARB42" s="224"/>
      <c r="ARC42" s="224"/>
      <c r="ARD42" s="224"/>
      <c r="ARE42" s="224"/>
      <c r="ARF42" s="224"/>
      <c r="ARG42" s="224"/>
      <c r="ARH42" s="224"/>
      <c r="ARI42" s="224"/>
      <c r="ARJ42" s="224"/>
      <c r="ARK42" s="224"/>
      <c r="ARL42" s="224"/>
      <c r="ARM42" s="224"/>
      <c r="ARN42" s="224"/>
      <c r="ARO42" s="224"/>
      <c r="ARP42" s="224"/>
      <c r="ARQ42" s="224"/>
      <c r="ARR42" s="224"/>
      <c r="ARS42" s="224"/>
      <c r="ART42" s="224"/>
      <c r="ARU42" s="224"/>
      <c r="ARV42" s="224"/>
      <c r="ARW42" s="224"/>
      <c r="ARX42" s="224"/>
      <c r="ARY42" s="224"/>
      <c r="ARZ42" s="224"/>
      <c r="ASA42" s="224"/>
      <c r="ASB42" s="224"/>
      <c r="ASC42" s="224"/>
      <c r="ASD42" s="224"/>
      <c r="ASE42" s="224"/>
      <c r="ASF42" s="224"/>
      <c r="ASG42" s="224"/>
      <c r="ASH42" s="224"/>
      <c r="ASI42" s="224"/>
      <c r="ASJ42" s="224"/>
      <c r="ASK42" s="224"/>
      <c r="ASL42" s="224"/>
      <c r="ASM42" s="224"/>
      <c r="ASN42" s="224"/>
      <c r="ASO42" s="224"/>
      <c r="ASP42" s="224"/>
      <c r="ASQ42" s="224"/>
      <c r="ASR42" s="224"/>
      <c r="ASS42" s="224"/>
      <c r="AST42" s="224"/>
      <c r="ASU42" s="224"/>
      <c r="ASV42" s="224"/>
      <c r="ASW42" s="224"/>
      <c r="ASX42" s="224"/>
      <c r="ASY42" s="224"/>
      <c r="ASZ42" s="224"/>
      <c r="ATA42" s="224"/>
      <c r="ATB42" s="224"/>
      <c r="ATC42" s="224"/>
      <c r="ATD42" s="224"/>
      <c r="ATE42" s="224"/>
      <c r="ATF42" s="224"/>
      <c r="ATG42" s="224"/>
      <c r="ATH42" s="224"/>
      <c r="ATI42" s="224"/>
      <c r="ATJ42" s="224"/>
      <c r="ATK42" s="224"/>
      <c r="ATL42" s="224"/>
      <c r="ATM42" s="224"/>
      <c r="ATN42" s="224"/>
      <c r="ATO42" s="224"/>
      <c r="ATP42" s="224"/>
      <c r="ATQ42" s="224"/>
      <c r="ATR42" s="224"/>
      <c r="ATS42" s="224"/>
      <c r="ATT42" s="224"/>
      <c r="ATU42" s="224"/>
      <c r="ATV42" s="224"/>
      <c r="ATW42" s="224"/>
      <c r="ATX42" s="224"/>
      <c r="ATY42" s="224"/>
      <c r="ATZ42" s="224"/>
      <c r="AUA42" s="224"/>
      <c r="AUB42" s="224"/>
      <c r="AUC42" s="224"/>
      <c r="AUD42" s="224"/>
      <c r="AUE42" s="224"/>
      <c r="AUF42" s="224"/>
      <c r="AUG42" s="224"/>
      <c r="AUH42" s="224"/>
      <c r="AUI42" s="224"/>
      <c r="AUJ42" s="224"/>
      <c r="AUK42" s="224"/>
      <c r="AUL42" s="224"/>
      <c r="AUM42" s="224"/>
      <c r="AUN42" s="224"/>
      <c r="AUO42" s="224"/>
      <c r="AUP42" s="224"/>
      <c r="AUQ42" s="224"/>
      <c r="AUR42" s="224"/>
      <c r="AUS42" s="224"/>
      <c r="AUT42" s="224"/>
      <c r="AUU42" s="224"/>
      <c r="AUV42" s="224"/>
      <c r="AUW42" s="224"/>
      <c r="AUX42" s="224"/>
      <c r="AUY42" s="224"/>
      <c r="AUZ42" s="224"/>
      <c r="AVA42" s="224"/>
      <c r="AVB42" s="224"/>
      <c r="AVC42" s="224"/>
      <c r="AVD42" s="224"/>
      <c r="AVE42" s="224"/>
      <c r="AVF42" s="224"/>
      <c r="AVG42" s="224"/>
      <c r="AVH42" s="224"/>
      <c r="AVI42" s="224"/>
      <c r="AVJ42" s="224"/>
      <c r="AVK42" s="224"/>
      <c r="AVL42" s="224"/>
      <c r="AVM42" s="224"/>
      <c r="AVN42" s="224"/>
      <c r="AVO42" s="224"/>
      <c r="AVP42" s="224"/>
      <c r="AVQ42" s="224"/>
      <c r="AVR42" s="224"/>
      <c r="AVS42" s="224"/>
      <c r="AVT42" s="224"/>
      <c r="AVU42" s="224"/>
      <c r="AVV42" s="224"/>
      <c r="AVW42" s="224"/>
      <c r="AVX42" s="224"/>
      <c r="AVY42" s="224"/>
      <c r="AVZ42" s="224"/>
      <c r="AWA42" s="224"/>
      <c r="AWB42" s="224"/>
      <c r="AWC42" s="224"/>
      <c r="AWD42" s="224"/>
      <c r="AWE42" s="224"/>
      <c r="AWF42" s="224"/>
      <c r="AWG42" s="224"/>
      <c r="AWH42" s="224"/>
      <c r="AWI42" s="224"/>
      <c r="AWJ42" s="224"/>
      <c r="AWK42" s="224"/>
      <c r="AWL42" s="224"/>
      <c r="AWM42" s="224"/>
      <c r="AWN42" s="224"/>
      <c r="AWO42" s="224"/>
      <c r="AWP42" s="224"/>
      <c r="AWQ42" s="224"/>
      <c r="AWR42" s="224"/>
      <c r="AWS42" s="224"/>
      <c r="AWT42" s="224"/>
      <c r="AWU42" s="224"/>
      <c r="AWV42" s="224"/>
      <c r="AWW42" s="224"/>
      <c r="AWX42" s="224"/>
      <c r="AWY42" s="224"/>
      <c r="AWZ42" s="224"/>
      <c r="AXA42" s="224"/>
      <c r="AXB42" s="224"/>
      <c r="AXC42" s="224"/>
      <c r="AXD42" s="224"/>
      <c r="AXE42" s="224"/>
      <c r="AXF42" s="224"/>
      <c r="AXG42" s="224"/>
      <c r="AXH42" s="224"/>
      <c r="AXI42" s="224"/>
      <c r="AXJ42" s="224"/>
      <c r="AXK42" s="224"/>
      <c r="AXL42" s="224"/>
      <c r="AXM42" s="224"/>
      <c r="AXN42" s="224"/>
      <c r="AXO42" s="224"/>
      <c r="AXP42" s="224"/>
      <c r="AXQ42" s="224"/>
      <c r="AXR42" s="224"/>
      <c r="AXS42" s="224"/>
      <c r="AXT42" s="224"/>
      <c r="AXU42" s="224"/>
      <c r="AXV42" s="224"/>
      <c r="AXW42" s="224"/>
      <c r="AXX42" s="224"/>
      <c r="AXY42" s="224"/>
      <c r="AXZ42" s="224"/>
      <c r="AYA42" s="224"/>
      <c r="AYB42" s="224"/>
      <c r="AYC42" s="224"/>
      <c r="AYD42" s="224"/>
      <c r="AYE42" s="224"/>
      <c r="AYF42" s="224"/>
      <c r="AYG42" s="224"/>
      <c r="AYH42" s="224"/>
      <c r="AYI42" s="224"/>
      <c r="AYJ42" s="224"/>
      <c r="AYK42" s="224"/>
      <c r="AYL42" s="224"/>
      <c r="AYM42" s="224"/>
      <c r="AYN42" s="224"/>
      <c r="AYO42" s="224"/>
      <c r="AYP42" s="224"/>
      <c r="AYQ42" s="224"/>
      <c r="AYR42" s="224"/>
      <c r="AYS42" s="224"/>
      <c r="AYT42" s="224"/>
      <c r="AYU42" s="224"/>
      <c r="AYV42" s="224"/>
      <c r="AYW42" s="224"/>
      <c r="AYX42" s="224"/>
      <c r="AYY42" s="224"/>
      <c r="AYZ42" s="224"/>
      <c r="AZA42" s="224"/>
      <c r="AZB42" s="224"/>
      <c r="AZC42" s="224"/>
      <c r="AZD42" s="224"/>
      <c r="AZE42" s="224"/>
      <c r="AZF42" s="224"/>
      <c r="AZG42" s="224"/>
      <c r="AZH42" s="224"/>
      <c r="AZI42" s="224"/>
      <c r="AZJ42" s="224"/>
      <c r="AZK42" s="224"/>
      <c r="AZL42" s="224"/>
      <c r="AZM42" s="224"/>
      <c r="AZN42" s="224"/>
      <c r="AZO42" s="224"/>
      <c r="AZP42" s="224"/>
      <c r="AZQ42" s="224"/>
      <c r="AZR42" s="224"/>
      <c r="AZS42" s="224"/>
      <c r="AZT42" s="224"/>
      <c r="AZU42" s="224"/>
      <c r="AZV42" s="224"/>
      <c r="AZW42" s="224"/>
      <c r="AZX42" s="224"/>
      <c r="AZY42" s="224"/>
      <c r="AZZ42" s="224"/>
      <c r="BAA42" s="224"/>
      <c r="BAB42" s="224"/>
      <c r="BAC42" s="224"/>
      <c r="BAD42" s="224"/>
      <c r="BAE42" s="224"/>
      <c r="BAF42" s="224"/>
      <c r="BAG42" s="224"/>
      <c r="BAH42" s="224"/>
      <c r="BAI42" s="224"/>
      <c r="BAJ42" s="224"/>
      <c r="BAK42" s="224"/>
      <c r="BAL42" s="224"/>
      <c r="BAM42" s="224"/>
      <c r="BAN42" s="224"/>
      <c r="BAO42" s="224"/>
      <c r="BAP42" s="224"/>
      <c r="BAQ42" s="224"/>
      <c r="BAR42" s="224"/>
      <c r="BAS42" s="224"/>
      <c r="BAT42" s="224"/>
      <c r="BAU42" s="224"/>
      <c r="BAV42" s="224"/>
      <c r="BAW42" s="224"/>
      <c r="BAX42" s="224"/>
      <c r="BAY42" s="224"/>
      <c r="BAZ42" s="224"/>
      <c r="BBA42" s="224"/>
      <c r="BBB42" s="224"/>
      <c r="BBC42" s="224"/>
      <c r="BBD42" s="224"/>
      <c r="BBE42" s="224"/>
      <c r="BBF42" s="224"/>
      <c r="BBG42" s="224"/>
      <c r="BBH42" s="224"/>
      <c r="BBI42" s="224"/>
      <c r="BBJ42" s="224"/>
      <c r="BBK42" s="224"/>
      <c r="BBL42" s="224"/>
      <c r="BBM42" s="224"/>
      <c r="BBN42" s="224"/>
      <c r="BBO42" s="224"/>
      <c r="BBP42" s="224"/>
      <c r="BBQ42" s="224"/>
      <c r="BBR42" s="224"/>
      <c r="BBS42" s="224"/>
      <c r="BBT42" s="224"/>
      <c r="BBU42" s="224"/>
      <c r="BBV42" s="224"/>
      <c r="BBW42" s="224"/>
      <c r="BBX42" s="224"/>
      <c r="BBY42" s="224"/>
      <c r="BBZ42" s="224"/>
      <c r="BCA42" s="224"/>
      <c r="BCB42" s="224"/>
      <c r="BCC42" s="224"/>
      <c r="BCD42" s="224"/>
      <c r="BCE42" s="224"/>
      <c r="BCF42" s="224"/>
      <c r="BCG42" s="224"/>
      <c r="BCH42" s="224"/>
      <c r="BCI42" s="224"/>
      <c r="BCJ42" s="224"/>
      <c r="BCK42" s="224"/>
      <c r="BCL42" s="224"/>
      <c r="BCM42" s="224"/>
      <c r="BCN42" s="224"/>
      <c r="BCO42" s="224"/>
      <c r="BCP42" s="224"/>
      <c r="BCQ42" s="224"/>
      <c r="BCR42" s="224"/>
      <c r="BCS42" s="224"/>
      <c r="BCT42" s="224"/>
      <c r="BCU42" s="224"/>
      <c r="BCV42" s="224"/>
      <c r="BCW42" s="224"/>
      <c r="BCX42" s="224"/>
      <c r="BCY42" s="224"/>
      <c r="BCZ42" s="224"/>
      <c r="BDA42" s="224"/>
      <c r="BDB42" s="224"/>
      <c r="BDC42" s="224"/>
      <c r="BDD42" s="224"/>
      <c r="BDE42" s="224"/>
      <c r="BDF42" s="224"/>
      <c r="BDG42" s="224"/>
      <c r="BDH42" s="224"/>
      <c r="BDI42" s="224"/>
      <c r="BDJ42" s="224"/>
      <c r="BDK42" s="224"/>
      <c r="BDL42" s="224"/>
      <c r="BDM42" s="224"/>
      <c r="BDN42" s="224"/>
      <c r="BDO42" s="224"/>
      <c r="BDP42" s="224"/>
      <c r="BDQ42" s="224"/>
      <c r="BDR42" s="224"/>
      <c r="BDS42" s="224"/>
      <c r="BDT42" s="224"/>
      <c r="BDU42" s="224"/>
      <c r="BDV42" s="224"/>
      <c r="BDW42" s="224"/>
      <c r="BDX42" s="224"/>
      <c r="BDY42" s="224"/>
      <c r="BDZ42" s="224"/>
      <c r="BEA42" s="224"/>
      <c r="BEB42" s="224"/>
      <c r="BEC42" s="224"/>
      <c r="BED42" s="224"/>
      <c r="BEE42" s="224"/>
      <c r="BEF42" s="224"/>
      <c r="BEG42" s="224"/>
      <c r="BEH42" s="224"/>
      <c r="BEI42" s="224"/>
      <c r="BEJ42" s="224"/>
      <c r="BEK42" s="224"/>
      <c r="BEL42" s="224"/>
      <c r="BEM42" s="224"/>
      <c r="BEN42" s="224"/>
      <c r="BEO42" s="224"/>
      <c r="BEP42" s="224"/>
      <c r="BEQ42" s="224"/>
      <c r="BER42" s="224"/>
      <c r="BES42" s="224"/>
      <c r="BET42" s="224"/>
      <c r="BEU42" s="224"/>
      <c r="BEV42" s="224"/>
      <c r="BEW42" s="224"/>
      <c r="BEX42" s="224"/>
      <c r="BEY42" s="224"/>
      <c r="BEZ42" s="224"/>
      <c r="BFA42" s="224"/>
      <c r="BFB42" s="224"/>
      <c r="BFC42" s="224"/>
      <c r="BFD42" s="224"/>
      <c r="BFE42" s="224"/>
      <c r="BFF42" s="224"/>
      <c r="BFG42" s="224"/>
      <c r="BFH42" s="224"/>
      <c r="BFI42" s="224"/>
      <c r="BFJ42" s="224"/>
      <c r="BFK42" s="224"/>
      <c r="BFL42" s="224"/>
      <c r="BFM42" s="224"/>
      <c r="BFN42" s="224"/>
      <c r="BFO42" s="224"/>
      <c r="BFP42" s="224"/>
      <c r="BFQ42" s="224"/>
      <c r="BFR42" s="224"/>
      <c r="BFS42" s="224"/>
      <c r="BFT42" s="224"/>
      <c r="BFU42" s="224"/>
      <c r="BFV42" s="224"/>
      <c r="BFW42" s="224"/>
      <c r="BFX42" s="224"/>
      <c r="BFY42" s="224"/>
      <c r="BFZ42" s="224"/>
      <c r="BGA42" s="224"/>
      <c r="BGB42" s="224"/>
      <c r="BGC42" s="224"/>
      <c r="BGD42" s="224"/>
      <c r="BGE42" s="224"/>
      <c r="BGF42" s="224"/>
      <c r="BGG42" s="224"/>
      <c r="BGH42" s="224"/>
      <c r="BGI42" s="224"/>
      <c r="BGJ42" s="224"/>
      <c r="BGK42" s="224"/>
      <c r="BGL42" s="224"/>
      <c r="BGM42" s="224"/>
      <c r="BGN42" s="224"/>
      <c r="BGO42" s="224"/>
      <c r="BGP42" s="224"/>
      <c r="BGQ42" s="224"/>
      <c r="BGR42" s="224"/>
      <c r="BGS42" s="224"/>
      <c r="BGT42" s="224"/>
      <c r="BGU42" s="224"/>
      <c r="BGV42" s="224"/>
      <c r="BGW42" s="224"/>
      <c r="BGX42" s="224"/>
      <c r="BGY42" s="224"/>
      <c r="BGZ42" s="224"/>
      <c r="BHA42" s="224"/>
      <c r="BHB42" s="224"/>
      <c r="BHC42" s="224"/>
      <c r="BHD42" s="224"/>
      <c r="BHE42" s="224"/>
      <c r="BHF42" s="224"/>
      <c r="BHG42" s="224"/>
      <c r="BHH42" s="224"/>
      <c r="BHI42" s="224"/>
      <c r="BHJ42" s="224"/>
      <c r="BHK42" s="224"/>
      <c r="BHL42" s="224"/>
      <c r="BHM42" s="224"/>
      <c r="BHN42" s="224"/>
      <c r="BHO42" s="224"/>
      <c r="BHP42" s="224"/>
      <c r="BHQ42" s="224"/>
      <c r="BHR42" s="224"/>
      <c r="BHS42" s="224"/>
      <c r="BHT42" s="224"/>
      <c r="BHU42" s="224"/>
      <c r="BHV42" s="224"/>
      <c r="BHW42" s="224"/>
      <c r="BHX42" s="224"/>
      <c r="BHY42" s="224"/>
      <c r="BHZ42" s="224"/>
      <c r="BIA42" s="224"/>
      <c r="BIB42" s="224"/>
      <c r="BIC42" s="224"/>
      <c r="BID42" s="224"/>
      <c r="BIE42" s="224"/>
      <c r="BIF42" s="224"/>
      <c r="BIG42" s="224"/>
      <c r="BIH42" s="224"/>
      <c r="BII42" s="224"/>
      <c r="BIJ42" s="224"/>
      <c r="BIK42" s="224"/>
      <c r="BIL42" s="224"/>
      <c r="BIM42" s="224"/>
      <c r="BIN42" s="224"/>
      <c r="BIO42" s="224"/>
      <c r="BIP42" s="224"/>
      <c r="BIQ42" s="224"/>
      <c r="BIR42" s="224"/>
      <c r="BIS42" s="224"/>
      <c r="BIT42" s="224"/>
      <c r="BIU42" s="224"/>
      <c r="BIV42" s="224"/>
      <c r="BIW42" s="224"/>
      <c r="BIX42" s="224"/>
      <c r="BIY42" s="224"/>
      <c r="BIZ42" s="224"/>
      <c r="BJA42" s="224"/>
      <c r="BJB42" s="224"/>
      <c r="BJC42" s="224"/>
      <c r="BJD42" s="224"/>
      <c r="BJE42" s="224"/>
      <c r="BJF42" s="224"/>
      <c r="BJG42" s="224"/>
      <c r="BJH42" s="224"/>
      <c r="BJI42" s="224"/>
      <c r="BJJ42" s="224"/>
      <c r="BJK42" s="224"/>
      <c r="BJL42" s="224"/>
      <c r="BJM42" s="224"/>
      <c r="BJN42" s="224"/>
      <c r="BJO42" s="224"/>
      <c r="BJP42" s="224"/>
      <c r="BJQ42" s="224"/>
      <c r="BJR42" s="224"/>
      <c r="BJS42" s="224"/>
      <c r="BJT42" s="224"/>
      <c r="BJU42" s="224"/>
      <c r="BJV42" s="224"/>
      <c r="BJW42" s="224"/>
      <c r="BJX42" s="224"/>
      <c r="BJY42" s="224"/>
      <c r="BJZ42" s="224"/>
      <c r="BKA42" s="224"/>
      <c r="BKB42" s="224"/>
      <c r="BKC42" s="224"/>
      <c r="BKD42" s="224"/>
      <c r="BKE42" s="224"/>
      <c r="BKF42" s="224"/>
      <c r="BKG42" s="224"/>
      <c r="BKH42" s="224"/>
      <c r="BKI42" s="224"/>
      <c r="BKJ42" s="224"/>
      <c r="BKK42" s="224"/>
      <c r="BKL42" s="224"/>
      <c r="BKM42" s="224"/>
      <c r="BKN42" s="224"/>
      <c r="BKO42" s="224"/>
      <c r="BKP42" s="224"/>
      <c r="BKQ42" s="224"/>
      <c r="BKR42" s="224"/>
      <c r="BKS42" s="224"/>
      <c r="BKT42" s="224"/>
      <c r="BKU42" s="224"/>
      <c r="BKV42" s="224"/>
      <c r="BKW42" s="224"/>
      <c r="BKX42" s="224"/>
      <c r="BKY42" s="224"/>
      <c r="BKZ42" s="224"/>
      <c r="BLA42" s="224"/>
      <c r="BLB42" s="224"/>
      <c r="BLC42" s="224"/>
      <c r="BLD42" s="224"/>
      <c r="BLE42" s="224"/>
      <c r="BLF42" s="224"/>
      <c r="BLG42" s="224"/>
      <c r="BLH42" s="224"/>
      <c r="BLI42" s="224"/>
      <c r="BLJ42" s="224"/>
      <c r="BLK42" s="224"/>
      <c r="BLL42" s="224"/>
      <c r="BLM42" s="224"/>
      <c r="BLN42" s="224"/>
      <c r="BLO42" s="224"/>
      <c r="BLP42" s="224"/>
      <c r="BLQ42" s="224"/>
      <c r="BLR42" s="224"/>
      <c r="BLS42" s="224"/>
      <c r="BLT42" s="224"/>
      <c r="BLU42" s="224"/>
      <c r="BLV42" s="224"/>
      <c r="BLW42" s="224"/>
      <c r="BLX42" s="224"/>
      <c r="BLY42" s="224"/>
      <c r="BLZ42" s="224"/>
      <c r="BMA42" s="224"/>
      <c r="BMB42" s="224"/>
      <c r="BMC42" s="224"/>
      <c r="BMD42" s="224"/>
      <c r="BME42" s="224"/>
      <c r="BMF42" s="224"/>
      <c r="BMG42" s="224"/>
      <c r="BMH42" s="224"/>
      <c r="BMI42" s="224"/>
      <c r="BMJ42" s="224"/>
      <c r="BMK42" s="224"/>
      <c r="BML42" s="224"/>
      <c r="BMM42" s="224"/>
      <c r="BMN42" s="224"/>
      <c r="BMO42" s="224"/>
      <c r="BMP42" s="224"/>
      <c r="BMQ42" s="224"/>
      <c r="BMR42" s="224"/>
      <c r="BMS42" s="224"/>
      <c r="BMT42" s="224"/>
      <c r="BMU42" s="224"/>
      <c r="BMV42" s="224"/>
      <c r="BMW42" s="224"/>
      <c r="BMX42" s="224"/>
      <c r="BMY42" s="224"/>
      <c r="BMZ42" s="224"/>
      <c r="BNA42" s="224"/>
      <c r="BNB42" s="224"/>
      <c r="BNC42" s="224"/>
      <c r="BND42" s="224"/>
      <c r="BNE42" s="224"/>
      <c r="BNF42" s="224"/>
      <c r="BNG42" s="224"/>
      <c r="BNH42" s="224"/>
      <c r="BNI42" s="224"/>
      <c r="BNJ42" s="224"/>
      <c r="BNK42" s="224"/>
      <c r="BNL42" s="224"/>
      <c r="BNM42" s="224"/>
      <c r="BNN42" s="224"/>
      <c r="BNO42" s="224"/>
      <c r="BNP42" s="224"/>
      <c r="BNQ42" s="224"/>
      <c r="BNR42" s="224"/>
      <c r="BNS42" s="224"/>
      <c r="BNT42" s="224"/>
      <c r="BNU42" s="224"/>
      <c r="BNV42" s="224"/>
      <c r="BNW42" s="224"/>
      <c r="BNX42" s="224"/>
      <c r="BNY42" s="224"/>
      <c r="BNZ42" s="224"/>
      <c r="BOA42" s="224"/>
      <c r="BOB42" s="224"/>
      <c r="BOC42" s="224"/>
      <c r="BOD42" s="224"/>
      <c r="BOE42" s="224"/>
      <c r="BOF42" s="224"/>
      <c r="BOG42" s="224"/>
      <c r="BOH42" s="224"/>
      <c r="BOI42" s="224"/>
      <c r="BOJ42" s="224"/>
      <c r="BOK42" s="224"/>
      <c r="BOL42" s="224"/>
      <c r="BOM42" s="224"/>
      <c r="BON42" s="224"/>
      <c r="BOO42" s="224"/>
      <c r="BOP42" s="224"/>
      <c r="BOQ42" s="224"/>
      <c r="BOR42" s="224"/>
      <c r="BOS42" s="224"/>
      <c r="BOT42" s="224"/>
      <c r="BOU42" s="224"/>
      <c r="BOV42" s="224"/>
      <c r="BOW42" s="224"/>
      <c r="BOX42" s="224"/>
      <c r="BOY42" s="224"/>
      <c r="BOZ42" s="224"/>
      <c r="BPA42" s="224"/>
      <c r="BPB42" s="224"/>
      <c r="BPC42" s="224"/>
      <c r="BPD42" s="224"/>
      <c r="BPE42" s="224"/>
      <c r="BPF42" s="224"/>
      <c r="BPG42" s="224"/>
      <c r="BPH42" s="224"/>
      <c r="BPI42" s="224"/>
      <c r="BPJ42" s="224"/>
      <c r="BPK42" s="224"/>
      <c r="BPL42" s="224"/>
      <c r="BPM42" s="224"/>
      <c r="BPN42" s="224"/>
      <c r="BPO42" s="224"/>
      <c r="BPP42" s="224"/>
      <c r="BPQ42" s="224"/>
      <c r="BPR42" s="224"/>
      <c r="BPS42" s="224"/>
      <c r="BPT42" s="224"/>
      <c r="BPU42" s="224"/>
      <c r="BPV42" s="224"/>
      <c r="BPW42" s="224"/>
      <c r="BPX42" s="224"/>
      <c r="BPY42" s="224"/>
      <c r="BPZ42" s="224"/>
      <c r="BQA42" s="224"/>
      <c r="BQB42" s="224"/>
      <c r="BQC42" s="224"/>
      <c r="BQD42" s="224"/>
      <c r="BQE42" s="224"/>
      <c r="BQF42" s="224"/>
      <c r="BQG42" s="224"/>
      <c r="BQH42" s="224"/>
      <c r="BQI42" s="224"/>
      <c r="BQJ42" s="224"/>
      <c r="BQK42" s="224"/>
      <c r="BQL42" s="224"/>
      <c r="BQM42" s="224"/>
      <c r="BQN42" s="224"/>
      <c r="BQO42" s="224"/>
      <c r="BQP42" s="224"/>
      <c r="BQQ42" s="224"/>
      <c r="BQR42" s="224"/>
      <c r="BQS42" s="224"/>
      <c r="BQT42" s="224"/>
      <c r="BQU42" s="224"/>
      <c r="BQV42" s="224"/>
      <c r="BQW42" s="224"/>
      <c r="BQX42" s="224"/>
      <c r="BQY42" s="224"/>
      <c r="BQZ42" s="224"/>
      <c r="BRA42" s="224"/>
      <c r="BRB42" s="224"/>
      <c r="BRC42" s="224"/>
      <c r="BRD42" s="224"/>
      <c r="BRE42" s="224"/>
      <c r="BRF42" s="224"/>
      <c r="BRG42" s="224"/>
      <c r="BRH42" s="224"/>
      <c r="BRI42" s="224"/>
      <c r="BRJ42" s="224"/>
      <c r="BRK42" s="224"/>
      <c r="BRL42" s="224"/>
      <c r="BRM42" s="224"/>
      <c r="BRN42" s="224"/>
      <c r="BRO42" s="224"/>
      <c r="BRP42" s="224"/>
      <c r="BRQ42" s="224"/>
      <c r="BRR42" s="224"/>
      <c r="BRS42" s="224"/>
      <c r="BRT42" s="224"/>
      <c r="BRU42" s="224"/>
      <c r="BRV42" s="224"/>
      <c r="BRW42" s="224"/>
      <c r="BRX42" s="224"/>
      <c r="BRY42" s="224"/>
      <c r="BRZ42" s="224"/>
      <c r="BSA42" s="224"/>
      <c r="BSB42" s="224"/>
      <c r="BSC42" s="224"/>
      <c r="BSD42" s="224"/>
      <c r="BSE42" s="224"/>
      <c r="BSF42" s="224"/>
      <c r="BSG42" s="224"/>
      <c r="BSH42" s="224"/>
      <c r="BSI42" s="224"/>
      <c r="BSJ42" s="224"/>
      <c r="BSK42" s="224"/>
      <c r="BSL42" s="224"/>
      <c r="BSM42" s="224"/>
      <c r="BSN42" s="224"/>
      <c r="BSO42" s="224"/>
      <c r="BSP42" s="224"/>
      <c r="BSQ42" s="224"/>
      <c r="BSR42" s="224"/>
      <c r="BSS42" s="224"/>
      <c r="BST42" s="224"/>
      <c r="BSU42" s="224"/>
      <c r="BSV42" s="224"/>
      <c r="BSW42" s="224"/>
      <c r="BSX42" s="224"/>
      <c r="BSY42" s="224"/>
      <c r="BSZ42" s="224"/>
      <c r="BTA42" s="224"/>
      <c r="BTB42" s="224"/>
      <c r="BTC42" s="224"/>
      <c r="BTD42" s="224"/>
      <c r="BTE42" s="224"/>
      <c r="BTF42" s="224"/>
      <c r="BTG42" s="224"/>
      <c r="BTH42" s="224"/>
      <c r="BTI42" s="224"/>
      <c r="BTJ42" s="224"/>
      <c r="BTK42" s="224"/>
      <c r="BTL42" s="224"/>
      <c r="BTM42" s="224"/>
      <c r="BTN42" s="224"/>
      <c r="BTO42" s="224"/>
      <c r="BTP42" s="224"/>
      <c r="BTQ42" s="224"/>
      <c r="BTR42" s="224"/>
      <c r="BTS42" s="224"/>
      <c r="BTT42" s="224"/>
      <c r="BTU42" s="224"/>
      <c r="BTV42" s="224"/>
      <c r="BTW42" s="224"/>
      <c r="BTX42" s="224"/>
      <c r="BTY42" s="224"/>
      <c r="BTZ42" s="224"/>
      <c r="BUA42" s="224"/>
      <c r="BUB42" s="224"/>
      <c r="BUC42" s="224"/>
      <c r="BUD42" s="224"/>
      <c r="BUE42" s="224"/>
      <c r="BUF42" s="224"/>
      <c r="BUG42" s="224"/>
      <c r="BUH42" s="224"/>
      <c r="BUI42" s="224"/>
      <c r="BUJ42" s="224"/>
      <c r="BUK42" s="224"/>
      <c r="BUL42" s="224"/>
      <c r="BUM42" s="224"/>
      <c r="BUN42" s="224"/>
      <c r="BUO42" s="224"/>
      <c r="BUP42" s="224"/>
      <c r="BUQ42" s="224"/>
      <c r="BUR42" s="224"/>
      <c r="BUS42" s="224"/>
      <c r="BUT42" s="224"/>
      <c r="BUU42" s="224"/>
      <c r="BUV42" s="224"/>
      <c r="BUW42" s="224"/>
      <c r="BUX42" s="224"/>
      <c r="BUY42" s="224"/>
      <c r="BUZ42" s="224"/>
      <c r="BVA42" s="224"/>
      <c r="BVB42" s="224"/>
      <c r="BVC42" s="224"/>
      <c r="BVD42" s="224"/>
      <c r="BVE42" s="224"/>
      <c r="BVF42" s="224"/>
      <c r="BVG42" s="224"/>
      <c r="BVH42" s="224"/>
      <c r="BVI42" s="224"/>
      <c r="BVJ42" s="224"/>
      <c r="BVK42" s="224"/>
      <c r="BVL42" s="224"/>
      <c r="BVM42" s="224"/>
      <c r="BVN42" s="224"/>
      <c r="BVO42" s="224"/>
      <c r="BVP42" s="224"/>
      <c r="BVQ42" s="224"/>
      <c r="BVR42" s="224"/>
      <c r="BVS42" s="224"/>
      <c r="BVT42" s="224"/>
      <c r="BVU42" s="224"/>
      <c r="BVV42" s="224"/>
      <c r="BVW42" s="224"/>
      <c r="BVX42" s="224"/>
      <c r="BVY42" s="224"/>
      <c r="BVZ42" s="224"/>
      <c r="BWA42" s="224"/>
      <c r="BWB42" s="224"/>
      <c r="BWC42" s="224"/>
      <c r="BWD42" s="224"/>
      <c r="BWE42" s="224"/>
      <c r="BWF42" s="224"/>
      <c r="BWG42" s="224"/>
      <c r="BWH42" s="224"/>
      <c r="BWI42" s="224"/>
      <c r="BWJ42" s="224"/>
      <c r="BWK42" s="224"/>
      <c r="BWL42" s="224"/>
      <c r="BWM42" s="224"/>
      <c r="BWN42" s="224"/>
      <c r="BWO42" s="224"/>
      <c r="BWP42" s="224"/>
      <c r="BWQ42" s="224"/>
      <c r="BWR42" s="224"/>
      <c r="BWS42" s="224"/>
      <c r="BWT42" s="224"/>
      <c r="BWU42" s="224"/>
      <c r="BWV42" s="224"/>
      <c r="BWW42" s="224"/>
      <c r="BWX42" s="224"/>
      <c r="BWY42" s="224"/>
      <c r="BWZ42" s="224"/>
      <c r="BXA42" s="224"/>
      <c r="BXB42" s="224"/>
      <c r="BXC42" s="224"/>
      <c r="BXD42" s="224"/>
      <c r="BXE42" s="224"/>
      <c r="BXF42" s="224"/>
      <c r="BXG42" s="224"/>
      <c r="BXH42" s="224"/>
      <c r="BXI42" s="224"/>
      <c r="BXJ42" s="224"/>
      <c r="BXK42" s="224"/>
      <c r="BXL42" s="224"/>
      <c r="BXM42" s="224"/>
      <c r="BXN42" s="224"/>
      <c r="BXO42" s="224"/>
      <c r="BXP42" s="224"/>
      <c r="BXQ42" s="224"/>
      <c r="BXR42" s="224"/>
      <c r="BXS42" s="224"/>
      <c r="BXT42" s="224"/>
      <c r="BXU42" s="224"/>
      <c r="BXV42" s="224"/>
      <c r="BXW42" s="224"/>
      <c r="BXX42" s="224"/>
      <c r="BXY42" s="224"/>
      <c r="BXZ42" s="224"/>
      <c r="BYA42" s="224"/>
      <c r="BYB42" s="224"/>
      <c r="BYC42" s="224"/>
      <c r="BYD42" s="224"/>
      <c r="BYE42" s="224"/>
      <c r="BYF42" s="224"/>
      <c r="BYG42" s="224"/>
    </row>
    <row r="43" spans="1:2009" s="101" customFormat="1" ht="12.75" customHeight="1" thickBot="1" x14ac:dyDescent="0.3">
      <c r="A43" s="98"/>
      <c r="B43" s="129"/>
      <c r="C43" s="175"/>
      <c r="D43" s="175"/>
      <c r="E43" s="175"/>
      <c r="F43" s="175"/>
      <c r="G43" s="17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147" t="s">
        <v>369</v>
      </c>
      <c r="B44" s="485"/>
      <c r="C44" s="486"/>
      <c r="D44" s="486"/>
      <c r="E44" s="486"/>
      <c r="F44" s="487"/>
      <c r="G44" s="48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419"/>
      <c r="B45" s="494" t="s">
        <v>353</v>
      </c>
      <c r="C45" s="526">
        <v>205.7</v>
      </c>
      <c r="D45" s="526">
        <v>466.39</v>
      </c>
      <c r="E45" s="496"/>
      <c r="F45" s="497"/>
      <c r="G45" s="498">
        <f>ROUND(SUM(C45:F45),5)</f>
        <v>672.09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419"/>
      <c r="B46" s="494" t="s">
        <v>361</v>
      </c>
      <c r="C46" s="526">
        <v>5644.67</v>
      </c>
      <c r="D46" s="526">
        <v>6291.18</v>
      </c>
      <c r="E46" s="526"/>
      <c r="F46" s="619"/>
      <c r="G46" s="498">
        <f>ROUND(SUM(C46:F46),5)</f>
        <v>11935.85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118" customFormat="1" ht="24.95" hidden="1" customHeight="1" x14ac:dyDescent="0.25">
      <c r="A47" s="419"/>
      <c r="B47" s="494" t="s">
        <v>234</v>
      </c>
      <c r="C47" s="526"/>
      <c r="D47" s="526"/>
      <c r="E47" s="496"/>
      <c r="F47" s="497"/>
      <c r="G47" s="498">
        <f>ROUND(SUM(C47:F47),5)</f>
        <v>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  <c r="AVG47" s="100"/>
      <c r="AVH47" s="100"/>
      <c r="AVI47" s="100"/>
      <c r="AVJ47" s="100"/>
      <c r="AVK47" s="100"/>
      <c r="AVL47" s="100"/>
      <c r="AVM47" s="100"/>
      <c r="AVN47" s="100"/>
      <c r="AVO47" s="100"/>
      <c r="AVP47" s="100"/>
      <c r="AVQ47" s="100"/>
      <c r="AVR47" s="100"/>
      <c r="AVS47" s="100"/>
      <c r="AVT47" s="100"/>
      <c r="AVU47" s="100"/>
      <c r="AVV47" s="100"/>
      <c r="AVW47" s="100"/>
      <c r="AVX47" s="100"/>
      <c r="AVY47" s="100"/>
      <c r="AVZ47" s="100"/>
      <c r="AWA47" s="100"/>
      <c r="AWB47" s="100"/>
      <c r="AWC47" s="100"/>
      <c r="AWD47" s="100"/>
      <c r="AWE47" s="100"/>
      <c r="AWF47" s="100"/>
      <c r="AWG47" s="100"/>
      <c r="AWH47" s="100"/>
      <c r="AWI47" s="100"/>
      <c r="AWJ47" s="100"/>
      <c r="AWK47" s="100"/>
      <c r="AWL47" s="100"/>
      <c r="AWM47" s="100"/>
      <c r="AWN47" s="100"/>
      <c r="AWO47" s="100"/>
      <c r="AWP47" s="100"/>
      <c r="AWQ47" s="100"/>
      <c r="AWR47" s="100"/>
      <c r="AWS47" s="100"/>
      <c r="AWT47" s="100"/>
      <c r="AWU47" s="100"/>
      <c r="AWV47" s="100"/>
      <c r="AWW47" s="100"/>
      <c r="AWX47" s="100"/>
      <c r="AWY47" s="100"/>
      <c r="AWZ47" s="100"/>
      <c r="AXA47" s="100"/>
      <c r="AXB47" s="100"/>
      <c r="AXC47" s="100"/>
      <c r="AXD47" s="100"/>
      <c r="AXE47" s="100"/>
      <c r="AXF47" s="100"/>
      <c r="AXG47" s="100"/>
      <c r="AXH47" s="100"/>
      <c r="AXI47" s="100"/>
      <c r="AXJ47" s="100"/>
      <c r="AXK47" s="100"/>
      <c r="AXL47" s="100"/>
      <c r="AXM47" s="100"/>
      <c r="AXN47" s="100"/>
      <c r="AXO47" s="100"/>
      <c r="AXP47" s="100"/>
      <c r="AXQ47" s="100"/>
      <c r="AXR47" s="100"/>
      <c r="AXS47" s="100"/>
      <c r="AXT47" s="100"/>
      <c r="AXU47" s="100"/>
      <c r="AXV47" s="100"/>
      <c r="AXW47" s="100"/>
      <c r="AXX47" s="100"/>
      <c r="AXY47" s="100"/>
      <c r="AXZ47" s="100"/>
      <c r="AYA47" s="100"/>
      <c r="AYB47" s="100"/>
      <c r="AYC47" s="100"/>
      <c r="AYD47" s="100"/>
      <c r="AYE47" s="100"/>
      <c r="AYF47" s="100"/>
      <c r="AYG47" s="100"/>
      <c r="AYH47" s="100"/>
      <c r="AYI47" s="100"/>
      <c r="AYJ47" s="100"/>
      <c r="AYK47" s="100"/>
      <c r="AYL47" s="100"/>
      <c r="AYM47" s="100"/>
      <c r="AYN47" s="100"/>
      <c r="AYO47" s="100"/>
      <c r="AYP47" s="100"/>
      <c r="AYQ47" s="100"/>
      <c r="AYR47" s="100"/>
      <c r="AYS47" s="100"/>
      <c r="AYT47" s="100"/>
      <c r="AYU47" s="100"/>
      <c r="AYV47" s="100"/>
      <c r="AYW47" s="100"/>
      <c r="AYX47" s="100"/>
      <c r="AYY47" s="100"/>
      <c r="AYZ47" s="100"/>
      <c r="AZA47" s="100"/>
      <c r="AZB47" s="100"/>
      <c r="AZC47" s="100"/>
      <c r="AZD47" s="100"/>
      <c r="AZE47" s="100"/>
      <c r="AZF47" s="100"/>
      <c r="AZG47" s="100"/>
      <c r="AZH47" s="100"/>
      <c r="AZI47" s="100"/>
      <c r="AZJ47" s="100"/>
      <c r="AZK47" s="100"/>
      <c r="AZL47" s="100"/>
      <c r="AZM47" s="100"/>
      <c r="AZN47" s="100"/>
      <c r="AZO47" s="100"/>
      <c r="AZP47" s="100"/>
      <c r="AZQ47" s="100"/>
      <c r="AZR47" s="100"/>
      <c r="AZS47" s="100"/>
      <c r="AZT47" s="100"/>
      <c r="AZU47" s="100"/>
      <c r="AZV47" s="100"/>
      <c r="AZW47" s="100"/>
      <c r="AZX47" s="100"/>
      <c r="AZY47" s="100"/>
      <c r="AZZ47" s="100"/>
      <c r="BAA47" s="100"/>
      <c r="BAB47" s="100"/>
      <c r="BAC47" s="100"/>
      <c r="BAD47" s="100"/>
      <c r="BAE47" s="100"/>
      <c r="BAF47" s="100"/>
      <c r="BAG47" s="100"/>
      <c r="BAH47" s="100"/>
      <c r="BAI47" s="100"/>
      <c r="BAJ47" s="100"/>
      <c r="BAK47" s="100"/>
      <c r="BAL47" s="100"/>
      <c r="BAM47" s="100"/>
      <c r="BAN47" s="100"/>
      <c r="BAO47" s="100"/>
      <c r="BAP47" s="100"/>
      <c r="BAQ47" s="100"/>
      <c r="BAR47" s="100"/>
      <c r="BAS47" s="100"/>
      <c r="BAT47" s="100"/>
      <c r="BAU47" s="100"/>
      <c r="BAV47" s="100"/>
      <c r="BAW47" s="100"/>
      <c r="BAX47" s="100"/>
      <c r="BAY47" s="100"/>
      <c r="BAZ47" s="100"/>
      <c r="BBA47" s="100"/>
      <c r="BBB47" s="100"/>
      <c r="BBC47" s="100"/>
      <c r="BBD47" s="100"/>
      <c r="BBE47" s="100"/>
      <c r="BBF47" s="100"/>
      <c r="BBG47" s="100"/>
      <c r="BBH47" s="100"/>
      <c r="BBI47" s="100"/>
      <c r="BBJ47" s="100"/>
      <c r="BBK47" s="100"/>
      <c r="BBL47" s="100"/>
      <c r="BBM47" s="100"/>
      <c r="BBN47" s="100"/>
      <c r="BBO47" s="100"/>
      <c r="BBP47" s="100"/>
      <c r="BBQ47" s="100"/>
      <c r="BBR47" s="100"/>
      <c r="BBS47" s="100"/>
      <c r="BBT47" s="100"/>
      <c r="BBU47" s="100"/>
      <c r="BBV47" s="100"/>
      <c r="BBW47" s="100"/>
      <c r="BBX47" s="100"/>
      <c r="BBY47" s="100"/>
      <c r="BBZ47" s="100"/>
      <c r="BCA47" s="100"/>
      <c r="BCB47" s="100"/>
      <c r="BCC47" s="100"/>
      <c r="BCD47" s="100"/>
      <c r="BCE47" s="100"/>
      <c r="BCF47" s="100"/>
      <c r="BCG47" s="100"/>
      <c r="BCH47" s="100"/>
      <c r="BCI47" s="100"/>
      <c r="BCJ47" s="100"/>
      <c r="BCK47" s="100"/>
      <c r="BCL47" s="100"/>
      <c r="BCM47" s="100"/>
      <c r="BCN47" s="100"/>
      <c r="BCO47" s="100"/>
      <c r="BCP47" s="100"/>
      <c r="BCQ47" s="100"/>
      <c r="BCR47" s="100"/>
      <c r="BCS47" s="100"/>
      <c r="BCT47" s="100"/>
      <c r="BCU47" s="100"/>
      <c r="BCV47" s="100"/>
      <c r="BCW47" s="100"/>
      <c r="BCX47" s="100"/>
      <c r="BCY47" s="100"/>
      <c r="BCZ47" s="100"/>
      <c r="BDA47" s="100"/>
      <c r="BDB47" s="100"/>
      <c r="BDC47" s="100"/>
      <c r="BDD47" s="100"/>
      <c r="BDE47" s="100"/>
      <c r="BDF47" s="100"/>
      <c r="BDG47" s="100"/>
      <c r="BDH47" s="100"/>
      <c r="BDI47" s="100"/>
      <c r="BDJ47" s="100"/>
      <c r="BDK47" s="100"/>
      <c r="BDL47" s="100"/>
      <c r="BDM47" s="100"/>
      <c r="BDN47" s="100"/>
      <c r="BDO47" s="100"/>
      <c r="BDP47" s="100"/>
      <c r="BDQ47" s="100"/>
      <c r="BDR47" s="100"/>
      <c r="BDS47" s="100"/>
      <c r="BDT47" s="100"/>
      <c r="BDU47" s="100"/>
      <c r="BDV47" s="100"/>
      <c r="BDW47" s="100"/>
      <c r="BDX47" s="100"/>
      <c r="BDY47" s="100"/>
      <c r="BDZ47" s="100"/>
      <c r="BEA47" s="100"/>
      <c r="BEB47" s="100"/>
      <c r="BEC47" s="100"/>
      <c r="BED47" s="100"/>
      <c r="BEE47" s="100"/>
      <c r="BEF47" s="100"/>
      <c r="BEG47" s="100"/>
      <c r="BEH47" s="100"/>
      <c r="BEI47" s="100"/>
      <c r="BEJ47" s="100"/>
      <c r="BEK47" s="100"/>
      <c r="BEL47" s="100"/>
      <c r="BEM47" s="100"/>
      <c r="BEN47" s="100"/>
      <c r="BEO47" s="100"/>
      <c r="BEP47" s="100"/>
      <c r="BEQ47" s="100"/>
      <c r="BER47" s="100"/>
      <c r="BES47" s="100"/>
      <c r="BET47" s="100"/>
      <c r="BEU47" s="100"/>
      <c r="BEV47" s="100"/>
      <c r="BEW47" s="100"/>
      <c r="BEX47" s="100"/>
      <c r="BEY47" s="100"/>
      <c r="BEZ47" s="100"/>
      <c r="BFA47" s="100"/>
      <c r="BFB47" s="100"/>
      <c r="BFC47" s="100"/>
      <c r="BFD47" s="100"/>
      <c r="BFE47" s="100"/>
      <c r="BFF47" s="100"/>
      <c r="BFG47" s="100"/>
      <c r="BFH47" s="100"/>
      <c r="BFI47" s="100"/>
      <c r="BFJ47" s="100"/>
      <c r="BFK47" s="100"/>
      <c r="BFL47" s="100"/>
      <c r="BFM47" s="100"/>
      <c r="BFN47" s="100"/>
      <c r="BFO47" s="100"/>
      <c r="BFP47" s="100"/>
      <c r="BFQ47" s="100"/>
      <c r="BFR47" s="100"/>
      <c r="BFS47" s="100"/>
      <c r="BFT47" s="100"/>
      <c r="BFU47" s="100"/>
      <c r="BFV47" s="100"/>
      <c r="BFW47" s="100"/>
      <c r="BFX47" s="100"/>
      <c r="BFY47" s="100"/>
      <c r="BFZ47" s="100"/>
      <c r="BGA47" s="100"/>
      <c r="BGB47" s="100"/>
      <c r="BGC47" s="100"/>
      <c r="BGD47" s="100"/>
      <c r="BGE47" s="100"/>
      <c r="BGF47" s="100"/>
      <c r="BGG47" s="100"/>
      <c r="BGH47" s="100"/>
      <c r="BGI47" s="100"/>
      <c r="BGJ47" s="100"/>
      <c r="BGK47" s="100"/>
      <c r="BGL47" s="100"/>
      <c r="BGM47" s="100"/>
      <c r="BGN47" s="100"/>
      <c r="BGO47" s="100"/>
      <c r="BGP47" s="100"/>
      <c r="BGQ47" s="100"/>
      <c r="BGR47" s="100"/>
      <c r="BGS47" s="100"/>
      <c r="BGT47" s="100"/>
      <c r="BGU47" s="100"/>
      <c r="BGV47" s="100"/>
      <c r="BGW47" s="100"/>
      <c r="BGX47" s="100"/>
      <c r="BGY47" s="100"/>
      <c r="BGZ47" s="100"/>
      <c r="BHA47" s="100"/>
      <c r="BHB47" s="100"/>
      <c r="BHC47" s="100"/>
      <c r="BHD47" s="100"/>
      <c r="BHE47" s="100"/>
      <c r="BHF47" s="100"/>
      <c r="BHG47" s="100"/>
      <c r="BHH47" s="100"/>
      <c r="BHI47" s="100"/>
      <c r="BHJ47" s="100"/>
      <c r="BHK47" s="100"/>
      <c r="BHL47" s="100"/>
      <c r="BHM47" s="100"/>
      <c r="BHN47" s="100"/>
      <c r="BHO47" s="100"/>
      <c r="BHP47" s="100"/>
      <c r="BHQ47" s="100"/>
      <c r="BHR47" s="100"/>
      <c r="BHS47" s="100"/>
      <c r="BHT47" s="100"/>
      <c r="BHU47" s="100"/>
      <c r="BHV47" s="100"/>
      <c r="BHW47" s="100"/>
      <c r="BHX47" s="100"/>
      <c r="BHY47" s="100"/>
      <c r="BHZ47" s="100"/>
      <c r="BIA47" s="100"/>
      <c r="BIB47" s="100"/>
      <c r="BIC47" s="100"/>
      <c r="BID47" s="100"/>
      <c r="BIE47" s="100"/>
      <c r="BIF47" s="100"/>
      <c r="BIG47" s="100"/>
      <c r="BIH47" s="100"/>
      <c r="BII47" s="100"/>
      <c r="BIJ47" s="100"/>
      <c r="BIK47" s="100"/>
      <c r="BIL47" s="100"/>
      <c r="BIM47" s="100"/>
      <c r="BIN47" s="100"/>
      <c r="BIO47" s="100"/>
      <c r="BIP47" s="100"/>
      <c r="BIQ47" s="100"/>
      <c r="BIR47" s="100"/>
      <c r="BIS47" s="100"/>
      <c r="BIT47" s="100"/>
      <c r="BIU47" s="100"/>
      <c r="BIV47" s="100"/>
      <c r="BIW47" s="100"/>
      <c r="BIX47" s="100"/>
      <c r="BIY47" s="100"/>
      <c r="BIZ47" s="100"/>
      <c r="BJA47" s="100"/>
      <c r="BJB47" s="100"/>
      <c r="BJC47" s="100"/>
      <c r="BJD47" s="100"/>
      <c r="BJE47" s="100"/>
      <c r="BJF47" s="100"/>
      <c r="BJG47" s="100"/>
      <c r="BJH47" s="100"/>
      <c r="BJI47" s="100"/>
      <c r="BJJ47" s="100"/>
      <c r="BJK47" s="100"/>
      <c r="BJL47" s="100"/>
      <c r="BJM47" s="100"/>
      <c r="BJN47" s="100"/>
      <c r="BJO47" s="100"/>
      <c r="BJP47" s="100"/>
      <c r="BJQ47" s="100"/>
      <c r="BJR47" s="100"/>
      <c r="BJS47" s="100"/>
      <c r="BJT47" s="100"/>
      <c r="BJU47" s="100"/>
      <c r="BJV47" s="100"/>
      <c r="BJW47" s="100"/>
      <c r="BJX47" s="100"/>
      <c r="BJY47" s="100"/>
      <c r="BJZ47" s="100"/>
      <c r="BKA47" s="100"/>
      <c r="BKB47" s="100"/>
      <c r="BKC47" s="100"/>
      <c r="BKD47" s="100"/>
      <c r="BKE47" s="100"/>
      <c r="BKF47" s="100"/>
      <c r="BKG47" s="100"/>
      <c r="BKH47" s="100"/>
      <c r="BKI47" s="100"/>
      <c r="BKJ47" s="100"/>
      <c r="BKK47" s="100"/>
      <c r="BKL47" s="100"/>
      <c r="BKM47" s="100"/>
      <c r="BKN47" s="100"/>
      <c r="BKO47" s="100"/>
      <c r="BKP47" s="100"/>
      <c r="BKQ47" s="100"/>
      <c r="BKR47" s="100"/>
      <c r="BKS47" s="100"/>
      <c r="BKT47" s="100"/>
      <c r="BKU47" s="100"/>
      <c r="BKV47" s="100"/>
      <c r="BKW47" s="100"/>
      <c r="BKX47" s="100"/>
      <c r="BKY47" s="100"/>
      <c r="BKZ47" s="100"/>
      <c r="BLA47" s="100"/>
      <c r="BLB47" s="100"/>
      <c r="BLC47" s="100"/>
      <c r="BLD47" s="100"/>
      <c r="BLE47" s="100"/>
      <c r="BLF47" s="100"/>
      <c r="BLG47" s="100"/>
      <c r="BLH47" s="100"/>
      <c r="BLI47" s="100"/>
      <c r="BLJ47" s="100"/>
      <c r="BLK47" s="100"/>
      <c r="BLL47" s="100"/>
      <c r="BLM47" s="100"/>
      <c r="BLN47" s="100"/>
      <c r="BLO47" s="100"/>
      <c r="BLP47" s="100"/>
      <c r="BLQ47" s="100"/>
      <c r="BLR47" s="100"/>
      <c r="BLS47" s="100"/>
      <c r="BLT47" s="100"/>
      <c r="BLU47" s="100"/>
      <c r="BLV47" s="100"/>
      <c r="BLW47" s="100"/>
      <c r="BLX47" s="100"/>
      <c r="BLY47" s="100"/>
      <c r="BLZ47" s="100"/>
      <c r="BMA47" s="100"/>
      <c r="BMB47" s="100"/>
      <c r="BMC47" s="100"/>
      <c r="BMD47" s="100"/>
      <c r="BME47" s="100"/>
      <c r="BMF47" s="100"/>
      <c r="BMG47" s="100"/>
      <c r="BMH47" s="100"/>
      <c r="BMI47" s="100"/>
      <c r="BMJ47" s="100"/>
      <c r="BMK47" s="100"/>
      <c r="BML47" s="100"/>
      <c r="BMM47" s="100"/>
      <c r="BMN47" s="100"/>
      <c r="BMO47" s="100"/>
      <c r="BMP47" s="100"/>
      <c r="BMQ47" s="100"/>
      <c r="BMR47" s="100"/>
      <c r="BMS47" s="100"/>
      <c r="BMT47" s="100"/>
      <c r="BMU47" s="100"/>
      <c r="BMV47" s="100"/>
      <c r="BMW47" s="100"/>
      <c r="BMX47" s="100"/>
      <c r="BMY47" s="100"/>
      <c r="BMZ47" s="100"/>
      <c r="BNA47" s="100"/>
      <c r="BNB47" s="100"/>
      <c r="BNC47" s="100"/>
      <c r="BND47" s="100"/>
      <c r="BNE47" s="100"/>
      <c r="BNF47" s="100"/>
      <c r="BNG47" s="100"/>
      <c r="BNH47" s="100"/>
      <c r="BNI47" s="100"/>
      <c r="BNJ47" s="100"/>
      <c r="BNK47" s="100"/>
      <c r="BNL47" s="100"/>
      <c r="BNM47" s="100"/>
      <c r="BNN47" s="100"/>
      <c r="BNO47" s="100"/>
      <c r="BNP47" s="100"/>
      <c r="BNQ47" s="100"/>
      <c r="BNR47" s="100"/>
      <c r="BNS47" s="100"/>
      <c r="BNT47" s="100"/>
      <c r="BNU47" s="100"/>
      <c r="BNV47" s="100"/>
      <c r="BNW47" s="100"/>
      <c r="BNX47" s="100"/>
      <c r="BNY47" s="100"/>
      <c r="BNZ47" s="100"/>
      <c r="BOA47" s="100"/>
      <c r="BOB47" s="100"/>
      <c r="BOC47" s="100"/>
      <c r="BOD47" s="100"/>
      <c r="BOE47" s="100"/>
      <c r="BOF47" s="100"/>
      <c r="BOG47" s="100"/>
      <c r="BOH47" s="100"/>
      <c r="BOI47" s="100"/>
      <c r="BOJ47" s="100"/>
      <c r="BOK47" s="100"/>
      <c r="BOL47" s="100"/>
      <c r="BOM47" s="100"/>
      <c r="BON47" s="100"/>
      <c r="BOO47" s="100"/>
      <c r="BOP47" s="100"/>
      <c r="BOQ47" s="100"/>
      <c r="BOR47" s="100"/>
      <c r="BOS47" s="100"/>
      <c r="BOT47" s="100"/>
      <c r="BOU47" s="100"/>
      <c r="BOV47" s="100"/>
      <c r="BOW47" s="100"/>
      <c r="BOX47" s="100"/>
      <c r="BOY47" s="100"/>
      <c r="BOZ47" s="100"/>
      <c r="BPA47" s="100"/>
      <c r="BPB47" s="100"/>
      <c r="BPC47" s="100"/>
      <c r="BPD47" s="100"/>
      <c r="BPE47" s="100"/>
      <c r="BPF47" s="100"/>
      <c r="BPG47" s="100"/>
      <c r="BPH47" s="100"/>
      <c r="BPI47" s="100"/>
      <c r="BPJ47" s="100"/>
      <c r="BPK47" s="100"/>
      <c r="BPL47" s="100"/>
      <c r="BPM47" s="100"/>
      <c r="BPN47" s="100"/>
      <c r="BPO47" s="100"/>
      <c r="BPP47" s="100"/>
      <c r="BPQ47" s="100"/>
      <c r="BPR47" s="100"/>
      <c r="BPS47" s="100"/>
      <c r="BPT47" s="100"/>
      <c r="BPU47" s="100"/>
      <c r="BPV47" s="100"/>
      <c r="BPW47" s="100"/>
      <c r="BPX47" s="100"/>
      <c r="BPY47" s="100"/>
      <c r="BPZ47" s="100"/>
      <c r="BQA47" s="100"/>
      <c r="BQB47" s="100"/>
      <c r="BQC47" s="100"/>
      <c r="BQD47" s="100"/>
      <c r="BQE47" s="100"/>
      <c r="BQF47" s="100"/>
      <c r="BQG47" s="100"/>
      <c r="BQH47" s="100"/>
      <c r="BQI47" s="100"/>
      <c r="BQJ47" s="100"/>
      <c r="BQK47" s="100"/>
      <c r="BQL47" s="100"/>
      <c r="BQM47" s="100"/>
      <c r="BQN47" s="100"/>
      <c r="BQO47" s="100"/>
      <c r="BQP47" s="100"/>
      <c r="BQQ47" s="100"/>
      <c r="BQR47" s="100"/>
      <c r="BQS47" s="100"/>
      <c r="BQT47" s="100"/>
      <c r="BQU47" s="100"/>
      <c r="BQV47" s="100"/>
      <c r="BQW47" s="100"/>
      <c r="BQX47" s="100"/>
      <c r="BQY47" s="100"/>
      <c r="BQZ47" s="100"/>
      <c r="BRA47" s="100"/>
      <c r="BRB47" s="100"/>
      <c r="BRC47" s="100"/>
      <c r="BRD47" s="100"/>
      <c r="BRE47" s="100"/>
      <c r="BRF47" s="100"/>
      <c r="BRG47" s="100"/>
      <c r="BRH47" s="100"/>
      <c r="BRI47" s="100"/>
      <c r="BRJ47" s="100"/>
      <c r="BRK47" s="100"/>
      <c r="BRL47" s="100"/>
      <c r="BRM47" s="100"/>
      <c r="BRN47" s="100"/>
      <c r="BRO47" s="100"/>
      <c r="BRP47" s="100"/>
      <c r="BRQ47" s="100"/>
      <c r="BRR47" s="100"/>
      <c r="BRS47" s="100"/>
      <c r="BRT47" s="100"/>
      <c r="BRU47" s="100"/>
      <c r="BRV47" s="100"/>
      <c r="BRW47" s="100"/>
      <c r="BRX47" s="100"/>
      <c r="BRY47" s="100"/>
      <c r="BRZ47" s="100"/>
      <c r="BSA47" s="100"/>
      <c r="BSB47" s="100"/>
      <c r="BSC47" s="100"/>
      <c r="BSD47" s="100"/>
      <c r="BSE47" s="100"/>
      <c r="BSF47" s="100"/>
      <c r="BSG47" s="100"/>
      <c r="BSH47" s="100"/>
      <c r="BSI47" s="100"/>
      <c r="BSJ47" s="100"/>
      <c r="BSK47" s="100"/>
      <c r="BSL47" s="100"/>
      <c r="BSM47" s="100"/>
      <c r="BSN47" s="100"/>
      <c r="BSO47" s="100"/>
      <c r="BSP47" s="100"/>
      <c r="BSQ47" s="100"/>
      <c r="BSR47" s="100"/>
      <c r="BSS47" s="100"/>
      <c r="BST47" s="100"/>
      <c r="BSU47" s="100"/>
      <c r="BSV47" s="100"/>
      <c r="BSW47" s="100"/>
      <c r="BSX47" s="100"/>
      <c r="BSY47" s="100"/>
      <c r="BSZ47" s="100"/>
      <c r="BTA47" s="100"/>
      <c r="BTB47" s="100"/>
      <c r="BTC47" s="100"/>
      <c r="BTD47" s="100"/>
      <c r="BTE47" s="100"/>
      <c r="BTF47" s="100"/>
      <c r="BTG47" s="100"/>
      <c r="BTH47" s="100"/>
      <c r="BTI47" s="100"/>
      <c r="BTJ47" s="100"/>
      <c r="BTK47" s="100"/>
      <c r="BTL47" s="100"/>
      <c r="BTM47" s="100"/>
      <c r="BTN47" s="100"/>
      <c r="BTO47" s="100"/>
      <c r="BTP47" s="100"/>
      <c r="BTQ47" s="100"/>
      <c r="BTR47" s="100"/>
      <c r="BTS47" s="100"/>
      <c r="BTT47" s="100"/>
      <c r="BTU47" s="100"/>
      <c r="BTV47" s="100"/>
      <c r="BTW47" s="100"/>
      <c r="BTX47" s="100"/>
      <c r="BTY47" s="100"/>
      <c r="BTZ47" s="100"/>
      <c r="BUA47" s="100"/>
      <c r="BUB47" s="100"/>
      <c r="BUC47" s="100"/>
      <c r="BUD47" s="100"/>
      <c r="BUE47" s="100"/>
      <c r="BUF47" s="100"/>
      <c r="BUG47" s="100"/>
      <c r="BUH47" s="100"/>
      <c r="BUI47" s="100"/>
      <c r="BUJ47" s="100"/>
      <c r="BUK47" s="100"/>
      <c r="BUL47" s="100"/>
      <c r="BUM47" s="100"/>
      <c r="BUN47" s="100"/>
      <c r="BUO47" s="100"/>
      <c r="BUP47" s="100"/>
      <c r="BUQ47" s="100"/>
      <c r="BUR47" s="100"/>
      <c r="BUS47" s="100"/>
      <c r="BUT47" s="100"/>
      <c r="BUU47" s="100"/>
      <c r="BUV47" s="100"/>
      <c r="BUW47" s="100"/>
      <c r="BUX47" s="100"/>
      <c r="BUY47" s="100"/>
      <c r="BUZ47" s="100"/>
      <c r="BVA47" s="100"/>
      <c r="BVB47" s="100"/>
      <c r="BVC47" s="100"/>
      <c r="BVD47" s="100"/>
      <c r="BVE47" s="100"/>
      <c r="BVF47" s="100"/>
      <c r="BVG47" s="100"/>
      <c r="BVH47" s="100"/>
      <c r="BVI47" s="100"/>
      <c r="BVJ47" s="100"/>
      <c r="BVK47" s="100"/>
      <c r="BVL47" s="100"/>
      <c r="BVM47" s="100"/>
      <c r="BVN47" s="100"/>
      <c r="BVO47" s="100"/>
      <c r="BVP47" s="100"/>
      <c r="BVQ47" s="100"/>
      <c r="BVR47" s="100"/>
      <c r="BVS47" s="100"/>
      <c r="BVT47" s="100"/>
      <c r="BVU47" s="100"/>
      <c r="BVV47" s="100"/>
      <c r="BVW47" s="100"/>
      <c r="BVX47" s="100"/>
      <c r="BVY47" s="100"/>
      <c r="BVZ47" s="100"/>
      <c r="BWA47" s="100"/>
      <c r="BWB47" s="100"/>
      <c r="BWC47" s="100"/>
      <c r="BWD47" s="100"/>
      <c r="BWE47" s="100"/>
      <c r="BWF47" s="100"/>
      <c r="BWG47" s="100"/>
      <c r="BWH47" s="100"/>
      <c r="BWI47" s="100"/>
      <c r="BWJ47" s="100"/>
      <c r="BWK47" s="100"/>
      <c r="BWL47" s="100"/>
      <c r="BWM47" s="100"/>
      <c r="BWN47" s="100"/>
      <c r="BWO47" s="100"/>
      <c r="BWP47" s="100"/>
      <c r="BWQ47" s="100"/>
      <c r="BWR47" s="100"/>
      <c r="BWS47" s="100"/>
      <c r="BWT47" s="100"/>
      <c r="BWU47" s="100"/>
      <c r="BWV47" s="100"/>
      <c r="BWW47" s="100"/>
      <c r="BWX47" s="100"/>
      <c r="BWY47" s="100"/>
      <c r="BWZ47" s="100"/>
      <c r="BXA47" s="100"/>
      <c r="BXB47" s="100"/>
      <c r="BXC47" s="100"/>
      <c r="BXD47" s="100"/>
      <c r="BXE47" s="100"/>
      <c r="BXF47" s="100"/>
      <c r="BXG47" s="100"/>
      <c r="BXH47" s="100"/>
      <c r="BXI47" s="100"/>
      <c r="BXJ47" s="100"/>
      <c r="BXK47" s="100"/>
      <c r="BXL47" s="100"/>
      <c r="BXM47" s="100"/>
      <c r="BXN47" s="100"/>
      <c r="BXO47" s="100"/>
      <c r="BXP47" s="100"/>
      <c r="BXQ47" s="100"/>
      <c r="BXR47" s="100"/>
      <c r="BXS47" s="100"/>
      <c r="BXT47" s="100"/>
      <c r="BXU47" s="100"/>
      <c r="BXV47" s="100"/>
      <c r="BXW47" s="100"/>
      <c r="BXX47" s="100"/>
      <c r="BXY47" s="100"/>
      <c r="BXZ47" s="100"/>
      <c r="BYA47" s="100"/>
      <c r="BYB47" s="100"/>
      <c r="BYC47" s="100"/>
      <c r="BYD47" s="100"/>
      <c r="BYE47" s="100"/>
      <c r="BYF47" s="100"/>
      <c r="BYG47" s="100"/>
    </row>
    <row r="48" spans="1:2009" s="118" customFormat="1" ht="24.95" customHeight="1" x14ac:dyDescent="0.25">
      <c r="A48" s="420"/>
      <c r="B48" s="494" t="s">
        <v>335</v>
      </c>
      <c r="C48" s="527">
        <v>3690.73</v>
      </c>
      <c r="D48" s="527">
        <v>3884.4</v>
      </c>
      <c r="E48" s="499"/>
      <c r="F48" s="500"/>
      <c r="G48" s="501">
        <f>ROUND(SUM(C48:F48),5)</f>
        <v>7575.13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00"/>
      <c r="WJ48" s="100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00"/>
      <c r="XL48" s="100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00"/>
      <c r="AGF48" s="100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00"/>
      <c r="AHH48" s="100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00"/>
      <c r="AQB48" s="100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00"/>
      <c r="ARD48" s="100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  <c r="AVG48" s="100"/>
      <c r="AVH48" s="100"/>
      <c r="AVI48" s="100"/>
      <c r="AVJ48" s="100"/>
      <c r="AVK48" s="100"/>
      <c r="AVL48" s="100"/>
      <c r="AVM48" s="100"/>
      <c r="AVN48" s="100"/>
      <c r="AVO48" s="100"/>
      <c r="AVP48" s="100"/>
      <c r="AVQ48" s="100"/>
      <c r="AVR48" s="100"/>
      <c r="AVS48" s="100"/>
      <c r="AVT48" s="100"/>
      <c r="AVU48" s="100"/>
      <c r="AVV48" s="100"/>
      <c r="AVW48" s="100"/>
      <c r="AVX48" s="100"/>
      <c r="AVY48" s="100"/>
      <c r="AVZ48" s="100"/>
      <c r="AWA48" s="100"/>
      <c r="AWB48" s="100"/>
      <c r="AWC48" s="100"/>
      <c r="AWD48" s="100"/>
      <c r="AWE48" s="100"/>
      <c r="AWF48" s="100"/>
      <c r="AWG48" s="100"/>
      <c r="AWH48" s="100"/>
      <c r="AWI48" s="100"/>
      <c r="AWJ48" s="100"/>
      <c r="AWK48" s="100"/>
      <c r="AWL48" s="100"/>
      <c r="AWM48" s="100"/>
      <c r="AWN48" s="100"/>
      <c r="AWO48" s="100"/>
      <c r="AWP48" s="100"/>
      <c r="AWQ48" s="100"/>
      <c r="AWR48" s="100"/>
      <c r="AWS48" s="100"/>
      <c r="AWT48" s="100"/>
      <c r="AWU48" s="100"/>
      <c r="AWV48" s="100"/>
      <c r="AWW48" s="100"/>
      <c r="AWX48" s="100"/>
      <c r="AWY48" s="100"/>
      <c r="AWZ48" s="100"/>
      <c r="AXA48" s="100"/>
      <c r="AXB48" s="100"/>
      <c r="AXC48" s="100"/>
      <c r="AXD48" s="100"/>
      <c r="AXE48" s="100"/>
      <c r="AXF48" s="100"/>
      <c r="AXG48" s="100"/>
      <c r="AXH48" s="100"/>
      <c r="AXI48" s="100"/>
      <c r="AXJ48" s="100"/>
      <c r="AXK48" s="100"/>
      <c r="AXL48" s="100"/>
      <c r="AXM48" s="100"/>
      <c r="AXN48" s="100"/>
      <c r="AXO48" s="100"/>
      <c r="AXP48" s="100"/>
      <c r="AXQ48" s="100"/>
      <c r="AXR48" s="100"/>
      <c r="AXS48" s="100"/>
      <c r="AXT48" s="100"/>
      <c r="AXU48" s="100"/>
      <c r="AXV48" s="100"/>
      <c r="AXW48" s="100"/>
      <c r="AXX48" s="100"/>
      <c r="AXY48" s="100"/>
      <c r="AXZ48" s="100"/>
      <c r="AYA48" s="100"/>
      <c r="AYB48" s="100"/>
      <c r="AYC48" s="100"/>
      <c r="AYD48" s="100"/>
      <c r="AYE48" s="100"/>
      <c r="AYF48" s="100"/>
      <c r="AYG48" s="100"/>
      <c r="AYH48" s="100"/>
      <c r="AYI48" s="100"/>
      <c r="AYJ48" s="100"/>
      <c r="AYK48" s="100"/>
      <c r="AYL48" s="100"/>
      <c r="AYM48" s="100"/>
      <c r="AYN48" s="100"/>
      <c r="AYO48" s="100"/>
      <c r="AYP48" s="100"/>
      <c r="AYQ48" s="100"/>
      <c r="AYR48" s="100"/>
      <c r="AYS48" s="100"/>
      <c r="AYT48" s="100"/>
      <c r="AYU48" s="100"/>
      <c r="AYV48" s="100"/>
      <c r="AYW48" s="100"/>
      <c r="AYX48" s="100"/>
      <c r="AYY48" s="100"/>
      <c r="AYZ48" s="100"/>
      <c r="AZA48" s="100"/>
      <c r="AZB48" s="100"/>
      <c r="AZC48" s="100"/>
      <c r="AZD48" s="100"/>
      <c r="AZE48" s="100"/>
      <c r="AZF48" s="100"/>
      <c r="AZG48" s="100"/>
      <c r="AZH48" s="100"/>
      <c r="AZI48" s="100"/>
      <c r="AZJ48" s="100"/>
      <c r="AZK48" s="100"/>
      <c r="AZL48" s="100"/>
      <c r="AZM48" s="100"/>
      <c r="AZN48" s="100"/>
      <c r="AZO48" s="100"/>
      <c r="AZP48" s="100"/>
      <c r="AZQ48" s="100"/>
      <c r="AZR48" s="100"/>
      <c r="AZS48" s="100"/>
      <c r="AZT48" s="100"/>
      <c r="AZU48" s="100"/>
      <c r="AZV48" s="100"/>
      <c r="AZW48" s="100"/>
      <c r="AZX48" s="100"/>
      <c r="AZY48" s="100"/>
      <c r="AZZ48" s="100"/>
      <c r="BAA48" s="100"/>
      <c r="BAB48" s="100"/>
      <c r="BAC48" s="100"/>
      <c r="BAD48" s="100"/>
      <c r="BAE48" s="100"/>
      <c r="BAF48" s="100"/>
      <c r="BAG48" s="100"/>
      <c r="BAH48" s="100"/>
      <c r="BAI48" s="100"/>
      <c r="BAJ48" s="100"/>
      <c r="BAK48" s="100"/>
      <c r="BAL48" s="100"/>
      <c r="BAM48" s="100"/>
      <c r="BAN48" s="100"/>
      <c r="BAO48" s="100"/>
      <c r="BAP48" s="100"/>
      <c r="BAQ48" s="100"/>
      <c r="BAR48" s="100"/>
      <c r="BAS48" s="100"/>
      <c r="BAT48" s="100"/>
      <c r="BAU48" s="100"/>
      <c r="BAV48" s="100"/>
      <c r="BAW48" s="100"/>
      <c r="BAX48" s="100"/>
      <c r="BAY48" s="100"/>
      <c r="BAZ48" s="100"/>
      <c r="BBA48" s="100"/>
      <c r="BBB48" s="100"/>
      <c r="BBC48" s="100"/>
      <c r="BBD48" s="100"/>
      <c r="BBE48" s="100"/>
      <c r="BBF48" s="100"/>
      <c r="BBG48" s="100"/>
      <c r="BBH48" s="100"/>
      <c r="BBI48" s="100"/>
      <c r="BBJ48" s="100"/>
      <c r="BBK48" s="100"/>
      <c r="BBL48" s="100"/>
      <c r="BBM48" s="100"/>
      <c r="BBN48" s="100"/>
      <c r="BBO48" s="100"/>
      <c r="BBP48" s="100"/>
      <c r="BBQ48" s="100"/>
      <c r="BBR48" s="100"/>
      <c r="BBS48" s="100"/>
      <c r="BBT48" s="100"/>
      <c r="BBU48" s="100"/>
      <c r="BBV48" s="100"/>
      <c r="BBW48" s="100"/>
      <c r="BBX48" s="100"/>
      <c r="BBY48" s="100"/>
      <c r="BBZ48" s="100"/>
      <c r="BCA48" s="100"/>
      <c r="BCB48" s="100"/>
      <c r="BCC48" s="100"/>
      <c r="BCD48" s="100"/>
      <c r="BCE48" s="100"/>
      <c r="BCF48" s="100"/>
      <c r="BCG48" s="100"/>
      <c r="BCH48" s="100"/>
      <c r="BCI48" s="100"/>
      <c r="BCJ48" s="100"/>
      <c r="BCK48" s="100"/>
      <c r="BCL48" s="100"/>
      <c r="BCM48" s="100"/>
      <c r="BCN48" s="100"/>
      <c r="BCO48" s="100"/>
      <c r="BCP48" s="100"/>
      <c r="BCQ48" s="100"/>
      <c r="BCR48" s="100"/>
      <c r="BCS48" s="100"/>
      <c r="BCT48" s="100"/>
      <c r="BCU48" s="100"/>
      <c r="BCV48" s="100"/>
      <c r="BCW48" s="100"/>
      <c r="BCX48" s="100"/>
      <c r="BCY48" s="100"/>
      <c r="BCZ48" s="100"/>
      <c r="BDA48" s="100"/>
      <c r="BDB48" s="100"/>
      <c r="BDC48" s="100"/>
      <c r="BDD48" s="100"/>
      <c r="BDE48" s="100"/>
      <c r="BDF48" s="100"/>
      <c r="BDG48" s="100"/>
      <c r="BDH48" s="100"/>
      <c r="BDI48" s="100"/>
      <c r="BDJ48" s="100"/>
      <c r="BDK48" s="100"/>
      <c r="BDL48" s="100"/>
      <c r="BDM48" s="100"/>
      <c r="BDN48" s="100"/>
      <c r="BDO48" s="100"/>
      <c r="BDP48" s="100"/>
      <c r="BDQ48" s="100"/>
      <c r="BDR48" s="100"/>
      <c r="BDS48" s="100"/>
      <c r="BDT48" s="100"/>
      <c r="BDU48" s="100"/>
      <c r="BDV48" s="100"/>
      <c r="BDW48" s="100"/>
      <c r="BDX48" s="100"/>
      <c r="BDY48" s="100"/>
      <c r="BDZ48" s="100"/>
      <c r="BEA48" s="100"/>
      <c r="BEB48" s="100"/>
      <c r="BEC48" s="100"/>
      <c r="BED48" s="100"/>
      <c r="BEE48" s="100"/>
      <c r="BEF48" s="100"/>
      <c r="BEG48" s="100"/>
      <c r="BEH48" s="100"/>
      <c r="BEI48" s="100"/>
      <c r="BEJ48" s="100"/>
      <c r="BEK48" s="100"/>
      <c r="BEL48" s="100"/>
      <c r="BEM48" s="100"/>
      <c r="BEN48" s="100"/>
      <c r="BEO48" s="100"/>
      <c r="BEP48" s="100"/>
      <c r="BEQ48" s="100"/>
      <c r="BER48" s="100"/>
      <c r="BES48" s="100"/>
      <c r="BET48" s="100"/>
      <c r="BEU48" s="100"/>
      <c r="BEV48" s="100"/>
      <c r="BEW48" s="100"/>
      <c r="BEX48" s="100"/>
      <c r="BEY48" s="100"/>
      <c r="BEZ48" s="100"/>
      <c r="BFA48" s="100"/>
      <c r="BFB48" s="100"/>
      <c r="BFC48" s="100"/>
      <c r="BFD48" s="100"/>
      <c r="BFE48" s="100"/>
      <c r="BFF48" s="100"/>
      <c r="BFG48" s="100"/>
      <c r="BFH48" s="100"/>
      <c r="BFI48" s="100"/>
      <c r="BFJ48" s="100"/>
      <c r="BFK48" s="100"/>
      <c r="BFL48" s="100"/>
      <c r="BFM48" s="100"/>
      <c r="BFN48" s="100"/>
      <c r="BFO48" s="100"/>
      <c r="BFP48" s="100"/>
      <c r="BFQ48" s="100"/>
      <c r="BFR48" s="100"/>
      <c r="BFS48" s="100"/>
      <c r="BFT48" s="100"/>
      <c r="BFU48" s="100"/>
      <c r="BFV48" s="100"/>
      <c r="BFW48" s="100"/>
      <c r="BFX48" s="100"/>
      <c r="BFY48" s="100"/>
      <c r="BFZ48" s="100"/>
      <c r="BGA48" s="100"/>
      <c r="BGB48" s="100"/>
      <c r="BGC48" s="100"/>
      <c r="BGD48" s="100"/>
      <c r="BGE48" s="100"/>
      <c r="BGF48" s="100"/>
      <c r="BGG48" s="100"/>
      <c r="BGH48" s="100"/>
      <c r="BGI48" s="100"/>
      <c r="BGJ48" s="100"/>
      <c r="BGK48" s="100"/>
      <c r="BGL48" s="100"/>
      <c r="BGM48" s="100"/>
      <c r="BGN48" s="100"/>
      <c r="BGO48" s="100"/>
      <c r="BGP48" s="100"/>
      <c r="BGQ48" s="100"/>
      <c r="BGR48" s="100"/>
      <c r="BGS48" s="100"/>
      <c r="BGT48" s="100"/>
      <c r="BGU48" s="100"/>
      <c r="BGV48" s="100"/>
      <c r="BGW48" s="100"/>
      <c r="BGX48" s="100"/>
      <c r="BGY48" s="100"/>
      <c r="BGZ48" s="100"/>
      <c r="BHA48" s="100"/>
      <c r="BHB48" s="100"/>
      <c r="BHC48" s="100"/>
      <c r="BHD48" s="100"/>
      <c r="BHE48" s="100"/>
      <c r="BHF48" s="100"/>
      <c r="BHG48" s="100"/>
      <c r="BHH48" s="100"/>
      <c r="BHI48" s="100"/>
      <c r="BHJ48" s="100"/>
      <c r="BHK48" s="100"/>
      <c r="BHL48" s="100"/>
      <c r="BHM48" s="100"/>
      <c r="BHN48" s="100"/>
      <c r="BHO48" s="100"/>
      <c r="BHP48" s="100"/>
      <c r="BHQ48" s="100"/>
      <c r="BHR48" s="100"/>
      <c r="BHS48" s="100"/>
      <c r="BHT48" s="100"/>
      <c r="BHU48" s="100"/>
      <c r="BHV48" s="100"/>
      <c r="BHW48" s="100"/>
      <c r="BHX48" s="100"/>
      <c r="BHY48" s="100"/>
      <c r="BHZ48" s="100"/>
      <c r="BIA48" s="100"/>
      <c r="BIB48" s="100"/>
      <c r="BIC48" s="100"/>
      <c r="BID48" s="100"/>
      <c r="BIE48" s="100"/>
      <c r="BIF48" s="100"/>
      <c r="BIG48" s="100"/>
      <c r="BIH48" s="100"/>
      <c r="BII48" s="100"/>
      <c r="BIJ48" s="100"/>
      <c r="BIK48" s="100"/>
      <c r="BIL48" s="100"/>
      <c r="BIM48" s="100"/>
      <c r="BIN48" s="100"/>
      <c r="BIO48" s="100"/>
      <c r="BIP48" s="100"/>
      <c r="BIQ48" s="100"/>
      <c r="BIR48" s="100"/>
      <c r="BIS48" s="100"/>
      <c r="BIT48" s="100"/>
      <c r="BIU48" s="100"/>
      <c r="BIV48" s="100"/>
      <c r="BIW48" s="100"/>
      <c r="BIX48" s="100"/>
      <c r="BIY48" s="100"/>
      <c r="BIZ48" s="100"/>
      <c r="BJA48" s="100"/>
      <c r="BJB48" s="100"/>
      <c r="BJC48" s="100"/>
      <c r="BJD48" s="100"/>
      <c r="BJE48" s="100"/>
      <c r="BJF48" s="100"/>
      <c r="BJG48" s="100"/>
      <c r="BJH48" s="100"/>
      <c r="BJI48" s="100"/>
      <c r="BJJ48" s="100"/>
      <c r="BJK48" s="100"/>
      <c r="BJL48" s="100"/>
      <c r="BJM48" s="100"/>
      <c r="BJN48" s="100"/>
      <c r="BJO48" s="100"/>
      <c r="BJP48" s="100"/>
      <c r="BJQ48" s="100"/>
      <c r="BJR48" s="100"/>
      <c r="BJS48" s="100"/>
      <c r="BJT48" s="100"/>
      <c r="BJU48" s="100"/>
      <c r="BJV48" s="100"/>
      <c r="BJW48" s="100"/>
      <c r="BJX48" s="100"/>
      <c r="BJY48" s="100"/>
      <c r="BJZ48" s="100"/>
      <c r="BKA48" s="100"/>
      <c r="BKB48" s="100"/>
      <c r="BKC48" s="100"/>
      <c r="BKD48" s="100"/>
      <c r="BKE48" s="100"/>
      <c r="BKF48" s="100"/>
      <c r="BKG48" s="100"/>
      <c r="BKH48" s="100"/>
      <c r="BKI48" s="100"/>
      <c r="BKJ48" s="100"/>
      <c r="BKK48" s="100"/>
      <c r="BKL48" s="100"/>
      <c r="BKM48" s="100"/>
      <c r="BKN48" s="100"/>
      <c r="BKO48" s="100"/>
      <c r="BKP48" s="100"/>
      <c r="BKQ48" s="100"/>
      <c r="BKR48" s="100"/>
      <c r="BKS48" s="100"/>
      <c r="BKT48" s="100"/>
      <c r="BKU48" s="100"/>
      <c r="BKV48" s="100"/>
      <c r="BKW48" s="100"/>
      <c r="BKX48" s="100"/>
      <c r="BKY48" s="100"/>
      <c r="BKZ48" s="100"/>
      <c r="BLA48" s="100"/>
      <c r="BLB48" s="100"/>
      <c r="BLC48" s="100"/>
      <c r="BLD48" s="100"/>
      <c r="BLE48" s="100"/>
      <c r="BLF48" s="100"/>
      <c r="BLG48" s="100"/>
      <c r="BLH48" s="100"/>
      <c r="BLI48" s="100"/>
      <c r="BLJ48" s="100"/>
      <c r="BLK48" s="100"/>
      <c r="BLL48" s="100"/>
      <c r="BLM48" s="100"/>
      <c r="BLN48" s="100"/>
      <c r="BLO48" s="100"/>
      <c r="BLP48" s="100"/>
      <c r="BLQ48" s="100"/>
      <c r="BLR48" s="100"/>
      <c r="BLS48" s="100"/>
      <c r="BLT48" s="100"/>
      <c r="BLU48" s="100"/>
      <c r="BLV48" s="100"/>
      <c r="BLW48" s="100"/>
      <c r="BLX48" s="100"/>
      <c r="BLY48" s="100"/>
      <c r="BLZ48" s="100"/>
      <c r="BMA48" s="100"/>
      <c r="BMB48" s="100"/>
      <c r="BMC48" s="100"/>
      <c r="BMD48" s="100"/>
      <c r="BME48" s="100"/>
      <c r="BMF48" s="100"/>
      <c r="BMG48" s="100"/>
      <c r="BMH48" s="100"/>
      <c r="BMI48" s="100"/>
      <c r="BMJ48" s="100"/>
      <c r="BMK48" s="100"/>
      <c r="BML48" s="100"/>
      <c r="BMM48" s="100"/>
      <c r="BMN48" s="100"/>
      <c r="BMO48" s="100"/>
      <c r="BMP48" s="100"/>
      <c r="BMQ48" s="100"/>
      <c r="BMR48" s="100"/>
      <c r="BMS48" s="100"/>
      <c r="BMT48" s="100"/>
      <c r="BMU48" s="100"/>
      <c r="BMV48" s="100"/>
      <c r="BMW48" s="100"/>
      <c r="BMX48" s="100"/>
      <c r="BMY48" s="100"/>
      <c r="BMZ48" s="100"/>
      <c r="BNA48" s="100"/>
      <c r="BNB48" s="100"/>
      <c r="BNC48" s="100"/>
      <c r="BND48" s="100"/>
      <c r="BNE48" s="100"/>
      <c r="BNF48" s="100"/>
      <c r="BNG48" s="100"/>
      <c r="BNH48" s="100"/>
      <c r="BNI48" s="100"/>
      <c r="BNJ48" s="100"/>
      <c r="BNK48" s="100"/>
      <c r="BNL48" s="100"/>
      <c r="BNM48" s="100"/>
      <c r="BNN48" s="100"/>
      <c r="BNO48" s="100"/>
      <c r="BNP48" s="100"/>
      <c r="BNQ48" s="100"/>
      <c r="BNR48" s="100"/>
      <c r="BNS48" s="100"/>
      <c r="BNT48" s="100"/>
      <c r="BNU48" s="100"/>
      <c r="BNV48" s="100"/>
      <c r="BNW48" s="100"/>
      <c r="BNX48" s="100"/>
      <c r="BNY48" s="100"/>
      <c r="BNZ48" s="100"/>
      <c r="BOA48" s="100"/>
      <c r="BOB48" s="100"/>
      <c r="BOC48" s="100"/>
      <c r="BOD48" s="100"/>
      <c r="BOE48" s="100"/>
      <c r="BOF48" s="100"/>
      <c r="BOG48" s="100"/>
      <c r="BOH48" s="100"/>
      <c r="BOI48" s="100"/>
      <c r="BOJ48" s="100"/>
      <c r="BOK48" s="100"/>
      <c r="BOL48" s="100"/>
      <c r="BOM48" s="100"/>
      <c r="BON48" s="100"/>
      <c r="BOO48" s="100"/>
      <c r="BOP48" s="100"/>
      <c r="BOQ48" s="100"/>
      <c r="BOR48" s="100"/>
      <c r="BOS48" s="100"/>
      <c r="BOT48" s="100"/>
      <c r="BOU48" s="100"/>
      <c r="BOV48" s="100"/>
      <c r="BOW48" s="100"/>
      <c r="BOX48" s="100"/>
      <c r="BOY48" s="100"/>
      <c r="BOZ48" s="100"/>
      <c r="BPA48" s="100"/>
      <c r="BPB48" s="100"/>
      <c r="BPC48" s="100"/>
      <c r="BPD48" s="100"/>
      <c r="BPE48" s="100"/>
      <c r="BPF48" s="100"/>
      <c r="BPG48" s="100"/>
      <c r="BPH48" s="100"/>
      <c r="BPI48" s="100"/>
      <c r="BPJ48" s="100"/>
      <c r="BPK48" s="100"/>
      <c r="BPL48" s="100"/>
      <c r="BPM48" s="100"/>
      <c r="BPN48" s="100"/>
      <c r="BPO48" s="100"/>
      <c r="BPP48" s="100"/>
      <c r="BPQ48" s="100"/>
      <c r="BPR48" s="100"/>
      <c r="BPS48" s="100"/>
      <c r="BPT48" s="100"/>
      <c r="BPU48" s="100"/>
      <c r="BPV48" s="100"/>
      <c r="BPW48" s="100"/>
      <c r="BPX48" s="100"/>
      <c r="BPY48" s="100"/>
      <c r="BPZ48" s="100"/>
      <c r="BQA48" s="100"/>
      <c r="BQB48" s="100"/>
      <c r="BQC48" s="100"/>
      <c r="BQD48" s="100"/>
      <c r="BQE48" s="100"/>
      <c r="BQF48" s="100"/>
      <c r="BQG48" s="100"/>
      <c r="BQH48" s="100"/>
      <c r="BQI48" s="100"/>
      <c r="BQJ48" s="100"/>
      <c r="BQK48" s="100"/>
      <c r="BQL48" s="100"/>
      <c r="BQM48" s="100"/>
      <c r="BQN48" s="100"/>
      <c r="BQO48" s="100"/>
      <c r="BQP48" s="100"/>
      <c r="BQQ48" s="100"/>
      <c r="BQR48" s="100"/>
      <c r="BQS48" s="100"/>
      <c r="BQT48" s="100"/>
      <c r="BQU48" s="100"/>
      <c r="BQV48" s="100"/>
      <c r="BQW48" s="100"/>
      <c r="BQX48" s="100"/>
      <c r="BQY48" s="100"/>
      <c r="BQZ48" s="100"/>
      <c r="BRA48" s="100"/>
      <c r="BRB48" s="100"/>
      <c r="BRC48" s="100"/>
      <c r="BRD48" s="100"/>
      <c r="BRE48" s="100"/>
      <c r="BRF48" s="100"/>
      <c r="BRG48" s="100"/>
      <c r="BRH48" s="100"/>
      <c r="BRI48" s="100"/>
      <c r="BRJ48" s="100"/>
      <c r="BRK48" s="100"/>
      <c r="BRL48" s="100"/>
      <c r="BRM48" s="100"/>
      <c r="BRN48" s="100"/>
      <c r="BRO48" s="100"/>
      <c r="BRP48" s="100"/>
      <c r="BRQ48" s="100"/>
      <c r="BRR48" s="100"/>
      <c r="BRS48" s="100"/>
      <c r="BRT48" s="100"/>
      <c r="BRU48" s="100"/>
      <c r="BRV48" s="100"/>
      <c r="BRW48" s="100"/>
      <c r="BRX48" s="100"/>
      <c r="BRY48" s="100"/>
      <c r="BRZ48" s="100"/>
      <c r="BSA48" s="100"/>
      <c r="BSB48" s="100"/>
      <c r="BSC48" s="100"/>
      <c r="BSD48" s="100"/>
      <c r="BSE48" s="100"/>
      <c r="BSF48" s="100"/>
      <c r="BSG48" s="100"/>
      <c r="BSH48" s="100"/>
      <c r="BSI48" s="100"/>
      <c r="BSJ48" s="100"/>
      <c r="BSK48" s="100"/>
      <c r="BSL48" s="100"/>
      <c r="BSM48" s="100"/>
      <c r="BSN48" s="100"/>
      <c r="BSO48" s="100"/>
      <c r="BSP48" s="100"/>
      <c r="BSQ48" s="100"/>
      <c r="BSR48" s="100"/>
      <c r="BSS48" s="100"/>
      <c r="BST48" s="100"/>
      <c r="BSU48" s="100"/>
      <c r="BSV48" s="100"/>
      <c r="BSW48" s="100"/>
      <c r="BSX48" s="100"/>
      <c r="BSY48" s="100"/>
      <c r="BSZ48" s="100"/>
      <c r="BTA48" s="100"/>
      <c r="BTB48" s="100"/>
      <c r="BTC48" s="100"/>
      <c r="BTD48" s="100"/>
      <c r="BTE48" s="100"/>
      <c r="BTF48" s="100"/>
      <c r="BTG48" s="100"/>
      <c r="BTH48" s="100"/>
      <c r="BTI48" s="100"/>
      <c r="BTJ48" s="100"/>
      <c r="BTK48" s="100"/>
      <c r="BTL48" s="100"/>
      <c r="BTM48" s="100"/>
      <c r="BTN48" s="100"/>
      <c r="BTO48" s="100"/>
      <c r="BTP48" s="100"/>
      <c r="BTQ48" s="100"/>
      <c r="BTR48" s="100"/>
      <c r="BTS48" s="100"/>
      <c r="BTT48" s="100"/>
      <c r="BTU48" s="100"/>
      <c r="BTV48" s="100"/>
      <c r="BTW48" s="100"/>
      <c r="BTX48" s="100"/>
      <c r="BTY48" s="100"/>
      <c r="BTZ48" s="100"/>
      <c r="BUA48" s="100"/>
      <c r="BUB48" s="100"/>
      <c r="BUC48" s="100"/>
      <c r="BUD48" s="100"/>
      <c r="BUE48" s="100"/>
      <c r="BUF48" s="100"/>
      <c r="BUG48" s="100"/>
      <c r="BUH48" s="100"/>
      <c r="BUI48" s="100"/>
      <c r="BUJ48" s="100"/>
      <c r="BUK48" s="100"/>
      <c r="BUL48" s="100"/>
      <c r="BUM48" s="100"/>
      <c r="BUN48" s="100"/>
      <c r="BUO48" s="100"/>
      <c r="BUP48" s="100"/>
      <c r="BUQ48" s="100"/>
      <c r="BUR48" s="100"/>
      <c r="BUS48" s="100"/>
      <c r="BUT48" s="100"/>
      <c r="BUU48" s="100"/>
      <c r="BUV48" s="100"/>
      <c r="BUW48" s="100"/>
      <c r="BUX48" s="100"/>
      <c r="BUY48" s="100"/>
      <c r="BUZ48" s="100"/>
      <c r="BVA48" s="100"/>
      <c r="BVB48" s="100"/>
      <c r="BVC48" s="100"/>
      <c r="BVD48" s="100"/>
      <c r="BVE48" s="100"/>
      <c r="BVF48" s="100"/>
      <c r="BVG48" s="100"/>
      <c r="BVH48" s="100"/>
      <c r="BVI48" s="100"/>
      <c r="BVJ48" s="100"/>
      <c r="BVK48" s="100"/>
      <c r="BVL48" s="100"/>
      <c r="BVM48" s="100"/>
      <c r="BVN48" s="100"/>
      <c r="BVO48" s="100"/>
      <c r="BVP48" s="100"/>
      <c r="BVQ48" s="100"/>
      <c r="BVR48" s="100"/>
      <c r="BVS48" s="100"/>
      <c r="BVT48" s="100"/>
      <c r="BVU48" s="100"/>
      <c r="BVV48" s="100"/>
      <c r="BVW48" s="100"/>
      <c r="BVX48" s="100"/>
      <c r="BVY48" s="100"/>
      <c r="BVZ48" s="100"/>
      <c r="BWA48" s="100"/>
      <c r="BWB48" s="100"/>
      <c r="BWC48" s="100"/>
      <c r="BWD48" s="100"/>
      <c r="BWE48" s="100"/>
      <c r="BWF48" s="100"/>
      <c r="BWG48" s="100"/>
      <c r="BWH48" s="100"/>
      <c r="BWI48" s="100"/>
      <c r="BWJ48" s="100"/>
      <c r="BWK48" s="100"/>
      <c r="BWL48" s="100"/>
      <c r="BWM48" s="100"/>
      <c r="BWN48" s="100"/>
      <c r="BWO48" s="100"/>
      <c r="BWP48" s="100"/>
      <c r="BWQ48" s="100"/>
      <c r="BWR48" s="100"/>
      <c r="BWS48" s="100"/>
      <c r="BWT48" s="100"/>
      <c r="BWU48" s="100"/>
      <c r="BWV48" s="100"/>
      <c r="BWW48" s="100"/>
      <c r="BWX48" s="100"/>
      <c r="BWY48" s="100"/>
      <c r="BWZ48" s="100"/>
      <c r="BXA48" s="100"/>
      <c r="BXB48" s="100"/>
      <c r="BXC48" s="100"/>
      <c r="BXD48" s="100"/>
      <c r="BXE48" s="100"/>
      <c r="BXF48" s="100"/>
      <c r="BXG48" s="100"/>
      <c r="BXH48" s="100"/>
      <c r="BXI48" s="100"/>
      <c r="BXJ48" s="100"/>
      <c r="BXK48" s="100"/>
      <c r="BXL48" s="100"/>
      <c r="BXM48" s="100"/>
      <c r="BXN48" s="100"/>
      <c r="BXO48" s="100"/>
      <c r="BXP48" s="100"/>
      <c r="BXQ48" s="100"/>
      <c r="BXR48" s="100"/>
      <c r="BXS48" s="100"/>
      <c r="BXT48" s="100"/>
      <c r="BXU48" s="100"/>
      <c r="BXV48" s="100"/>
      <c r="BXW48" s="100"/>
      <c r="BXX48" s="100"/>
      <c r="BXY48" s="100"/>
      <c r="BXZ48" s="100"/>
      <c r="BYA48" s="100"/>
      <c r="BYB48" s="100"/>
      <c r="BYC48" s="100"/>
      <c r="BYD48" s="100"/>
      <c r="BYE48" s="100"/>
      <c r="BYF48" s="100"/>
      <c r="BYG48" s="100"/>
    </row>
    <row r="49" spans="1:2009" s="246" customFormat="1" ht="24.95" customHeight="1" thickBot="1" x14ac:dyDescent="0.3">
      <c r="A49" s="245"/>
      <c r="B49" s="495" t="s">
        <v>226</v>
      </c>
      <c r="C49" s="489">
        <f>SUM(C44:C48)</f>
        <v>9541.1</v>
      </c>
      <c r="D49" s="489">
        <f>SUM(D44:D48)</f>
        <v>10641.970000000001</v>
      </c>
      <c r="E49" s="489"/>
      <c r="F49" s="489"/>
      <c r="G49" s="490">
        <f>ROUND(SUM(C49:F49),5)</f>
        <v>20183.07</v>
      </c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  <c r="IW49" s="212"/>
      <c r="IX49" s="212"/>
      <c r="IY49" s="212"/>
      <c r="IZ49" s="212"/>
      <c r="JA49" s="212"/>
      <c r="JB49" s="212"/>
      <c r="JC49" s="212"/>
      <c r="JD49" s="212"/>
      <c r="JE49" s="212"/>
      <c r="JF49" s="212"/>
      <c r="JG49" s="212"/>
      <c r="JH49" s="212"/>
      <c r="JI49" s="212"/>
      <c r="JJ49" s="212"/>
      <c r="JK49" s="212"/>
      <c r="JL49" s="212"/>
      <c r="JM49" s="212"/>
      <c r="JN49" s="212"/>
      <c r="JO49" s="212"/>
      <c r="JP49" s="212"/>
      <c r="JQ49" s="212"/>
      <c r="JR49" s="212"/>
      <c r="JS49" s="212"/>
      <c r="JT49" s="212"/>
      <c r="JU49" s="212"/>
      <c r="JV49" s="212"/>
      <c r="JW49" s="212"/>
      <c r="JX49" s="212"/>
      <c r="JY49" s="212"/>
      <c r="JZ49" s="212"/>
      <c r="KA49" s="212"/>
      <c r="KB49" s="212"/>
      <c r="KC49" s="212"/>
      <c r="KD49" s="212"/>
      <c r="KE49" s="212"/>
      <c r="KF49" s="212"/>
      <c r="KG49" s="212"/>
      <c r="KH49" s="212"/>
      <c r="KI49" s="212"/>
      <c r="KJ49" s="212"/>
      <c r="KK49" s="212"/>
      <c r="KL49" s="212"/>
      <c r="KM49" s="212"/>
      <c r="KN49" s="212"/>
      <c r="KO49" s="212"/>
      <c r="KP49" s="212"/>
      <c r="KQ49" s="212"/>
      <c r="KR49" s="212"/>
      <c r="KS49" s="212"/>
      <c r="KT49" s="212"/>
      <c r="KU49" s="212"/>
      <c r="KV49" s="212"/>
      <c r="KW49" s="212"/>
      <c r="KX49" s="212"/>
      <c r="KY49" s="212"/>
      <c r="KZ49" s="212"/>
      <c r="LA49" s="212"/>
      <c r="LB49" s="212"/>
      <c r="LC49" s="212"/>
      <c r="LD49" s="212"/>
      <c r="LE49" s="212"/>
      <c r="LF49" s="212"/>
      <c r="LG49" s="212"/>
      <c r="LH49" s="212"/>
      <c r="LI49" s="212"/>
      <c r="LJ49" s="212"/>
      <c r="LK49" s="212"/>
      <c r="LL49" s="212"/>
      <c r="LM49" s="212"/>
      <c r="LN49" s="212"/>
      <c r="LO49" s="212"/>
      <c r="LP49" s="212"/>
      <c r="LQ49" s="212"/>
      <c r="LR49" s="212"/>
      <c r="LS49" s="212"/>
      <c r="LT49" s="212"/>
      <c r="LU49" s="212"/>
      <c r="LV49" s="212"/>
      <c r="LW49" s="212"/>
      <c r="LX49" s="212"/>
      <c r="LY49" s="212"/>
      <c r="LZ49" s="212"/>
      <c r="MA49" s="212"/>
      <c r="MB49" s="212"/>
      <c r="MC49" s="212"/>
      <c r="MD49" s="212"/>
      <c r="ME49" s="212"/>
      <c r="MF49" s="212"/>
      <c r="MG49" s="212"/>
      <c r="MH49" s="212"/>
      <c r="MI49" s="212"/>
      <c r="MJ49" s="212"/>
      <c r="MK49" s="212"/>
      <c r="ML49" s="212"/>
      <c r="MM49" s="212"/>
      <c r="MN49" s="212"/>
      <c r="MO49" s="212"/>
      <c r="MP49" s="212"/>
      <c r="MQ49" s="212"/>
      <c r="MR49" s="212"/>
      <c r="MS49" s="212"/>
      <c r="MT49" s="212"/>
      <c r="MU49" s="212"/>
      <c r="MV49" s="212"/>
      <c r="MW49" s="212"/>
      <c r="MX49" s="212"/>
      <c r="MY49" s="212"/>
      <c r="MZ49" s="212"/>
      <c r="NA49" s="212"/>
      <c r="NB49" s="212"/>
      <c r="NC49" s="212"/>
      <c r="ND49" s="212"/>
      <c r="NE49" s="212"/>
      <c r="NF49" s="212"/>
      <c r="NG49" s="212"/>
      <c r="NH49" s="212"/>
      <c r="NI49" s="212"/>
      <c r="NJ49" s="212"/>
      <c r="NK49" s="212"/>
      <c r="NL49" s="212"/>
      <c r="NM49" s="212"/>
      <c r="NN49" s="212"/>
      <c r="NO49" s="212"/>
      <c r="NP49" s="212"/>
      <c r="NQ49" s="212"/>
      <c r="NR49" s="212"/>
      <c r="NS49" s="212"/>
      <c r="NT49" s="212"/>
      <c r="NU49" s="212"/>
      <c r="NV49" s="212"/>
      <c r="NW49" s="212"/>
      <c r="NX49" s="212"/>
      <c r="NY49" s="212"/>
      <c r="NZ49" s="212"/>
      <c r="OA49" s="212"/>
      <c r="OB49" s="212"/>
      <c r="OC49" s="212"/>
      <c r="OD49" s="212"/>
      <c r="OE49" s="212"/>
      <c r="OF49" s="212"/>
      <c r="OG49" s="212"/>
      <c r="OH49" s="212"/>
      <c r="OI49" s="212"/>
      <c r="OJ49" s="212"/>
      <c r="OK49" s="212"/>
      <c r="OL49" s="212"/>
      <c r="OM49" s="212"/>
      <c r="ON49" s="212"/>
      <c r="OO49" s="212"/>
      <c r="OP49" s="212"/>
      <c r="OQ49" s="212"/>
      <c r="OR49" s="212"/>
      <c r="OS49" s="212"/>
      <c r="OT49" s="212"/>
      <c r="OU49" s="212"/>
      <c r="OV49" s="212"/>
      <c r="OW49" s="212"/>
      <c r="OX49" s="212"/>
      <c r="OY49" s="212"/>
      <c r="OZ49" s="212"/>
      <c r="PA49" s="212"/>
      <c r="PB49" s="212"/>
      <c r="PC49" s="212"/>
      <c r="PD49" s="212"/>
      <c r="PE49" s="212"/>
      <c r="PF49" s="212"/>
      <c r="PG49" s="212"/>
      <c r="PH49" s="212"/>
      <c r="PI49" s="212"/>
      <c r="PJ49" s="212"/>
      <c r="PK49" s="212"/>
      <c r="PL49" s="212"/>
      <c r="PM49" s="212"/>
      <c r="PN49" s="212"/>
      <c r="PO49" s="212"/>
      <c r="PP49" s="212"/>
      <c r="PQ49" s="212"/>
      <c r="PR49" s="212"/>
      <c r="PS49" s="212"/>
      <c r="PT49" s="212"/>
      <c r="PU49" s="212"/>
      <c r="PV49" s="212"/>
      <c r="PW49" s="212"/>
      <c r="PX49" s="212"/>
      <c r="PY49" s="212"/>
      <c r="PZ49" s="212"/>
      <c r="QA49" s="212"/>
      <c r="QB49" s="212"/>
      <c r="QC49" s="212"/>
      <c r="QD49" s="212"/>
      <c r="QE49" s="212"/>
      <c r="QF49" s="212"/>
      <c r="QG49" s="212"/>
      <c r="QH49" s="212"/>
      <c r="QI49" s="212"/>
      <c r="QJ49" s="212"/>
      <c r="QK49" s="212"/>
      <c r="QL49" s="212"/>
      <c r="QM49" s="212"/>
      <c r="QN49" s="212"/>
      <c r="QO49" s="212"/>
      <c r="QP49" s="212"/>
      <c r="QQ49" s="212"/>
      <c r="QR49" s="212"/>
      <c r="QS49" s="212"/>
      <c r="QT49" s="212"/>
      <c r="QU49" s="212"/>
      <c r="QV49" s="212"/>
      <c r="QW49" s="212"/>
      <c r="QX49" s="212"/>
      <c r="QY49" s="212"/>
      <c r="QZ49" s="212"/>
      <c r="RA49" s="212"/>
      <c r="RB49" s="212"/>
      <c r="RC49" s="212"/>
      <c r="RD49" s="212"/>
      <c r="RE49" s="212"/>
      <c r="RF49" s="212"/>
      <c r="RG49" s="212"/>
      <c r="RH49" s="212"/>
      <c r="RI49" s="212"/>
      <c r="RJ49" s="212"/>
      <c r="RK49" s="212"/>
      <c r="RL49" s="212"/>
      <c r="RM49" s="212"/>
      <c r="RN49" s="212"/>
      <c r="RO49" s="212"/>
      <c r="RP49" s="212"/>
      <c r="RQ49" s="212"/>
      <c r="RR49" s="212"/>
      <c r="RS49" s="212"/>
      <c r="RT49" s="212"/>
      <c r="RU49" s="212"/>
      <c r="RV49" s="212"/>
      <c r="RW49" s="212"/>
      <c r="RX49" s="212"/>
      <c r="RY49" s="212"/>
      <c r="RZ49" s="212"/>
      <c r="SA49" s="212"/>
      <c r="SB49" s="212"/>
      <c r="SC49" s="212"/>
      <c r="SD49" s="212"/>
      <c r="SE49" s="212"/>
      <c r="SF49" s="212"/>
      <c r="SG49" s="212"/>
      <c r="SH49" s="212"/>
      <c r="SI49" s="212"/>
      <c r="SJ49" s="212"/>
      <c r="SK49" s="212"/>
      <c r="SL49" s="212"/>
      <c r="SM49" s="212"/>
      <c r="SN49" s="212"/>
      <c r="SO49" s="212"/>
      <c r="SP49" s="212"/>
      <c r="SQ49" s="212"/>
      <c r="SR49" s="212"/>
      <c r="SS49" s="212"/>
      <c r="ST49" s="212"/>
      <c r="SU49" s="212"/>
      <c r="SV49" s="212"/>
      <c r="SW49" s="212"/>
      <c r="SX49" s="212"/>
      <c r="SY49" s="212"/>
      <c r="SZ49" s="212"/>
      <c r="TA49" s="212"/>
      <c r="TB49" s="212"/>
      <c r="TC49" s="212"/>
      <c r="TD49" s="212"/>
      <c r="TE49" s="212"/>
      <c r="TF49" s="212"/>
      <c r="TG49" s="212"/>
      <c r="TH49" s="212"/>
      <c r="TI49" s="212"/>
      <c r="TJ49" s="212"/>
      <c r="TK49" s="212"/>
      <c r="TL49" s="212"/>
      <c r="TM49" s="212"/>
      <c r="TN49" s="212"/>
      <c r="TO49" s="212"/>
      <c r="TP49" s="212"/>
      <c r="TQ49" s="212"/>
      <c r="TR49" s="212"/>
      <c r="TS49" s="212"/>
      <c r="TT49" s="212"/>
      <c r="TU49" s="212"/>
      <c r="TV49" s="212"/>
      <c r="TW49" s="212"/>
      <c r="TX49" s="212"/>
      <c r="TY49" s="212"/>
      <c r="TZ49" s="212"/>
      <c r="UA49" s="212"/>
      <c r="UB49" s="212"/>
      <c r="UC49" s="212"/>
      <c r="UD49" s="212"/>
      <c r="UE49" s="212"/>
      <c r="UF49" s="212"/>
      <c r="UG49" s="212"/>
      <c r="UH49" s="212"/>
      <c r="UI49" s="212"/>
      <c r="UJ49" s="212"/>
      <c r="UK49" s="212"/>
      <c r="UL49" s="212"/>
      <c r="UM49" s="212"/>
      <c r="UN49" s="212"/>
      <c r="UO49" s="212"/>
      <c r="UP49" s="212"/>
      <c r="UQ49" s="212"/>
      <c r="UR49" s="212"/>
      <c r="US49" s="212"/>
      <c r="UT49" s="212"/>
      <c r="UU49" s="212"/>
      <c r="UV49" s="212"/>
      <c r="UW49" s="212"/>
      <c r="UX49" s="212"/>
      <c r="UY49" s="212"/>
      <c r="UZ49" s="212"/>
      <c r="VA49" s="212"/>
      <c r="VB49" s="212"/>
      <c r="VC49" s="212"/>
      <c r="VD49" s="212"/>
      <c r="VE49" s="212"/>
      <c r="VF49" s="212"/>
      <c r="VG49" s="212"/>
      <c r="VH49" s="212"/>
      <c r="VI49" s="212"/>
      <c r="VJ49" s="212"/>
      <c r="VK49" s="212"/>
      <c r="VL49" s="212"/>
      <c r="VM49" s="212"/>
      <c r="VN49" s="212"/>
      <c r="VO49" s="212"/>
      <c r="VP49" s="212"/>
      <c r="VQ49" s="212"/>
      <c r="VR49" s="212"/>
      <c r="VS49" s="212"/>
      <c r="VT49" s="212"/>
      <c r="VU49" s="212"/>
      <c r="VV49" s="212"/>
      <c r="VW49" s="212"/>
      <c r="VX49" s="212"/>
      <c r="VY49" s="212"/>
      <c r="VZ49" s="212"/>
      <c r="WA49" s="212"/>
      <c r="WB49" s="212"/>
      <c r="WC49" s="212"/>
      <c r="WD49" s="212"/>
      <c r="WE49" s="212"/>
      <c r="WF49" s="212"/>
      <c r="WG49" s="212"/>
      <c r="WH49" s="212"/>
      <c r="WI49" s="212"/>
      <c r="WJ49" s="212"/>
      <c r="WK49" s="212"/>
      <c r="WL49" s="212"/>
      <c r="WM49" s="212"/>
      <c r="WN49" s="212"/>
      <c r="WO49" s="212"/>
      <c r="WP49" s="212"/>
      <c r="WQ49" s="212"/>
      <c r="WR49" s="212"/>
      <c r="WS49" s="212"/>
      <c r="WT49" s="212"/>
      <c r="WU49" s="212"/>
      <c r="WV49" s="212"/>
      <c r="WW49" s="212"/>
      <c r="WX49" s="212"/>
      <c r="WY49" s="212"/>
      <c r="WZ49" s="212"/>
      <c r="XA49" s="212"/>
      <c r="XB49" s="212"/>
      <c r="XC49" s="212"/>
      <c r="XD49" s="212"/>
      <c r="XE49" s="212"/>
      <c r="XF49" s="212"/>
      <c r="XG49" s="212"/>
      <c r="XH49" s="212"/>
      <c r="XI49" s="212"/>
      <c r="XJ49" s="212"/>
      <c r="XK49" s="212"/>
      <c r="XL49" s="212"/>
      <c r="XM49" s="212"/>
      <c r="XN49" s="212"/>
      <c r="XO49" s="212"/>
      <c r="XP49" s="212"/>
      <c r="XQ49" s="212"/>
      <c r="XR49" s="212"/>
      <c r="XS49" s="212"/>
      <c r="XT49" s="212"/>
      <c r="XU49" s="212"/>
      <c r="XV49" s="212"/>
      <c r="XW49" s="212"/>
      <c r="XX49" s="212"/>
      <c r="XY49" s="212"/>
      <c r="XZ49" s="212"/>
      <c r="YA49" s="212"/>
      <c r="YB49" s="212"/>
      <c r="YC49" s="212"/>
      <c r="YD49" s="212"/>
      <c r="YE49" s="212"/>
      <c r="YF49" s="212"/>
      <c r="YG49" s="212"/>
      <c r="YH49" s="212"/>
      <c r="YI49" s="212"/>
      <c r="YJ49" s="212"/>
      <c r="YK49" s="212"/>
      <c r="YL49" s="212"/>
      <c r="YM49" s="212"/>
      <c r="YN49" s="212"/>
      <c r="YO49" s="212"/>
      <c r="YP49" s="212"/>
      <c r="YQ49" s="212"/>
      <c r="YR49" s="212"/>
      <c r="YS49" s="212"/>
      <c r="YT49" s="212"/>
      <c r="YU49" s="212"/>
      <c r="YV49" s="212"/>
      <c r="YW49" s="212"/>
      <c r="YX49" s="212"/>
      <c r="YY49" s="212"/>
      <c r="YZ49" s="212"/>
      <c r="ZA49" s="212"/>
      <c r="ZB49" s="212"/>
      <c r="ZC49" s="212"/>
      <c r="ZD49" s="212"/>
      <c r="ZE49" s="212"/>
      <c r="ZF49" s="212"/>
      <c r="ZG49" s="212"/>
      <c r="ZH49" s="212"/>
      <c r="ZI49" s="212"/>
      <c r="ZJ49" s="212"/>
      <c r="ZK49" s="212"/>
      <c r="ZL49" s="212"/>
      <c r="ZM49" s="212"/>
      <c r="ZN49" s="212"/>
      <c r="ZO49" s="212"/>
      <c r="ZP49" s="212"/>
      <c r="ZQ49" s="212"/>
      <c r="ZR49" s="212"/>
      <c r="ZS49" s="212"/>
      <c r="ZT49" s="212"/>
      <c r="ZU49" s="212"/>
      <c r="ZV49" s="212"/>
      <c r="ZW49" s="212"/>
      <c r="ZX49" s="212"/>
      <c r="ZY49" s="212"/>
      <c r="ZZ49" s="212"/>
      <c r="AAA49" s="212"/>
      <c r="AAB49" s="212"/>
      <c r="AAC49" s="212"/>
      <c r="AAD49" s="212"/>
      <c r="AAE49" s="212"/>
      <c r="AAF49" s="212"/>
      <c r="AAG49" s="212"/>
      <c r="AAH49" s="212"/>
      <c r="AAI49" s="212"/>
      <c r="AAJ49" s="212"/>
      <c r="AAK49" s="212"/>
      <c r="AAL49" s="212"/>
      <c r="AAM49" s="212"/>
      <c r="AAN49" s="212"/>
      <c r="AAO49" s="212"/>
      <c r="AAP49" s="212"/>
      <c r="AAQ49" s="212"/>
      <c r="AAR49" s="212"/>
      <c r="AAS49" s="212"/>
      <c r="AAT49" s="212"/>
      <c r="AAU49" s="212"/>
      <c r="AAV49" s="212"/>
      <c r="AAW49" s="212"/>
      <c r="AAX49" s="212"/>
      <c r="AAY49" s="212"/>
      <c r="AAZ49" s="212"/>
      <c r="ABA49" s="212"/>
      <c r="ABB49" s="212"/>
      <c r="ABC49" s="212"/>
      <c r="ABD49" s="212"/>
      <c r="ABE49" s="212"/>
      <c r="ABF49" s="212"/>
      <c r="ABG49" s="212"/>
      <c r="ABH49" s="212"/>
      <c r="ABI49" s="212"/>
      <c r="ABJ49" s="212"/>
      <c r="ABK49" s="212"/>
      <c r="ABL49" s="212"/>
      <c r="ABM49" s="212"/>
      <c r="ABN49" s="212"/>
      <c r="ABO49" s="212"/>
      <c r="ABP49" s="212"/>
      <c r="ABQ49" s="212"/>
      <c r="ABR49" s="212"/>
      <c r="ABS49" s="212"/>
      <c r="ABT49" s="212"/>
      <c r="ABU49" s="212"/>
      <c r="ABV49" s="212"/>
      <c r="ABW49" s="212"/>
      <c r="ABX49" s="212"/>
      <c r="ABY49" s="212"/>
      <c r="ABZ49" s="212"/>
      <c r="ACA49" s="212"/>
      <c r="ACB49" s="212"/>
      <c r="ACC49" s="212"/>
      <c r="ACD49" s="212"/>
      <c r="ACE49" s="212"/>
      <c r="ACF49" s="212"/>
      <c r="ACG49" s="212"/>
      <c r="ACH49" s="212"/>
      <c r="ACI49" s="212"/>
      <c r="ACJ49" s="212"/>
      <c r="ACK49" s="212"/>
      <c r="ACL49" s="212"/>
      <c r="ACM49" s="212"/>
      <c r="ACN49" s="212"/>
      <c r="ACO49" s="212"/>
      <c r="ACP49" s="212"/>
      <c r="ACQ49" s="212"/>
      <c r="ACR49" s="212"/>
      <c r="ACS49" s="212"/>
      <c r="ACT49" s="212"/>
      <c r="ACU49" s="212"/>
      <c r="ACV49" s="212"/>
      <c r="ACW49" s="212"/>
      <c r="ACX49" s="212"/>
      <c r="ACY49" s="212"/>
      <c r="ACZ49" s="212"/>
      <c r="ADA49" s="212"/>
      <c r="ADB49" s="212"/>
      <c r="ADC49" s="212"/>
      <c r="ADD49" s="212"/>
      <c r="ADE49" s="212"/>
      <c r="ADF49" s="212"/>
      <c r="ADG49" s="212"/>
      <c r="ADH49" s="212"/>
      <c r="ADI49" s="212"/>
      <c r="ADJ49" s="212"/>
      <c r="ADK49" s="212"/>
      <c r="ADL49" s="212"/>
      <c r="ADM49" s="212"/>
      <c r="ADN49" s="212"/>
      <c r="ADO49" s="212"/>
      <c r="ADP49" s="212"/>
      <c r="ADQ49" s="212"/>
      <c r="ADR49" s="212"/>
      <c r="ADS49" s="212"/>
      <c r="ADT49" s="212"/>
      <c r="ADU49" s="212"/>
      <c r="ADV49" s="212"/>
      <c r="ADW49" s="212"/>
      <c r="ADX49" s="212"/>
      <c r="ADY49" s="212"/>
      <c r="ADZ49" s="212"/>
      <c r="AEA49" s="212"/>
      <c r="AEB49" s="212"/>
      <c r="AEC49" s="212"/>
      <c r="AED49" s="212"/>
      <c r="AEE49" s="212"/>
      <c r="AEF49" s="212"/>
      <c r="AEG49" s="212"/>
      <c r="AEH49" s="212"/>
      <c r="AEI49" s="212"/>
      <c r="AEJ49" s="212"/>
      <c r="AEK49" s="212"/>
      <c r="AEL49" s="212"/>
      <c r="AEM49" s="212"/>
      <c r="AEN49" s="212"/>
      <c r="AEO49" s="212"/>
      <c r="AEP49" s="212"/>
      <c r="AEQ49" s="212"/>
      <c r="AER49" s="212"/>
      <c r="AES49" s="212"/>
      <c r="AET49" s="212"/>
      <c r="AEU49" s="212"/>
      <c r="AEV49" s="212"/>
      <c r="AEW49" s="212"/>
      <c r="AEX49" s="212"/>
      <c r="AEY49" s="212"/>
      <c r="AEZ49" s="212"/>
      <c r="AFA49" s="212"/>
      <c r="AFB49" s="212"/>
      <c r="AFC49" s="212"/>
      <c r="AFD49" s="212"/>
      <c r="AFE49" s="212"/>
      <c r="AFF49" s="212"/>
      <c r="AFG49" s="212"/>
      <c r="AFH49" s="212"/>
      <c r="AFI49" s="212"/>
      <c r="AFJ49" s="212"/>
      <c r="AFK49" s="212"/>
      <c r="AFL49" s="212"/>
      <c r="AFM49" s="212"/>
      <c r="AFN49" s="212"/>
      <c r="AFO49" s="212"/>
      <c r="AFP49" s="212"/>
      <c r="AFQ49" s="212"/>
      <c r="AFR49" s="212"/>
      <c r="AFS49" s="212"/>
      <c r="AFT49" s="212"/>
      <c r="AFU49" s="212"/>
      <c r="AFV49" s="212"/>
      <c r="AFW49" s="212"/>
      <c r="AFX49" s="212"/>
      <c r="AFY49" s="212"/>
      <c r="AFZ49" s="212"/>
      <c r="AGA49" s="212"/>
      <c r="AGB49" s="212"/>
      <c r="AGC49" s="212"/>
      <c r="AGD49" s="212"/>
      <c r="AGE49" s="212"/>
      <c r="AGF49" s="212"/>
      <c r="AGG49" s="212"/>
      <c r="AGH49" s="212"/>
      <c r="AGI49" s="212"/>
      <c r="AGJ49" s="212"/>
      <c r="AGK49" s="212"/>
      <c r="AGL49" s="212"/>
      <c r="AGM49" s="212"/>
      <c r="AGN49" s="212"/>
      <c r="AGO49" s="212"/>
      <c r="AGP49" s="212"/>
      <c r="AGQ49" s="212"/>
      <c r="AGR49" s="212"/>
      <c r="AGS49" s="212"/>
      <c r="AGT49" s="212"/>
      <c r="AGU49" s="212"/>
      <c r="AGV49" s="212"/>
      <c r="AGW49" s="212"/>
      <c r="AGX49" s="212"/>
      <c r="AGY49" s="212"/>
      <c r="AGZ49" s="212"/>
      <c r="AHA49" s="212"/>
      <c r="AHB49" s="212"/>
      <c r="AHC49" s="212"/>
      <c r="AHD49" s="212"/>
      <c r="AHE49" s="212"/>
      <c r="AHF49" s="212"/>
      <c r="AHG49" s="212"/>
      <c r="AHH49" s="212"/>
      <c r="AHI49" s="212"/>
      <c r="AHJ49" s="212"/>
      <c r="AHK49" s="212"/>
      <c r="AHL49" s="212"/>
      <c r="AHM49" s="212"/>
      <c r="AHN49" s="212"/>
      <c r="AHO49" s="212"/>
      <c r="AHP49" s="212"/>
      <c r="AHQ49" s="212"/>
      <c r="AHR49" s="212"/>
      <c r="AHS49" s="212"/>
      <c r="AHT49" s="212"/>
      <c r="AHU49" s="212"/>
      <c r="AHV49" s="212"/>
      <c r="AHW49" s="212"/>
      <c r="AHX49" s="212"/>
      <c r="AHY49" s="212"/>
      <c r="AHZ49" s="212"/>
      <c r="AIA49" s="212"/>
      <c r="AIB49" s="212"/>
      <c r="AIC49" s="212"/>
      <c r="AID49" s="212"/>
      <c r="AIE49" s="212"/>
      <c r="AIF49" s="212"/>
      <c r="AIG49" s="212"/>
      <c r="AIH49" s="212"/>
      <c r="AII49" s="212"/>
      <c r="AIJ49" s="212"/>
      <c r="AIK49" s="212"/>
      <c r="AIL49" s="212"/>
      <c r="AIM49" s="212"/>
      <c r="AIN49" s="212"/>
      <c r="AIO49" s="212"/>
      <c r="AIP49" s="212"/>
      <c r="AIQ49" s="212"/>
      <c r="AIR49" s="212"/>
      <c r="AIS49" s="212"/>
      <c r="AIT49" s="212"/>
      <c r="AIU49" s="212"/>
      <c r="AIV49" s="212"/>
      <c r="AIW49" s="212"/>
      <c r="AIX49" s="212"/>
      <c r="AIY49" s="212"/>
      <c r="AIZ49" s="212"/>
      <c r="AJA49" s="212"/>
      <c r="AJB49" s="212"/>
      <c r="AJC49" s="212"/>
      <c r="AJD49" s="212"/>
      <c r="AJE49" s="212"/>
      <c r="AJF49" s="212"/>
      <c r="AJG49" s="212"/>
      <c r="AJH49" s="212"/>
      <c r="AJI49" s="212"/>
      <c r="AJJ49" s="212"/>
      <c r="AJK49" s="212"/>
      <c r="AJL49" s="212"/>
      <c r="AJM49" s="212"/>
      <c r="AJN49" s="212"/>
      <c r="AJO49" s="212"/>
      <c r="AJP49" s="212"/>
      <c r="AJQ49" s="212"/>
      <c r="AJR49" s="212"/>
      <c r="AJS49" s="212"/>
      <c r="AJT49" s="212"/>
      <c r="AJU49" s="212"/>
      <c r="AJV49" s="212"/>
      <c r="AJW49" s="212"/>
      <c r="AJX49" s="212"/>
      <c r="AJY49" s="212"/>
      <c r="AJZ49" s="212"/>
      <c r="AKA49" s="212"/>
      <c r="AKB49" s="212"/>
      <c r="AKC49" s="212"/>
      <c r="AKD49" s="212"/>
      <c r="AKE49" s="212"/>
      <c r="AKF49" s="212"/>
      <c r="AKG49" s="212"/>
      <c r="AKH49" s="212"/>
      <c r="AKI49" s="212"/>
      <c r="AKJ49" s="212"/>
      <c r="AKK49" s="212"/>
      <c r="AKL49" s="212"/>
      <c r="AKM49" s="212"/>
      <c r="AKN49" s="212"/>
      <c r="AKO49" s="212"/>
      <c r="AKP49" s="212"/>
      <c r="AKQ49" s="212"/>
      <c r="AKR49" s="212"/>
      <c r="AKS49" s="212"/>
      <c r="AKT49" s="212"/>
      <c r="AKU49" s="212"/>
      <c r="AKV49" s="212"/>
      <c r="AKW49" s="212"/>
      <c r="AKX49" s="212"/>
      <c r="AKY49" s="212"/>
      <c r="AKZ49" s="212"/>
      <c r="ALA49" s="212"/>
      <c r="ALB49" s="212"/>
      <c r="ALC49" s="212"/>
      <c r="ALD49" s="212"/>
      <c r="ALE49" s="212"/>
      <c r="ALF49" s="212"/>
      <c r="ALG49" s="212"/>
      <c r="ALH49" s="212"/>
      <c r="ALI49" s="212"/>
      <c r="ALJ49" s="212"/>
      <c r="ALK49" s="212"/>
      <c r="ALL49" s="212"/>
      <c r="ALM49" s="212"/>
      <c r="ALN49" s="212"/>
      <c r="ALO49" s="212"/>
      <c r="ALP49" s="212"/>
      <c r="ALQ49" s="212"/>
      <c r="ALR49" s="212"/>
      <c r="ALS49" s="212"/>
      <c r="ALT49" s="212"/>
      <c r="ALU49" s="212"/>
      <c r="ALV49" s="212"/>
      <c r="ALW49" s="212"/>
      <c r="ALX49" s="212"/>
      <c r="ALY49" s="212"/>
      <c r="ALZ49" s="212"/>
      <c r="AMA49" s="212"/>
      <c r="AMB49" s="212"/>
      <c r="AMC49" s="212"/>
      <c r="AMD49" s="212"/>
      <c r="AME49" s="212"/>
      <c r="AMF49" s="212"/>
      <c r="AMG49" s="212"/>
      <c r="AMH49" s="212"/>
      <c r="AMI49" s="212"/>
      <c r="AMJ49" s="212"/>
      <c r="AMK49" s="212"/>
      <c r="AML49" s="212"/>
      <c r="AMM49" s="212"/>
      <c r="AMN49" s="212"/>
      <c r="AMO49" s="212"/>
      <c r="AMP49" s="212"/>
      <c r="AMQ49" s="212"/>
      <c r="AMR49" s="212"/>
      <c r="AMS49" s="212"/>
      <c r="AMT49" s="212"/>
      <c r="AMU49" s="212"/>
      <c r="AMV49" s="212"/>
      <c r="AMW49" s="212"/>
      <c r="AMX49" s="212"/>
      <c r="AMY49" s="212"/>
      <c r="AMZ49" s="212"/>
      <c r="ANA49" s="212"/>
      <c r="ANB49" s="212"/>
      <c r="ANC49" s="212"/>
      <c r="AND49" s="212"/>
      <c r="ANE49" s="212"/>
      <c r="ANF49" s="212"/>
      <c r="ANG49" s="212"/>
      <c r="ANH49" s="212"/>
      <c r="ANI49" s="212"/>
      <c r="ANJ49" s="212"/>
      <c r="ANK49" s="212"/>
      <c r="ANL49" s="212"/>
      <c r="ANM49" s="212"/>
      <c r="ANN49" s="212"/>
      <c r="ANO49" s="212"/>
      <c r="ANP49" s="212"/>
      <c r="ANQ49" s="212"/>
      <c r="ANR49" s="212"/>
      <c r="ANS49" s="212"/>
      <c r="ANT49" s="212"/>
      <c r="ANU49" s="212"/>
      <c r="ANV49" s="212"/>
      <c r="ANW49" s="212"/>
      <c r="ANX49" s="212"/>
      <c r="ANY49" s="212"/>
      <c r="ANZ49" s="212"/>
      <c r="AOA49" s="212"/>
      <c r="AOB49" s="212"/>
      <c r="AOC49" s="212"/>
      <c r="AOD49" s="212"/>
      <c r="AOE49" s="212"/>
      <c r="AOF49" s="212"/>
      <c r="AOG49" s="212"/>
      <c r="AOH49" s="212"/>
      <c r="AOI49" s="212"/>
      <c r="AOJ49" s="212"/>
      <c r="AOK49" s="212"/>
      <c r="AOL49" s="212"/>
      <c r="AOM49" s="212"/>
      <c r="AON49" s="212"/>
      <c r="AOO49" s="212"/>
      <c r="AOP49" s="212"/>
      <c r="AOQ49" s="212"/>
      <c r="AOR49" s="212"/>
      <c r="AOS49" s="212"/>
      <c r="AOT49" s="212"/>
      <c r="AOU49" s="212"/>
      <c r="AOV49" s="212"/>
      <c r="AOW49" s="212"/>
      <c r="AOX49" s="212"/>
      <c r="AOY49" s="212"/>
      <c r="AOZ49" s="212"/>
      <c r="APA49" s="212"/>
      <c r="APB49" s="212"/>
      <c r="APC49" s="212"/>
      <c r="APD49" s="212"/>
      <c r="APE49" s="212"/>
      <c r="APF49" s="212"/>
      <c r="APG49" s="212"/>
      <c r="APH49" s="212"/>
      <c r="API49" s="212"/>
      <c r="APJ49" s="212"/>
      <c r="APK49" s="212"/>
      <c r="APL49" s="212"/>
      <c r="APM49" s="212"/>
      <c r="APN49" s="212"/>
      <c r="APO49" s="212"/>
      <c r="APP49" s="212"/>
      <c r="APQ49" s="212"/>
      <c r="APR49" s="212"/>
      <c r="APS49" s="212"/>
      <c r="APT49" s="212"/>
      <c r="APU49" s="212"/>
      <c r="APV49" s="212"/>
      <c r="APW49" s="212"/>
      <c r="APX49" s="212"/>
      <c r="APY49" s="212"/>
      <c r="APZ49" s="212"/>
      <c r="AQA49" s="212"/>
      <c r="AQB49" s="212"/>
      <c r="AQC49" s="212"/>
      <c r="AQD49" s="212"/>
      <c r="AQE49" s="212"/>
      <c r="AQF49" s="212"/>
      <c r="AQG49" s="212"/>
      <c r="AQH49" s="212"/>
      <c r="AQI49" s="212"/>
      <c r="AQJ49" s="212"/>
      <c r="AQK49" s="212"/>
      <c r="AQL49" s="212"/>
      <c r="AQM49" s="212"/>
      <c r="AQN49" s="212"/>
      <c r="AQO49" s="212"/>
      <c r="AQP49" s="212"/>
      <c r="AQQ49" s="212"/>
      <c r="AQR49" s="212"/>
      <c r="AQS49" s="212"/>
      <c r="AQT49" s="212"/>
      <c r="AQU49" s="212"/>
      <c r="AQV49" s="212"/>
      <c r="AQW49" s="212"/>
      <c r="AQX49" s="212"/>
      <c r="AQY49" s="212"/>
      <c r="AQZ49" s="212"/>
      <c r="ARA49" s="212"/>
      <c r="ARB49" s="212"/>
      <c r="ARC49" s="212"/>
      <c r="ARD49" s="212"/>
      <c r="ARE49" s="212"/>
      <c r="ARF49" s="212"/>
      <c r="ARG49" s="212"/>
      <c r="ARH49" s="212"/>
      <c r="ARI49" s="212"/>
      <c r="ARJ49" s="212"/>
      <c r="ARK49" s="212"/>
      <c r="ARL49" s="212"/>
      <c r="ARM49" s="212"/>
      <c r="ARN49" s="212"/>
      <c r="ARO49" s="212"/>
      <c r="ARP49" s="212"/>
      <c r="ARQ49" s="212"/>
      <c r="ARR49" s="212"/>
      <c r="ARS49" s="212"/>
      <c r="ART49" s="212"/>
      <c r="ARU49" s="212"/>
      <c r="ARV49" s="212"/>
      <c r="ARW49" s="212"/>
      <c r="ARX49" s="212"/>
      <c r="ARY49" s="212"/>
      <c r="ARZ49" s="212"/>
      <c r="ASA49" s="212"/>
      <c r="ASB49" s="212"/>
      <c r="ASC49" s="212"/>
      <c r="ASD49" s="212"/>
      <c r="ASE49" s="212"/>
      <c r="ASF49" s="212"/>
      <c r="ASG49" s="212"/>
      <c r="ASH49" s="212"/>
      <c r="ASI49" s="212"/>
      <c r="ASJ49" s="212"/>
      <c r="ASK49" s="212"/>
      <c r="ASL49" s="212"/>
      <c r="ASM49" s="212"/>
      <c r="ASN49" s="212"/>
      <c r="ASO49" s="212"/>
      <c r="ASP49" s="212"/>
      <c r="ASQ49" s="212"/>
      <c r="ASR49" s="212"/>
      <c r="ASS49" s="212"/>
      <c r="AST49" s="212"/>
      <c r="ASU49" s="212"/>
      <c r="ASV49" s="212"/>
      <c r="ASW49" s="212"/>
      <c r="ASX49" s="212"/>
      <c r="ASY49" s="212"/>
      <c r="ASZ49" s="212"/>
      <c r="ATA49" s="212"/>
      <c r="ATB49" s="212"/>
      <c r="ATC49" s="212"/>
      <c r="ATD49" s="212"/>
      <c r="ATE49" s="212"/>
      <c r="ATF49" s="212"/>
      <c r="ATG49" s="212"/>
      <c r="ATH49" s="212"/>
      <c r="ATI49" s="212"/>
      <c r="ATJ49" s="212"/>
      <c r="ATK49" s="212"/>
      <c r="ATL49" s="212"/>
      <c r="ATM49" s="212"/>
      <c r="ATN49" s="212"/>
      <c r="ATO49" s="212"/>
      <c r="ATP49" s="212"/>
      <c r="ATQ49" s="212"/>
      <c r="ATR49" s="212"/>
      <c r="ATS49" s="212"/>
      <c r="ATT49" s="212"/>
      <c r="ATU49" s="212"/>
      <c r="ATV49" s="212"/>
      <c r="ATW49" s="212"/>
      <c r="ATX49" s="212"/>
      <c r="ATY49" s="212"/>
      <c r="ATZ49" s="212"/>
      <c r="AUA49" s="212"/>
      <c r="AUB49" s="212"/>
      <c r="AUC49" s="212"/>
      <c r="AUD49" s="212"/>
      <c r="AUE49" s="212"/>
      <c r="AUF49" s="212"/>
      <c r="AUG49" s="212"/>
      <c r="AUH49" s="212"/>
      <c r="AUI49" s="212"/>
      <c r="AUJ49" s="212"/>
      <c r="AUK49" s="212"/>
      <c r="AUL49" s="212"/>
      <c r="AUM49" s="212"/>
      <c r="AUN49" s="212"/>
      <c r="AUO49" s="212"/>
      <c r="AUP49" s="212"/>
      <c r="AUQ49" s="212"/>
      <c r="AUR49" s="212"/>
      <c r="AUS49" s="212"/>
      <c r="AUT49" s="212"/>
      <c r="AUU49" s="212"/>
      <c r="AUV49" s="212"/>
      <c r="AUW49" s="212"/>
      <c r="AUX49" s="212"/>
      <c r="AUY49" s="212"/>
      <c r="AUZ49" s="212"/>
      <c r="AVA49" s="212"/>
      <c r="AVB49" s="212"/>
      <c r="AVC49" s="212"/>
      <c r="AVD49" s="212"/>
      <c r="AVE49" s="212"/>
      <c r="AVF49" s="212"/>
      <c r="AVG49" s="212"/>
      <c r="AVH49" s="212"/>
      <c r="AVI49" s="212"/>
      <c r="AVJ49" s="212"/>
      <c r="AVK49" s="212"/>
      <c r="AVL49" s="212"/>
      <c r="AVM49" s="212"/>
      <c r="AVN49" s="212"/>
      <c r="AVO49" s="212"/>
      <c r="AVP49" s="212"/>
      <c r="AVQ49" s="212"/>
      <c r="AVR49" s="212"/>
      <c r="AVS49" s="212"/>
      <c r="AVT49" s="212"/>
      <c r="AVU49" s="212"/>
      <c r="AVV49" s="212"/>
      <c r="AVW49" s="212"/>
      <c r="AVX49" s="212"/>
      <c r="AVY49" s="212"/>
      <c r="AVZ49" s="212"/>
      <c r="AWA49" s="212"/>
      <c r="AWB49" s="212"/>
      <c r="AWC49" s="212"/>
      <c r="AWD49" s="212"/>
      <c r="AWE49" s="212"/>
      <c r="AWF49" s="212"/>
      <c r="AWG49" s="212"/>
      <c r="AWH49" s="212"/>
      <c r="AWI49" s="212"/>
      <c r="AWJ49" s="212"/>
      <c r="AWK49" s="212"/>
      <c r="AWL49" s="212"/>
      <c r="AWM49" s="212"/>
      <c r="AWN49" s="212"/>
      <c r="AWO49" s="212"/>
      <c r="AWP49" s="212"/>
      <c r="AWQ49" s="212"/>
      <c r="AWR49" s="212"/>
      <c r="AWS49" s="212"/>
      <c r="AWT49" s="212"/>
      <c r="AWU49" s="212"/>
      <c r="AWV49" s="212"/>
      <c r="AWW49" s="212"/>
      <c r="AWX49" s="212"/>
      <c r="AWY49" s="212"/>
      <c r="AWZ49" s="212"/>
      <c r="AXA49" s="212"/>
      <c r="AXB49" s="212"/>
      <c r="AXC49" s="212"/>
      <c r="AXD49" s="212"/>
      <c r="AXE49" s="212"/>
      <c r="AXF49" s="212"/>
      <c r="AXG49" s="212"/>
      <c r="AXH49" s="212"/>
      <c r="AXI49" s="212"/>
      <c r="AXJ49" s="212"/>
      <c r="AXK49" s="212"/>
      <c r="AXL49" s="212"/>
      <c r="AXM49" s="212"/>
      <c r="AXN49" s="212"/>
      <c r="AXO49" s="212"/>
      <c r="AXP49" s="212"/>
      <c r="AXQ49" s="212"/>
      <c r="AXR49" s="212"/>
      <c r="AXS49" s="212"/>
      <c r="AXT49" s="212"/>
      <c r="AXU49" s="212"/>
      <c r="AXV49" s="212"/>
      <c r="AXW49" s="212"/>
      <c r="AXX49" s="212"/>
      <c r="AXY49" s="212"/>
      <c r="AXZ49" s="212"/>
      <c r="AYA49" s="212"/>
      <c r="AYB49" s="212"/>
      <c r="AYC49" s="212"/>
      <c r="AYD49" s="212"/>
      <c r="AYE49" s="212"/>
      <c r="AYF49" s="212"/>
      <c r="AYG49" s="212"/>
      <c r="AYH49" s="212"/>
      <c r="AYI49" s="212"/>
      <c r="AYJ49" s="212"/>
      <c r="AYK49" s="212"/>
      <c r="AYL49" s="212"/>
      <c r="AYM49" s="212"/>
      <c r="AYN49" s="212"/>
      <c r="AYO49" s="212"/>
      <c r="AYP49" s="212"/>
      <c r="AYQ49" s="212"/>
      <c r="AYR49" s="212"/>
      <c r="AYS49" s="212"/>
      <c r="AYT49" s="212"/>
      <c r="AYU49" s="212"/>
      <c r="AYV49" s="212"/>
      <c r="AYW49" s="212"/>
      <c r="AYX49" s="212"/>
      <c r="AYY49" s="212"/>
      <c r="AYZ49" s="212"/>
      <c r="AZA49" s="212"/>
      <c r="AZB49" s="212"/>
      <c r="AZC49" s="212"/>
      <c r="AZD49" s="212"/>
      <c r="AZE49" s="212"/>
      <c r="AZF49" s="212"/>
      <c r="AZG49" s="212"/>
      <c r="AZH49" s="212"/>
      <c r="AZI49" s="212"/>
      <c r="AZJ49" s="212"/>
      <c r="AZK49" s="212"/>
      <c r="AZL49" s="212"/>
      <c r="AZM49" s="212"/>
      <c r="AZN49" s="212"/>
      <c r="AZO49" s="212"/>
      <c r="AZP49" s="212"/>
      <c r="AZQ49" s="212"/>
      <c r="AZR49" s="212"/>
      <c r="AZS49" s="212"/>
      <c r="AZT49" s="212"/>
      <c r="AZU49" s="212"/>
      <c r="AZV49" s="212"/>
      <c r="AZW49" s="212"/>
      <c r="AZX49" s="212"/>
      <c r="AZY49" s="212"/>
      <c r="AZZ49" s="212"/>
      <c r="BAA49" s="212"/>
      <c r="BAB49" s="212"/>
      <c r="BAC49" s="212"/>
      <c r="BAD49" s="212"/>
      <c r="BAE49" s="212"/>
      <c r="BAF49" s="212"/>
      <c r="BAG49" s="212"/>
      <c r="BAH49" s="212"/>
      <c r="BAI49" s="212"/>
      <c r="BAJ49" s="212"/>
      <c r="BAK49" s="212"/>
      <c r="BAL49" s="212"/>
      <c r="BAM49" s="212"/>
      <c r="BAN49" s="212"/>
      <c r="BAO49" s="212"/>
      <c r="BAP49" s="212"/>
      <c r="BAQ49" s="212"/>
      <c r="BAR49" s="212"/>
      <c r="BAS49" s="212"/>
      <c r="BAT49" s="212"/>
      <c r="BAU49" s="212"/>
      <c r="BAV49" s="212"/>
      <c r="BAW49" s="212"/>
      <c r="BAX49" s="212"/>
      <c r="BAY49" s="212"/>
      <c r="BAZ49" s="212"/>
      <c r="BBA49" s="212"/>
      <c r="BBB49" s="212"/>
      <c r="BBC49" s="212"/>
      <c r="BBD49" s="212"/>
      <c r="BBE49" s="212"/>
      <c r="BBF49" s="212"/>
      <c r="BBG49" s="212"/>
      <c r="BBH49" s="212"/>
      <c r="BBI49" s="212"/>
      <c r="BBJ49" s="212"/>
      <c r="BBK49" s="212"/>
      <c r="BBL49" s="212"/>
      <c r="BBM49" s="212"/>
      <c r="BBN49" s="212"/>
      <c r="BBO49" s="212"/>
      <c r="BBP49" s="212"/>
      <c r="BBQ49" s="212"/>
      <c r="BBR49" s="212"/>
      <c r="BBS49" s="212"/>
      <c r="BBT49" s="212"/>
      <c r="BBU49" s="212"/>
      <c r="BBV49" s="212"/>
      <c r="BBW49" s="212"/>
      <c r="BBX49" s="212"/>
      <c r="BBY49" s="212"/>
      <c r="BBZ49" s="212"/>
      <c r="BCA49" s="212"/>
      <c r="BCB49" s="212"/>
      <c r="BCC49" s="212"/>
      <c r="BCD49" s="212"/>
      <c r="BCE49" s="212"/>
      <c r="BCF49" s="212"/>
      <c r="BCG49" s="212"/>
      <c r="BCH49" s="212"/>
      <c r="BCI49" s="212"/>
      <c r="BCJ49" s="212"/>
      <c r="BCK49" s="212"/>
      <c r="BCL49" s="212"/>
      <c r="BCM49" s="212"/>
      <c r="BCN49" s="212"/>
      <c r="BCO49" s="212"/>
      <c r="BCP49" s="212"/>
      <c r="BCQ49" s="212"/>
      <c r="BCR49" s="212"/>
      <c r="BCS49" s="212"/>
      <c r="BCT49" s="212"/>
      <c r="BCU49" s="212"/>
      <c r="BCV49" s="212"/>
      <c r="BCW49" s="212"/>
      <c r="BCX49" s="212"/>
      <c r="BCY49" s="212"/>
      <c r="BCZ49" s="212"/>
      <c r="BDA49" s="212"/>
      <c r="BDB49" s="212"/>
      <c r="BDC49" s="212"/>
      <c r="BDD49" s="212"/>
      <c r="BDE49" s="212"/>
      <c r="BDF49" s="212"/>
      <c r="BDG49" s="212"/>
      <c r="BDH49" s="212"/>
      <c r="BDI49" s="212"/>
      <c r="BDJ49" s="212"/>
      <c r="BDK49" s="212"/>
      <c r="BDL49" s="212"/>
      <c r="BDM49" s="212"/>
      <c r="BDN49" s="212"/>
      <c r="BDO49" s="212"/>
      <c r="BDP49" s="212"/>
      <c r="BDQ49" s="212"/>
      <c r="BDR49" s="212"/>
      <c r="BDS49" s="212"/>
      <c r="BDT49" s="212"/>
      <c r="BDU49" s="212"/>
      <c r="BDV49" s="212"/>
      <c r="BDW49" s="212"/>
      <c r="BDX49" s="212"/>
      <c r="BDY49" s="212"/>
      <c r="BDZ49" s="212"/>
      <c r="BEA49" s="212"/>
      <c r="BEB49" s="212"/>
      <c r="BEC49" s="212"/>
      <c r="BED49" s="212"/>
      <c r="BEE49" s="212"/>
      <c r="BEF49" s="212"/>
      <c r="BEG49" s="212"/>
      <c r="BEH49" s="212"/>
      <c r="BEI49" s="212"/>
      <c r="BEJ49" s="212"/>
      <c r="BEK49" s="212"/>
      <c r="BEL49" s="212"/>
      <c r="BEM49" s="212"/>
      <c r="BEN49" s="212"/>
      <c r="BEO49" s="212"/>
      <c r="BEP49" s="212"/>
      <c r="BEQ49" s="212"/>
      <c r="BER49" s="212"/>
      <c r="BES49" s="212"/>
      <c r="BET49" s="212"/>
      <c r="BEU49" s="212"/>
      <c r="BEV49" s="212"/>
      <c r="BEW49" s="212"/>
      <c r="BEX49" s="212"/>
      <c r="BEY49" s="212"/>
      <c r="BEZ49" s="212"/>
      <c r="BFA49" s="212"/>
      <c r="BFB49" s="212"/>
      <c r="BFC49" s="212"/>
      <c r="BFD49" s="212"/>
      <c r="BFE49" s="212"/>
      <c r="BFF49" s="212"/>
      <c r="BFG49" s="212"/>
      <c r="BFH49" s="212"/>
      <c r="BFI49" s="212"/>
      <c r="BFJ49" s="212"/>
      <c r="BFK49" s="212"/>
      <c r="BFL49" s="212"/>
      <c r="BFM49" s="212"/>
      <c r="BFN49" s="212"/>
      <c r="BFO49" s="212"/>
      <c r="BFP49" s="212"/>
      <c r="BFQ49" s="212"/>
      <c r="BFR49" s="212"/>
      <c r="BFS49" s="212"/>
      <c r="BFT49" s="212"/>
      <c r="BFU49" s="212"/>
      <c r="BFV49" s="212"/>
      <c r="BFW49" s="212"/>
      <c r="BFX49" s="212"/>
      <c r="BFY49" s="212"/>
      <c r="BFZ49" s="212"/>
      <c r="BGA49" s="212"/>
      <c r="BGB49" s="212"/>
      <c r="BGC49" s="212"/>
      <c r="BGD49" s="212"/>
      <c r="BGE49" s="212"/>
      <c r="BGF49" s="212"/>
      <c r="BGG49" s="212"/>
      <c r="BGH49" s="212"/>
      <c r="BGI49" s="212"/>
      <c r="BGJ49" s="212"/>
      <c r="BGK49" s="212"/>
      <c r="BGL49" s="212"/>
      <c r="BGM49" s="212"/>
      <c r="BGN49" s="212"/>
      <c r="BGO49" s="212"/>
      <c r="BGP49" s="212"/>
      <c r="BGQ49" s="212"/>
      <c r="BGR49" s="212"/>
      <c r="BGS49" s="212"/>
      <c r="BGT49" s="212"/>
      <c r="BGU49" s="212"/>
      <c r="BGV49" s="212"/>
      <c r="BGW49" s="212"/>
      <c r="BGX49" s="212"/>
      <c r="BGY49" s="212"/>
      <c r="BGZ49" s="212"/>
      <c r="BHA49" s="212"/>
      <c r="BHB49" s="212"/>
      <c r="BHC49" s="212"/>
      <c r="BHD49" s="212"/>
      <c r="BHE49" s="212"/>
      <c r="BHF49" s="212"/>
      <c r="BHG49" s="212"/>
      <c r="BHH49" s="212"/>
      <c r="BHI49" s="212"/>
      <c r="BHJ49" s="212"/>
      <c r="BHK49" s="212"/>
      <c r="BHL49" s="212"/>
      <c r="BHM49" s="212"/>
      <c r="BHN49" s="212"/>
      <c r="BHO49" s="212"/>
      <c r="BHP49" s="212"/>
      <c r="BHQ49" s="212"/>
      <c r="BHR49" s="212"/>
      <c r="BHS49" s="212"/>
      <c r="BHT49" s="212"/>
      <c r="BHU49" s="212"/>
      <c r="BHV49" s="212"/>
      <c r="BHW49" s="212"/>
      <c r="BHX49" s="212"/>
      <c r="BHY49" s="212"/>
      <c r="BHZ49" s="212"/>
      <c r="BIA49" s="212"/>
      <c r="BIB49" s="212"/>
      <c r="BIC49" s="212"/>
      <c r="BID49" s="212"/>
      <c r="BIE49" s="212"/>
      <c r="BIF49" s="212"/>
      <c r="BIG49" s="212"/>
      <c r="BIH49" s="212"/>
      <c r="BII49" s="212"/>
      <c r="BIJ49" s="212"/>
      <c r="BIK49" s="212"/>
      <c r="BIL49" s="212"/>
      <c r="BIM49" s="212"/>
      <c r="BIN49" s="212"/>
      <c r="BIO49" s="212"/>
      <c r="BIP49" s="212"/>
      <c r="BIQ49" s="212"/>
      <c r="BIR49" s="212"/>
      <c r="BIS49" s="212"/>
      <c r="BIT49" s="212"/>
      <c r="BIU49" s="212"/>
      <c r="BIV49" s="212"/>
      <c r="BIW49" s="212"/>
      <c r="BIX49" s="212"/>
      <c r="BIY49" s="212"/>
      <c r="BIZ49" s="212"/>
      <c r="BJA49" s="212"/>
      <c r="BJB49" s="212"/>
      <c r="BJC49" s="212"/>
      <c r="BJD49" s="212"/>
      <c r="BJE49" s="212"/>
      <c r="BJF49" s="212"/>
      <c r="BJG49" s="212"/>
      <c r="BJH49" s="212"/>
      <c r="BJI49" s="212"/>
      <c r="BJJ49" s="212"/>
      <c r="BJK49" s="212"/>
      <c r="BJL49" s="212"/>
      <c r="BJM49" s="212"/>
      <c r="BJN49" s="212"/>
      <c r="BJO49" s="212"/>
      <c r="BJP49" s="212"/>
      <c r="BJQ49" s="212"/>
      <c r="BJR49" s="212"/>
      <c r="BJS49" s="212"/>
      <c r="BJT49" s="212"/>
      <c r="BJU49" s="212"/>
      <c r="BJV49" s="212"/>
      <c r="BJW49" s="212"/>
      <c r="BJX49" s="212"/>
      <c r="BJY49" s="212"/>
      <c r="BJZ49" s="212"/>
      <c r="BKA49" s="212"/>
      <c r="BKB49" s="212"/>
      <c r="BKC49" s="212"/>
      <c r="BKD49" s="212"/>
      <c r="BKE49" s="212"/>
      <c r="BKF49" s="212"/>
      <c r="BKG49" s="212"/>
      <c r="BKH49" s="212"/>
      <c r="BKI49" s="212"/>
      <c r="BKJ49" s="212"/>
      <c r="BKK49" s="212"/>
      <c r="BKL49" s="212"/>
      <c r="BKM49" s="212"/>
      <c r="BKN49" s="212"/>
      <c r="BKO49" s="212"/>
      <c r="BKP49" s="212"/>
      <c r="BKQ49" s="212"/>
      <c r="BKR49" s="212"/>
      <c r="BKS49" s="212"/>
      <c r="BKT49" s="212"/>
      <c r="BKU49" s="212"/>
      <c r="BKV49" s="212"/>
      <c r="BKW49" s="212"/>
      <c r="BKX49" s="212"/>
      <c r="BKY49" s="212"/>
      <c r="BKZ49" s="212"/>
      <c r="BLA49" s="212"/>
      <c r="BLB49" s="212"/>
      <c r="BLC49" s="212"/>
      <c r="BLD49" s="212"/>
      <c r="BLE49" s="212"/>
      <c r="BLF49" s="212"/>
      <c r="BLG49" s="212"/>
      <c r="BLH49" s="212"/>
      <c r="BLI49" s="212"/>
      <c r="BLJ49" s="212"/>
      <c r="BLK49" s="212"/>
      <c r="BLL49" s="212"/>
      <c r="BLM49" s="212"/>
      <c r="BLN49" s="212"/>
      <c r="BLO49" s="212"/>
      <c r="BLP49" s="212"/>
      <c r="BLQ49" s="212"/>
      <c r="BLR49" s="212"/>
      <c r="BLS49" s="212"/>
      <c r="BLT49" s="212"/>
      <c r="BLU49" s="212"/>
      <c r="BLV49" s="212"/>
      <c r="BLW49" s="212"/>
      <c r="BLX49" s="212"/>
      <c r="BLY49" s="212"/>
      <c r="BLZ49" s="212"/>
      <c r="BMA49" s="212"/>
      <c r="BMB49" s="212"/>
      <c r="BMC49" s="212"/>
      <c r="BMD49" s="212"/>
      <c r="BME49" s="212"/>
      <c r="BMF49" s="212"/>
      <c r="BMG49" s="212"/>
      <c r="BMH49" s="212"/>
      <c r="BMI49" s="212"/>
      <c r="BMJ49" s="212"/>
      <c r="BMK49" s="212"/>
      <c r="BML49" s="212"/>
      <c r="BMM49" s="212"/>
      <c r="BMN49" s="212"/>
      <c r="BMO49" s="212"/>
      <c r="BMP49" s="212"/>
      <c r="BMQ49" s="212"/>
      <c r="BMR49" s="212"/>
      <c r="BMS49" s="212"/>
      <c r="BMT49" s="212"/>
      <c r="BMU49" s="212"/>
      <c r="BMV49" s="212"/>
      <c r="BMW49" s="212"/>
      <c r="BMX49" s="212"/>
      <c r="BMY49" s="212"/>
      <c r="BMZ49" s="212"/>
      <c r="BNA49" s="212"/>
      <c r="BNB49" s="212"/>
      <c r="BNC49" s="212"/>
      <c r="BND49" s="212"/>
      <c r="BNE49" s="212"/>
      <c r="BNF49" s="212"/>
      <c r="BNG49" s="212"/>
      <c r="BNH49" s="212"/>
      <c r="BNI49" s="212"/>
      <c r="BNJ49" s="212"/>
      <c r="BNK49" s="212"/>
      <c r="BNL49" s="212"/>
      <c r="BNM49" s="212"/>
      <c r="BNN49" s="212"/>
      <c r="BNO49" s="212"/>
      <c r="BNP49" s="212"/>
      <c r="BNQ49" s="212"/>
      <c r="BNR49" s="212"/>
      <c r="BNS49" s="212"/>
      <c r="BNT49" s="212"/>
      <c r="BNU49" s="212"/>
      <c r="BNV49" s="212"/>
      <c r="BNW49" s="212"/>
      <c r="BNX49" s="212"/>
      <c r="BNY49" s="212"/>
      <c r="BNZ49" s="212"/>
      <c r="BOA49" s="212"/>
      <c r="BOB49" s="212"/>
      <c r="BOC49" s="212"/>
      <c r="BOD49" s="212"/>
      <c r="BOE49" s="212"/>
      <c r="BOF49" s="212"/>
      <c r="BOG49" s="212"/>
      <c r="BOH49" s="212"/>
      <c r="BOI49" s="212"/>
      <c r="BOJ49" s="212"/>
      <c r="BOK49" s="212"/>
      <c r="BOL49" s="212"/>
      <c r="BOM49" s="212"/>
      <c r="BON49" s="212"/>
      <c r="BOO49" s="212"/>
      <c r="BOP49" s="212"/>
      <c r="BOQ49" s="212"/>
      <c r="BOR49" s="212"/>
      <c r="BOS49" s="212"/>
      <c r="BOT49" s="212"/>
      <c r="BOU49" s="212"/>
      <c r="BOV49" s="212"/>
      <c r="BOW49" s="212"/>
      <c r="BOX49" s="212"/>
      <c r="BOY49" s="212"/>
      <c r="BOZ49" s="212"/>
      <c r="BPA49" s="212"/>
      <c r="BPB49" s="212"/>
      <c r="BPC49" s="212"/>
      <c r="BPD49" s="212"/>
      <c r="BPE49" s="212"/>
      <c r="BPF49" s="212"/>
      <c r="BPG49" s="212"/>
      <c r="BPH49" s="212"/>
      <c r="BPI49" s="212"/>
      <c r="BPJ49" s="212"/>
      <c r="BPK49" s="212"/>
      <c r="BPL49" s="212"/>
      <c r="BPM49" s="212"/>
      <c r="BPN49" s="212"/>
      <c r="BPO49" s="212"/>
      <c r="BPP49" s="212"/>
      <c r="BPQ49" s="212"/>
      <c r="BPR49" s="212"/>
      <c r="BPS49" s="212"/>
      <c r="BPT49" s="212"/>
      <c r="BPU49" s="212"/>
      <c r="BPV49" s="212"/>
      <c r="BPW49" s="212"/>
      <c r="BPX49" s="212"/>
      <c r="BPY49" s="212"/>
      <c r="BPZ49" s="212"/>
      <c r="BQA49" s="212"/>
      <c r="BQB49" s="212"/>
      <c r="BQC49" s="212"/>
      <c r="BQD49" s="212"/>
      <c r="BQE49" s="212"/>
      <c r="BQF49" s="212"/>
      <c r="BQG49" s="212"/>
      <c r="BQH49" s="212"/>
      <c r="BQI49" s="212"/>
      <c r="BQJ49" s="212"/>
      <c r="BQK49" s="212"/>
      <c r="BQL49" s="212"/>
      <c r="BQM49" s="212"/>
      <c r="BQN49" s="212"/>
      <c r="BQO49" s="212"/>
      <c r="BQP49" s="212"/>
      <c r="BQQ49" s="212"/>
      <c r="BQR49" s="212"/>
      <c r="BQS49" s="212"/>
      <c r="BQT49" s="212"/>
      <c r="BQU49" s="212"/>
      <c r="BQV49" s="212"/>
      <c r="BQW49" s="212"/>
      <c r="BQX49" s="212"/>
      <c r="BQY49" s="212"/>
      <c r="BQZ49" s="212"/>
      <c r="BRA49" s="212"/>
      <c r="BRB49" s="212"/>
      <c r="BRC49" s="212"/>
      <c r="BRD49" s="212"/>
      <c r="BRE49" s="212"/>
      <c r="BRF49" s="212"/>
      <c r="BRG49" s="212"/>
      <c r="BRH49" s="212"/>
      <c r="BRI49" s="212"/>
      <c r="BRJ49" s="212"/>
      <c r="BRK49" s="212"/>
      <c r="BRL49" s="212"/>
      <c r="BRM49" s="212"/>
      <c r="BRN49" s="212"/>
      <c r="BRO49" s="212"/>
      <c r="BRP49" s="212"/>
      <c r="BRQ49" s="212"/>
      <c r="BRR49" s="212"/>
      <c r="BRS49" s="212"/>
      <c r="BRT49" s="212"/>
      <c r="BRU49" s="212"/>
      <c r="BRV49" s="212"/>
      <c r="BRW49" s="212"/>
      <c r="BRX49" s="212"/>
      <c r="BRY49" s="212"/>
      <c r="BRZ49" s="212"/>
      <c r="BSA49" s="212"/>
      <c r="BSB49" s="212"/>
      <c r="BSC49" s="212"/>
      <c r="BSD49" s="212"/>
      <c r="BSE49" s="212"/>
      <c r="BSF49" s="212"/>
      <c r="BSG49" s="212"/>
      <c r="BSH49" s="212"/>
      <c r="BSI49" s="212"/>
      <c r="BSJ49" s="212"/>
      <c r="BSK49" s="212"/>
      <c r="BSL49" s="212"/>
      <c r="BSM49" s="212"/>
      <c r="BSN49" s="212"/>
      <c r="BSO49" s="212"/>
      <c r="BSP49" s="212"/>
      <c r="BSQ49" s="212"/>
      <c r="BSR49" s="212"/>
      <c r="BSS49" s="212"/>
      <c r="BST49" s="212"/>
      <c r="BSU49" s="212"/>
      <c r="BSV49" s="212"/>
      <c r="BSW49" s="212"/>
      <c r="BSX49" s="212"/>
      <c r="BSY49" s="212"/>
      <c r="BSZ49" s="212"/>
      <c r="BTA49" s="212"/>
      <c r="BTB49" s="212"/>
      <c r="BTC49" s="212"/>
      <c r="BTD49" s="212"/>
      <c r="BTE49" s="212"/>
      <c r="BTF49" s="212"/>
      <c r="BTG49" s="212"/>
      <c r="BTH49" s="212"/>
      <c r="BTI49" s="212"/>
      <c r="BTJ49" s="212"/>
      <c r="BTK49" s="212"/>
      <c r="BTL49" s="212"/>
      <c r="BTM49" s="212"/>
      <c r="BTN49" s="212"/>
      <c r="BTO49" s="212"/>
      <c r="BTP49" s="212"/>
      <c r="BTQ49" s="212"/>
      <c r="BTR49" s="212"/>
      <c r="BTS49" s="212"/>
      <c r="BTT49" s="212"/>
      <c r="BTU49" s="212"/>
      <c r="BTV49" s="212"/>
      <c r="BTW49" s="212"/>
      <c r="BTX49" s="212"/>
      <c r="BTY49" s="212"/>
      <c r="BTZ49" s="212"/>
      <c r="BUA49" s="212"/>
      <c r="BUB49" s="212"/>
      <c r="BUC49" s="212"/>
      <c r="BUD49" s="212"/>
      <c r="BUE49" s="212"/>
      <c r="BUF49" s="212"/>
      <c r="BUG49" s="212"/>
      <c r="BUH49" s="212"/>
      <c r="BUI49" s="212"/>
      <c r="BUJ49" s="212"/>
      <c r="BUK49" s="212"/>
      <c r="BUL49" s="212"/>
      <c r="BUM49" s="212"/>
      <c r="BUN49" s="212"/>
      <c r="BUO49" s="212"/>
      <c r="BUP49" s="212"/>
      <c r="BUQ49" s="212"/>
      <c r="BUR49" s="212"/>
      <c r="BUS49" s="212"/>
      <c r="BUT49" s="212"/>
      <c r="BUU49" s="212"/>
      <c r="BUV49" s="212"/>
      <c r="BUW49" s="212"/>
      <c r="BUX49" s="212"/>
      <c r="BUY49" s="212"/>
      <c r="BUZ49" s="212"/>
      <c r="BVA49" s="212"/>
      <c r="BVB49" s="212"/>
      <c r="BVC49" s="212"/>
      <c r="BVD49" s="212"/>
      <c r="BVE49" s="212"/>
      <c r="BVF49" s="212"/>
      <c r="BVG49" s="212"/>
      <c r="BVH49" s="212"/>
      <c r="BVI49" s="212"/>
      <c r="BVJ49" s="212"/>
      <c r="BVK49" s="212"/>
      <c r="BVL49" s="212"/>
      <c r="BVM49" s="212"/>
      <c r="BVN49" s="212"/>
      <c r="BVO49" s="212"/>
      <c r="BVP49" s="212"/>
      <c r="BVQ49" s="212"/>
      <c r="BVR49" s="212"/>
      <c r="BVS49" s="212"/>
      <c r="BVT49" s="212"/>
      <c r="BVU49" s="212"/>
      <c r="BVV49" s="212"/>
      <c r="BVW49" s="212"/>
      <c r="BVX49" s="212"/>
      <c r="BVY49" s="212"/>
      <c r="BVZ49" s="212"/>
      <c r="BWA49" s="212"/>
      <c r="BWB49" s="212"/>
      <c r="BWC49" s="212"/>
      <c r="BWD49" s="212"/>
      <c r="BWE49" s="212"/>
      <c r="BWF49" s="212"/>
      <c r="BWG49" s="212"/>
      <c r="BWH49" s="212"/>
      <c r="BWI49" s="212"/>
      <c r="BWJ49" s="212"/>
      <c r="BWK49" s="212"/>
      <c r="BWL49" s="212"/>
      <c r="BWM49" s="212"/>
      <c r="BWN49" s="212"/>
      <c r="BWO49" s="212"/>
      <c r="BWP49" s="212"/>
      <c r="BWQ49" s="212"/>
      <c r="BWR49" s="212"/>
      <c r="BWS49" s="212"/>
      <c r="BWT49" s="212"/>
      <c r="BWU49" s="212"/>
      <c r="BWV49" s="212"/>
      <c r="BWW49" s="212"/>
      <c r="BWX49" s="212"/>
      <c r="BWY49" s="212"/>
      <c r="BWZ49" s="212"/>
      <c r="BXA49" s="212"/>
      <c r="BXB49" s="212"/>
      <c r="BXC49" s="212"/>
      <c r="BXD49" s="212"/>
      <c r="BXE49" s="212"/>
      <c r="BXF49" s="212"/>
      <c r="BXG49" s="212"/>
      <c r="BXH49" s="212"/>
      <c r="BXI49" s="212"/>
      <c r="BXJ49" s="212"/>
      <c r="BXK49" s="212"/>
      <c r="BXL49" s="212"/>
      <c r="BXM49" s="212"/>
      <c r="BXN49" s="212"/>
      <c r="BXO49" s="212"/>
      <c r="BXP49" s="212"/>
      <c r="BXQ49" s="212"/>
      <c r="BXR49" s="212"/>
      <c r="BXS49" s="212"/>
      <c r="BXT49" s="212"/>
      <c r="BXU49" s="212"/>
      <c r="BXV49" s="212"/>
      <c r="BXW49" s="212"/>
      <c r="BXX49" s="212"/>
      <c r="BXY49" s="212"/>
      <c r="BXZ49" s="212"/>
      <c r="BYA49" s="212"/>
      <c r="BYB49" s="212"/>
      <c r="BYC49" s="212"/>
      <c r="BYD49" s="212"/>
      <c r="BYE49" s="212"/>
      <c r="BYF49" s="212"/>
      <c r="BYG49" s="212"/>
    </row>
    <row r="50" spans="1:2009" s="96" customFormat="1" ht="12.75" customHeight="1" thickBot="1" x14ac:dyDescent="0.3">
      <c r="A50" s="119"/>
      <c r="B50" s="120"/>
      <c r="C50" s="175"/>
      <c r="D50" s="175"/>
      <c r="E50" s="175"/>
      <c r="F50" s="175"/>
      <c r="G50" s="175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381" t="s">
        <v>203</v>
      </c>
      <c r="B51" s="382"/>
      <c r="C51" s="383"/>
      <c r="D51" s="398"/>
      <c r="E51" s="398"/>
      <c r="F51" s="398"/>
      <c r="G51" s="38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385"/>
      <c r="B52" s="388" t="s">
        <v>261</v>
      </c>
      <c r="C52" s="528">
        <v>2250</v>
      </c>
      <c r="D52" s="528"/>
      <c r="E52" s="528"/>
      <c r="F52" s="528"/>
      <c r="G52" s="390">
        <f>SUM(C52:F52)</f>
        <v>2250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x14ac:dyDescent="0.25">
      <c r="A53" s="386"/>
      <c r="B53" s="389" t="s">
        <v>262</v>
      </c>
      <c r="C53" s="529">
        <f>2442.5-2250</f>
        <v>192.5</v>
      </c>
      <c r="D53" s="529"/>
      <c r="E53" s="529"/>
      <c r="F53" s="529"/>
      <c r="G53" s="391">
        <f>SUM(C53:F53)</f>
        <v>192.5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121" customFormat="1" ht="24.95" customHeight="1" thickBot="1" x14ac:dyDescent="0.3">
      <c r="A54" s="706" t="s">
        <v>204</v>
      </c>
      <c r="B54" s="707"/>
      <c r="C54" s="387">
        <f t="shared" ref="C54" si="2">SUM(C51:C53)</f>
        <v>2442.5</v>
      </c>
      <c r="D54" s="387"/>
      <c r="E54" s="387"/>
      <c r="F54" s="387"/>
      <c r="G54" s="387">
        <f t="shared" ref="G54" si="3">SUM(G51:G53)</f>
        <v>2442.5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5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5"/>
      <c r="LT54" s="95"/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95"/>
      <c r="NI54" s="95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5"/>
      <c r="OZ54" s="95"/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95"/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95"/>
      <c r="SE54" s="95"/>
      <c r="SF54" s="95"/>
      <c r="SG54" s="95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95"/>
      <c r="SS54" s="95"/>
      <c r="ST54" s="95"/>
      <c r="SU54" s="95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95"/>
      <c r="TG54" s="95"/>
      <c r="TH54" s="95"/>
      <c r="TI54" s="95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95"/>
      <c r="TU54" s="95"/>
      <c r="TV54" s="95"/>
      <c r="TW54" s="95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95"/>
      <c r="UI54" s="95"/>
      <c r="UJ54" s="95"/>
      <c r="UK54" s="95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95"/>
      <c r="UW54" s="95"/>
      <c r="UX54" s="95"/>
      <c r="UY54" s="95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95"/>
      <c r="VK54" s="95"/>
      <c r="VL54" s="95"/>
      <c r="VM54" s="95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95"/>
      <c r="VZ54" s="95"/>
      <c r="WA54" s="95"/>
      <c r="WB54" s="95"/>
      <c r="WC54" s="95"/>
      <c r="WD54" s="95"/>
      <c r="WE54" s="95"/>
      <c r="WF54" s="95"/>
      <c r="WG54" s="95"/>
      <c r="WH54" s="95"/>
      <c r="WI54" s="95"/>
      <c r="WJ54" s="95"/>
      <c r="WK54" s="95"/>
      <c r="WL54" s="95"/>
      <c r="WM54" s="95"/>
      <c r="WN54" s="95"/>
      <c r="WO54" s="95"/>
      <c r="WP54" s="95"/>
      <c r="WQ54" s="95"/>
      <c r="WR54" s="95"/>
      <c r="WS54" s="95"/>
      <c r="WT54" s="95"/>
      <c r="WU54" s="95"/>
      <c r="WV54" s="95"/>
      <c r="WW54" s="95"/>
      <c r="WX54" s="95"/>
      <c r="WY54" s="95"/>
      <c r="WZ54" s="95"/>
      <c r="XA54" s="95"/>
      <c r="XB54" s="95"/>
      <c r="XC54" s="95"/>
      <c r="XD54" s="95"/>
      <c r="XE54" s="95"/>
      <c r="XF54" s="95"/>
      <c r="XG54" s="95"/>
      <c r="XH54" s="95"/>
      <c r="XI54" s="95"/>
      <c r="XJ54" s="95"/>
      <c r="XK54" s="95"/>
      <c r="XL54" s="95"/>
      <c r="XM54" s="95"/>
      <c r="XN54" s="95"/>
      <c r="XO54" s="95"/>
      <c r="XP54" s="95"/>
      <c r="XQ54" s="95"/>
      <c r="XR54" s="95"/>
      <c r="XS54" s="95"/>
      <c r="XT54" s="95"/>
      <c r="XU54" s="95"/>
      <c r="XV54" s="95"/>
      <c r="XW54" s="95"/>
      <c r="XX54" s="95"/>
      <c r="XY54" s="95"/>
      <c r="XZ54" s="95"/>
      <c r="YA54" s="95"/>
      <c r="YB54" s="95"/>
      <c r="YC54" s="95"/>
      <c r="YD54" s="95"/>
      <c r="YE54" s="95"/>
      <c r="YF54" s="95"/>
      <c r="YG54" s="95"/>
      <c r="YH54" s="95"/>
      <c r="YI54" s="95"/>
      <c r="YJ54" s="95"/>
      <c r="YK54" s="95"/>
      <c r="YL54" s="95"/>
      <c r="YM54" s="95"/>
      <c r="YN54" s="95"/>
      <c r="YO54" s="95"/>
      <c r="YP54" s="95"/>
      <c r="YQ54" s="95"/>
      <c r="YR54" s="95"/>
      <c r="YS54" s="95"/>
      <c r="YT54" s="95"/>
      <c r="YU54" s="95"/>
      <c r="YV54" s="95"/>
      <c r="YW54" s="95"/>
      <c r="YX54" s="95"/>
      <c r="YY54" s="95"/>
      <c r="YZ54" s="95"/>
      <c r="ZA54" s="95"/>
      <c r="ZB54" s="95"/>
      <c r="ZC54" s="95"/>
      <c r="ZD54" s="95"/>
      <c r="ZE54" s="95"/>
      <c r="ZF54" s="95"/>
      <c r="ZG54" s="95"/>
      <c r="ZH54" s="95"/>
      <c r="ZI54" s="95"/>
      <c r="ZJ54" s="95"/>
      <c r="ZK54" s="95"/>
      <c r="ZL54" s="95"/>
      <c r="ZM54" s="95"/>
      <c r="ZN54" s="95"/>
      <c r="ZO54" s="95"/>
      <c r="ZP54" s="95"/>
      <c r="ZQ54" s="95"/>
      <c r="ZR54" s="95"/>
      <c r="ZS54" s="95"/>
      <c r="ZT54" s="95"/>
      <c r="ZU54" s="95"/>
      <c r="ZV54" s="95"/>
      <c r="ZW54" s="95"/>
      <c r="ZX54" s="95"/>
      <c r="ZY54" s="95"/>
      <c r="ZZ54" s="95"/>
      <c r="AAA54" s="95"/>
      <c r="AAB54" s="95"/>
      <c r="AAC54" s="95"/>
      <c r="AAD54" s="95"/>
      <c r="AAE54" s="95"/>
      <c r="AAF54" s="95"/>
      <c r="AAG54" s="95"/>
      <c r="AAH54" s="95"/>
      <c r="AAI54" s="95"/>
      <c r="AAJ54" s="95"/>
      <c r="AAK54" s="95"/>
      <c r="AAL54" s="95"/>
      <c r="AAM54" s="95"/>
      <c r="AAN54" s="95"/>
      <c r="AAO54" s="95"/>
      <c r="AAP54" s="95"/>
      <c r="AAQ54" s="95"/>
      <c r="AAR54" s="95"/>
      <c r="AAS54" s="95"/>
      <c r="AAT54" s="95"/>
      <c r="AAU54" s="95"/>
      <c r="AAV54" s="95"/>
      <c r="AAW54" s="95"/>
      <c r="AAX54" s="95"/>
      <c r="AAY54" s="95"/>
      <c r="AAZ54" s="95"/>
      <c r="ABA54" s="95"/>
      <c r="ABB54" s="95"/>
      <c r="ABC54" s="95"/>
      <c r="ABD54" s="95"/>
      <c r="ABE54" s="95"/>
      <c r="ABF54" s="95"/>
      <c r="ABG54" s="95"/>
      <c r="ABH54" s="95"/>
      <c r="ABI54" s="95"/>
      <c r="ABJ54" s="95"/>
      <c r="ABK54" s="95"/>
      <c r="ABL54" s="95"/>
      <c r="ABM54" s="95"/>
      <c r="ABN54" s="95"/>
      <c r="ABO54" s="95"/>
      <c r="ABP54" s="95"/>
      <c r="ABQ54" s="95"/>
      <c r="ABR54" s="95"/>
      <c r="ABS54" s="95"/>
      <c r="ABT54" s="95"/>
      <c r="ABU54" s="95"/>
      <c r="ABV54" s="95"/>
      <c r="ABW54" s="95"/>
      <c r="ABX54" s="95"/>
      <c r="ABY54" s="95"/>
      <c r="ABZ54" s="95"/>
      <c r="ACA54" s="95"/>
      <c r="ACB54" s="95"/>
      <c r="ACC54" s="95"/>
      <c r="ACD54" s="95"/>
      <c r="ACE54" s="95"/>
      <c r="ACF54" s="95"/>
      <c r="ACG54" s="95"/>
      <c r="ACH54" s="95"/>
      <c r="ACI54" s="95"/>
      <c r="ACJ54" s="95"/>
      <c r="ACK54" s="95"/>
      <c r="ACL54" s="95"/>
      <c r="ACM54" s="95"/>
      <c r="ACN54" s="95"/>
      <c r="ACO54" s="95"/>
      <c r="ACP54" s="95"/>
      <c r="ACQ54" s="95"/>
      <c r="ACR54" s="95"/>
      <c r="ACS54" s="95"/>
      <c r="ACT54" s="95"/>
      <c r="ACU54" s="95"/>
      <c r="ACV54" s="95"/>
      <c r="ACW54" s="95"/>
      <c r="ACX54" s="95"/>
      <c r="ACY54" s="95"/>
      <c r="ACZ54" s="95"/>
      <c r="ADA54" s="95"/>
      <c r="ADB54" s="95"/>
      <c r="ADC54" s="95"/>
      <c r="ADD54" s="95"/>
      <c r="ADE54" s="95"/>
      <c r="ADF54" s="95"/>
      <c r="ADG54" s="95"/>
      <c r="ADH54" s="95"/>
      <c r="ADI54" s="95"/>
      <c r="ADJ54" s="95"/>
      <c r="ADK54" s="95"/>
      <c r="ADL54" s="95"/>
      <c r="ADM54" s="95"/>
      <c r="ADN54" s="95"/>
      <c r="ADO54" s="95"/>
      <c r="ADP54" s="95"/>
      <c r="ADQ54" s="95"/>
      <c r="ADR54" s="95"/>
      <c r="ADS54" s="95"/>
      <c r="ADT54" s="95"/>
      <c r="ADU54" s="95"/>
      <c r="ADV54" s="95"/>
      <c r="ADW54" s="95"/>
      <c r="ADX54" s="95"/>
      <c r="ADY54" s="95"/>
      <c r="ADZ54" s="95"/>
      <c r="AEA54" s="95"/>
      <c r="AEB54" s="95"/>
      <c r="AEC54" s="95"/>
      <c r="AED54" s="95"/>
      <c r="AEE54" s="95"/>
      <c r="AEF54" s="95"/>
      <c r="AEG54" s="95"/>
      <c r="AEH54" s="95"/>
      <c r="AEI54" s="95"/>
      <c r="AEJ54" s="95"/>
      <c r="AEK54" s="95"/>
      <c r="AEL54" s="95"/>
      <c r="AEM54" s="95"/>
      <c r="AEN54" s="95"/>
      <c r="AEO54" s="95"/>
      <c r="AEP54" s="95"/>
      <c r="AEQ54" s="95"/>
      <c r="AER54" s="95"/>
      <c r="AES54" s="95"/>
      <c r="AET54" s="95"/>
      <c r="AEU54" s="95"/>
      <c r="AEV54" s="95"/>
      <c r="AEW54" s="95"/>
      <c r="AEX54" s="95"/>
      <c r="AEY54" s="95"/>
      <c r="AEZ54" s="95"/>
      <c r="AFA54" s="95"/>
      <c r="AFB54" s="95"/>
      <c r="AFC54" s="95"/>
      <c r="AFD54" s="95"/>
      <c r="AFE54" s="95"/>
      <c r="AFF54" s="95"/>
      <c r="AFG54" s="95"/>
      <c r="AFH54" s="95"/>
      <c r="AFI54" s="95"/>
      <c r="AFJ54" s="95"/>
      <c r="AFK54" s="95"/>
      <c r="AFL54" s="95"/>
      <c r="AFM54" s="95"/>
      <c r="AFN54" s="95"/>
      <c r="AFO54" s="95"/>
      <c r="AFP54" s="95"/>
      <c r="AFQ54" s="95"/>
      <c r="AFR54" s="95"/>
      <c r="AFS54" s="95"/>
      <c r="AFT54" s="95"/>
      <c r="AFU54" s="95"/>
      <c r="AFV54" s="95"/>
      <c r="AFW54" s="95"/>
      <c r="AFX54" s="95"/>
      <c r="AFY54" s="95"/>
      <c r="AFZ54" s="95"/>
      <c r="AGA54" s="95"/>
      <c r="AGB54" s="95"/>
      <c r="AGC54" s="95"/>
      <c r="AGD54" s="95"/>
      <c r="AGE54" s="95"/>
      <c r="AGF54" s="95"/>
      <c r="AGG54" s="95"/>
      <c r="AGH54" s="95"/>
      <c r="AGI54" s="95"/>
      <c r="AGJ54" s="95"/>
      <c r="AGK54" s="95"/>
      <c r="AGL54" s="95"/>
      <c r="AGM54" s="95"/>
      <c r="AGN54" s="95"/>
      <c r="AGO54" s="95"/>
      <c r="AGP54" s="95"/>
      <c r="AGQ54" s="95"/>
      <c r="AGR54" s="95"/>
      <c r="AGS54" s="95"/>
      <c r="AGT54" s="95"/>
      <c r="AGU54" s="95"/>
      <c r="AGV54" s="95"/>
      <c r="AGW54" s="95"/>
      <c r="AGX54" s="95"/>
      <c r="AGY54" s="95"/>
      <c r="AGZ54" s="95"/>
      <c r="AHA54" s="95"/>
      <c r="AHB54" s="95"/>
      <c r="AHC54" s="95"/>
      <c r="AHD54" s="95"/>
      <c r="AHE54" s="95"/>
      <c r="AHF54" s="95"/>
      <c r="AHG54" s="95"/>
      <c r="AHH54" s="95"/>
      <c r="AHI54" s="95"/>
      <c r="AHJ54" s="95"/>
      <c r="AHK54" s="95"/>
      <c r="AHL54" s="95"/>
      <c r="AHM54" s="95"/>
      <c r="AHN54" s="95"/>
      <c r="AHO54" s="95"/>
      <c r="AHP54" s="95"/>
      <c r="AHQ54" s="95"/>
      <c r="AHR54" s="95"/>
      <c r="AHS54" s="95"/>
      <c r="AHT54" s="95"/>
      <c r="AHU54" s="95"/>
      <c r="AHV54" s="95"/>
      <c r="AHW54" s="95"/>
      <c r="AHX54" s="95"/>
      <c r="AHY54" s="95"/>
      <c r="AHZ54" s="95"/>
      <c r="AIA54" s="95"/>
      <c r="AIB54" s="95"/>
      <c r="AIC54" s="95"/>
      <c r="AID54" s="95"/>
      <c r="AIE54" s="95"/>
      <c r="AIF54" s="95"/>
      <c r="AIG54" s="95"/>
      <c r="AIH54" s="95"/>
      <c r="AII54" s="95"/>
      <c r="AIJ54" s="95"/>
      <c r="AIK54" s="95"/>
      <c r="AIL54" s="95"/>
      <c r="AIM54" s="95"/>
      <c r="AIN54" s="95"/>
      <c r="AIO54" s="95"/>
      <c r="AIP54" s="95"/>
      <c r="AIQ54" s="95"/>
      <c r="AIR54" s="95"/>
      <c r="AIS54" s="95"/>
      <c r="AIT54" s="95"/>
      <c r="AIU54" s="95"/>
      <c r="AIV54" s="95"/>
      <c r="AIW54" s="95"/>
      <c r="AIX54" s="95"/>
      <c r="AIY54" s="95"/>
      <c r="AIZ54" s="95"/>
      <c r="AJA54" s="95"/>
      <c r="AJB54" s="95"/>
      <c r="AJC54" s="95"/>
      <c r="AJD54" s="95"/>
      <c r="AJE54" s="95"/>
      <c r="AJF54" s="95"/>
      <c r="AJG54" s="95"/>
      <c r="AJH54" s="95"/>
      <c r="AJI54" s="95"/>
      <c r="AJJ54" s="95"/>
      <c r="AJK54" s="95"/>
      <c r="AJL54" s="95"/>
      <c r="AJM54" s="95"/>
      <c r="AJN54" s="95"/>
      <c r="AJO54" s="95"/>
      <c r="AJP54" s="95"/>
      <c r="AJQ54" s="95"/>
      <c r="AJR54" s="95"/>
      <c r="AJS54" s="95"/>
      <c r="AJT54" s="95"/>
      <c r="AJU54" s="95"/>
      <c r="AJV54" s="95"/>
      <c r="AJW54" s="95"/>
      <c r="AJX54" s="95"/>
      <c r="AJY54" s="95"/>
      <c r="AJZ54" s="95"/>
      <c r="AKA54" s="95"/>
      <c r="AKB54" s="95"/>
      <c r="AKC54" s="95"/>
      <c r="AKD54" s="95"/>
      <c r="AKE54" s="95"/>
      <c r="AKF54" s="95"/>
      <c r="AKG54" s="95"/>
      <c r="AKH54" s="95"/>
      <c r="AKI54" s="95"/>
      <c r="AKJ54" s="95"/>
      <c r="AKK54" s="95"/>
      <c r="AKL54" s="95"/>
      <c r="AKM54" s="95"/>
      <c r="AKN54" s="95"/>
      <c r="AKO54" s="95"/>
      <c r="AKP54" s="95"/>
      <c r="AKQ54" s="95"/>
      <c r="AKR54" s="95"/>
      <c r="AKS54" s="95"/>
      <c r="AKT54" s="95"/>
      <c r="AKU54" s="95"/>
      <c r="AKV54" s="95"/>
      <c r="AKW54" s="95"/>
      <c r="AKX54" s="95"/>
      <c r="AKY54" s="95"/>
      <c r="AKZ54" s="95"/>
      <c r="ALA54" s="95"/>
      <c r="ALB54" s="95"/>
      <c r="ALC54" s="95"/>
      <c r="ALD54" s="95"/>
      <c r="ALE54" s="95"/>
      <c r="ALF54" s="95"/>
      <c r="ALG54" s="95"/>
      <c r="ALH54" s="95"/>
      <c r="ALI54" s="95"/>
      <c r="ALJ54" s="95"/>
      <c r="ALK54" s="95"/>
      <c r="ALL54" s="95"/>
      <c r="ALM54" s="95"/>
      <c r="ALN54" s="95"/>
      <c r="ALO54" s="95"/>
      <c r="ALP54" s="95"/>
      <c r="ALQ54" s="95"/>
      <c r="ALR54" s="95"/>
      <c r="ALS54" s="95"/>
      <c r="ALT54" s="95"/>
      <c r="ALU54" s="95"/>
      <c r="ALV54" s="95"/>
      <c r="ALW54" s="95"/>
      <c r="ALX54" s="95"/>
      <c r="ALY54" s="95"/>
      <c r="ALZ54" s="95"/>
      <c r="AMA54" s="95"/>
      <c r="AMB54" s="95"/>
      <c r="AMC54" s="95"/>
      <c r="AMD54" s="95"/>
      <c r="AME54" s="95"/>
      <c r="AMF54" s="95"/>
      <c r="AMG54" s="95"/>
      <c r="AMH54" s="95"/>
      <c r="AMI54" s="95"/>
      <c r="AMJ54" s="95"/>
      <c r="AMK54" s="95"/>
      <c r="AML54" s="95"/>
      <c r="AMM54" s="95"/>
      <c r="AMN54" s="95"/>
      <c r="AMO54" s="95"/>
      <c r="AMP54" s="95"/>
      <c r="AMQ54" s="95"/>
      <c r="AMR54" s="95"/>
      <c r="AMS54" s="95"/>
      <c r="AMT54" s="95"/>
      <c r="AMU54" s="95"/>
      <c r="AMV54" s="95"/>
      <c r="AMW54" s="95"/>
      <c r="AMX54" s="95"/>
      <c r="AMY54" s="95"/>
      <c r="AMZ54" s="95"/>
      <c r="ANA54" s="95"/>
      <c r="ANB54" s="95"/>
      <c r="ANC54" s="95"/>
      <c r="AND54" s="95"/>
      <c r="ANE54" s="95"/>
      <c r="ANF54" s="95"/>
      <c r="ANG54" s="95"/>
      <c r="ANH54" s="95"/>
      <c r="ANI54" s="95"/>
      <c r="ANJ54" s="95"/>
      <c r="ANK54" s="95"/>
      <c r="ANL54" s="95"/>
      <c r="ANM54" s="95"/>
      <c r="ANN54" s="95"/>
      <c r="ANO54" s="95"/>
      <c r="ANP54" s="95"/>
      <c r="ANQ54" s="95"/>
      <c r="ANR54" s="95"/>
      <c r="ANS54" s="95"/>
      <c r="ANT54" s="95"/>
      <c r="ANU54" s="95"/>
      <c r="ANV54" s="95"/>
      <c r="ANW54" s="95"/>
      <c r="ANX54" s="95"/>
      <c r="ANY54" s="95"/>
      <c r="ANZ54" s="95"/>
      <c r="AOA54" s="95"/>
      <c r="AOB54" s="95"/>
      <c r="AOC54" s="95"/>
      <c r="AOD54" s="95"/>
      <c r="AOE54" s="95"/>
      <c r="AOF54" s="95"/>
      <c r="AOG54" s="95"/>
      <c r="AOH54" s="95"/>
      <c r="AOI54" s="95"/>
      <c r="AOJ54" s="95"/>
      <c r="AOK54" s="95"/>
      <c r="AOL54" s="95"/>
      <c r="AOM54" s="95"/>
      <c r="AON54" s="95"/>
      <c r="AOO54" s="95"/>
      <c r="AOP54" s="95"/>
      <c r="AOQ54" s="95"/>
      <c r="AOR54" s="95"/>
      <c r="AOS54" s="95"/>
      <c r="AOT54" s="95"/>
      <c r="AOU54" s="95"/>
      <c r="AOV54" s="95"/>
      <c r="AOW54" s="95"/>
      <c r="AOX54" s="95"/>
      <c r="AOY54" s="95"/>
      <c r="AOZ54" s="95"/>
      <c r="APA54" s="95"/>
      <c r="APB54" s="95"/>
      <c r="APC54" s="95"/>
      <c r="APD54" s="95"/>
      <c r="APE54" s="95"/>
      <c r="APF54" s="95"/>
      <c r="APG54" s="95"/>
      <c r="APH54" s="95"/>
      <c r="API54" s="95"/>
      <c r="APJ54" s="95"/>
      <c r="APK54" s="95"/>
      <c r="APL54" s="95"/>
      <c r="APM54" s="95"/>
      <c r="APN54" s="95"/>
      <c r="APO54" s="95"/>
      <c r="APP54" s="95"/>
      <c r="APQ54" s="95"/>
      <c r="APR54" s="95"/>
      <c r="APS54" s="95"/>
      <c r="APT54" s="95"/>
      <c r="APU54" s="95"/>
      <c r="APV54" s="95"/>
      <c r="APW54" s="95"/>
      <c r="APX54" s="95"/>
      <c r="APY54" s="95"/>
      <c r="APZ54" s="95"/>
      <c r="AQA54" s="95"/>
      <c r="AQB54" s="95"/>
      <c r="AQC54" s="95"/>
      <c r="AQD54" s="95"/>
      <c r="AQE54" s="95"/>
      <c r="AQF54" s="95"/>
      <c r="AQG54" s="95"/>
      <c r="AQH54" s="95"/>
      <c r="AQI54" s="95"/>
      <c r="AQJ54" s="95"/>
      <c r="AQK54" s="95"/>
      <c r="AQL54" s="95"/>
      <c r="AQM54" s="95"/>
      <c r="AQN54" s="95"/>
      <c r="AQO54" s="95"/>
      <c r="AQP54" s="95"/>
      <c r="AQQ54" s="95"/>
      <c r="AQR54" s="95"/>
      <c r="AQS54" s="95"/>
      <c r="AQT54" s="95"/>
      <c r="AQU54" s="95"/>
      <c r="AQV54" s="95"/>
      <c r="AQW54" s="95"/>
      <c r="AQX54" s="95"/>
      <c r="AQY54" s="95"/>
      <c r="AQZ54" s="95"/>
      <c r="ARA54" s="95"/>
      <c r="ARB54" s="95"/>
      <c r="ARC54" s="95"/>
      <c r="ARD54" s="95"/>
      <c r="ARE54" s="95"/>
      <c r="ARF54" s="95"/>
      <c r="ARG54" s="95"/>
      <c r="ARH54" s="95"/>
      <c r="ARI54" s="95"/>
      <c r="ARJ54" s="95"/>
      <c r="ARK54" s="95"/>
      <c r="ARL54" s="95"/>
      <c r="ARM54" s="95"/>
      <c r="ARN54" s="95"/>
      <c r="ARO54" s="95"/>
      <c r="ARP54" s="95"/>
      <c r="ARQ54" s="95"/>
      <c r="ARR54" s="95"/>
      <c r="ARS54" s="95"/>
      <c r="ART54" s="95"/>
      <c r="ARU54" s="95"/>
      <c r="ARV54" s="95"/>
      <c r="ARW54" s="95"/>
      <c r="ARX54" s="95"/>
      <c r="ARY54" s="95"/>
      <c r="ARZ54" s="95"/>
      <c r="ASA54" s="95"/>
      <c r="ASB54" s="95"/>
      <c r="ASC54" s="95"/>
      <c r="ASD54" s="95"/>
      <c r="ASE54" s="95"/>
      <c r="ASF54" s="95"/>
      <c r="ASG54" s="95"/>
      <c r="ASH54" s="95"/>
      <c r="ASI54" s="95"/>
      <c r="ASJ54" s="95"/>
      <c r="ASK54" s="95"/>
      <c r="ASL54" s="95"/>
      <c r="ASM54" s="95"/>
      <c r="ASN54" s="95"/>
      <c r="ASO54" s="95"/>
      <c r="ASP54" s="95"/>
      <c r="ASQ54" s="95"/>
      <c r="ASR54" s="95"/>
      <c r="ASS54" s="95"/>
      <c r="AST54" s="95"/>
      <c r="ASU54" s="95"/>
      <c r="ASV54" s="95"/>
      <c r="ASW54" s="95"/>
      <c r="ASX54" s="95"/>
      <c r="ASY54" s="95"/>
      <c r="ASZ54" s="95"/>
      <c r="ATA54" s="95"/>
      <c r="ATB54" s="95"/>
      <c r="ATC54" s="95"/>
      <c r="ATD54" s="95"/>
      <c r="ATE54" s="95"/>
      <c r="ATF54" s="95"/>
      <c r="ATG54" s="95"/>
      <c r="ATH54" s="95"/>
      <c r="ATI54" s="95"/>
      <c r="ATJ54" s="95"/>
      <c r="ATK54" s="95"/>
      <c r="ATL54" s="95"/>
      <c r="ATM54" s="95"/>
      <c r="ATN54" s="95"/>
      <c r="ATO54" s="95"/>
      <c r="ATP54" s="95"/>
      <c r="ATQ54" s="95"/>
      <c r="ATR54" s="95"/>
      <c r="ATS54" s="95"/>
      <c r="ATT54" s="95"/>
      <c r="ATU54" s="95"/>
      <c r="ATV54" s="95"/>
      <c r="ATW54" s="95"/>
      <c r="ATX54" s="95"/>
      <c r="ATY54" s="95"/>
      <c r="ATZ54" s="95"/>
      <c r="AUA54" s="95"/>
      <c r="AUB54" s="95"/>
      <c r="AUC54" s="95"/>
      <c r="AUD54" s="95"/>
      <c r="AUE54" s="95"/>
      <c r="AUF54" s="95"/>
      <c r="AUG54" s="95"/>
      <c r="AUH54" s="95"/>
      <c r="AUI54" s="95"/>
      <c r="AUJ54" s="95"/>
      <c r="AUK54" s="95"/>
      <c r="AUL54" s="95"/>
      <c r="AUM54" s="95"/>
      <c r="AUN54" s="95"/>
      <c r="AUO54" s="95"/>
      <c r="AUP54" s="95"/>
      <c r="AUQ54" s="95"/>
      <c r="AUR54" s="95"/>
      <c r="AUS54" s="95"/>
      <c r="AUT54" s="95"/>
      <c r="AUU54" s="95"/>
      <c r="AUV54" s="95"/>
      <c r="AUW54" s="95"/>
      <c r="AUX54" s="95"/>
      <c r="AUY54" s="95"/>
      <c r="AUZ54" s="95"/>
      <c r="AVA54" s="95"/>
      <c r="AVB54" s="95"/>
      <c r="AVC54" s="95"/>
      <c r="AVD54" s="95"/>
      <c r="AVE54" s="95"/>
      <c r="AVF54" s="95"/>
      <c r="AVG54" s="95"/>
      <c r="AVH54" s="95"/>
      <c r="AVI54" s="95"/>
      <c r="AVJ54" s="95"/>
      <c r="AVK54" s="95"/>
      <c r="AVL54" s="95"/>
      <c r="AVM54" s="95"/>
      <c r="AVN54" s="95"/>
      <c r="AVO54" s="95"/>
      <c r="AVP54" s="95"/>
      <c r="AVQ54" s="95"/>
      <c r="AVR54" s="95"/>
      <c r="AVS54" s="95"/>
      <c r="AVT54" s="95"/>
      <c r="AVU54" s="95"/>
      <c r="AVV54" s="95"/>
      <c r="AVW54" s="95"/>
      <c r="AVX54" s="95"/>
      <c r="AVY54" s="95"/>
      <c r="AVZ54" s="95"/>
      <c r="AWA54" s="95"/>
      <c r="AWB54" s="95"/>
      <c r="AWC54" s="95"/>
      <c r="AWD54" s="95"/>
      <c r="AWE54" s="95"/>
      <c r="AWF54" s="95"/>
      <c r="AWG54" s="95"/>
      <c r="AWH54" s="95"/>
      <c r="AWI54" s="95"/>
      <c r="AWJ54" s="95"/>
      <c r="AWK54" s="95"/>
      <c r="AWL54" s="95"/>
      <c r="AWM54" s="95"/>
      <c r="AWN54" s="95"/>
      <c r="AWO54" s="95"/>
      <c r="AWP54" s="95"/>
      <c r="AWQ54" s="95"/>
      <c r="AWR54" s="95"/>
      <c r="AWS54" s="95"/>
      <c r="AWT54" s="95"/>
      <c r="AWU54" s="95"/>
      <c r="AWV54" s="95"/>
      <c r="AWW54" s="95"/>
      <c r="AWX54" s="95"/>
      <c r="AWY54" s="95"/>
      <c r="AWZ54" s="95"/>
      <c r="AXA54" s="95"/>
      <c r="AXB54" s="95"/>
      <c r="AXC54" s="95"/>
      <c r="AXD54" s="95"/>
      <c r="AXE54" s="95"/>
      <c r="AXF54" s="95"/>
      <c r="AXG54" s="95"/>
      <c r="AXH54" s="95"/>
      <c r="AXI54" s="95"/>
      <c r="AXJ54" s="95"/>
      <c r="AXK54" s="95"/>
      <c r="AXL54" s="95"/>
      <c r="AXM54" s="95"/>
      <c r="AXN54" s="95"/>
      <c r="AXO54" s="95"/>
      <c r="AXP54" s="95"/>
      <c r="AXQ54" s="95"/>
      <c r="AXR54" s="95"/>
      <c r="AXS54" s="95"/>
      <c r="AXT54" s="95"/>
      <c r="AXU54" s="95"/>
      <c r="AXV54" s="95"/>
      <c r="AXW54" s="95"/>
      <c r="AXX54" s="95"/>
      <c r="AXY54" s="95"/>
      <c r="AXZ54" s="95"/>
      <c r="AYA54" s="95"/>
      <c r="AYB54" s="95"/>
      <c r="AYC54" s="95"/>
      <c r="AYD54" s="95"/>
      <c r="AYE54" s="95"/>
      <c r="AYF54" s="95"/>
      <c r="AYG54" s="95"/>
      <c r="AYH54" s="95"/>
      <c r="AYI54" s="95"/>
      <c r="AYJ54" s="95"/>
      <c r="AYK54" s="95"/>
      <c r="AYL54" s="95"/>
      <c r="AYM54" s="95"/>
      <c r="AYN54" s="95"/>
      <c r="AYO54" s="95"/>
      <c r="AYP54" s="95"/>
      <c r="AYQ54" s="95"/>
      <c r="AYR54" s="95"/>
      <c r="AYS54" s="95"/>
      <c r="AYT54" s="95"/>
      <c r="AYU54" s="95"/>
      <c r="AYV54" s="95"/>
      <c r="AYW54" s="95"/>
      <c r="AYX54" s="95"/>
      <c r="AYY54" s="95"/>
      <c r="AYZ54" s="95"/>
      <c r="AZA54" s="95"/>
      <c r="AZB54" s="95"/>
      <c r="AZC54" s="95"/>
      <c r="AZD54" s="95"/>
      <c r="AZE54" s="95"/>
      <c r="AZF54" s="95"/>
      <c r="AZG54" s="95"/>
      <c r="AZH54" s="95"/>
      <c r="AZI54" s="95"/>
      <c r="AZJ54" s="95"/>
      <c r="AZK54" s="95"/>
      <c r="AZL54" s="95"/>
      <c r="AZM54" s="95"/>
      <c r="AZN54" s="95"/>
      <c r="AZO54" s="95"/>
      <c r="AZP54" s="95"/>
      <c r="AZQ54" s="95"/>
      <c r="AZR54" s="95"/>
      <c r="AZS54" s="95"/>
      <c r="AZT54" s="95"/>
      <c r="AZU54" s="95"/>
      <c r="AZV54" s="95"/>
      <c r="AZW54" s="95"/>
      <c r="AZX54" s="95"/>
      <c r="AZY54" s="95"/>
      <c r="AZZ54" s="95"/>
      <c r="BAA54" s="95"/>
      <c r="BAB54" s="95"/>
      <c r="BAC54" s="95"/>
      <c r="BAD54" s="95"/>
      <c r="BAE54" s="95"/>
      <c r="BAF54" s="95"/>
      <c r="BAG54" s="95"/>
      <c r="BAH54" s="95"/>
      <c r="BAI54" s="95"/>
      <c r="BAJ54" s="95"/>
      <c r="BAK54" s="95"/>
      <c r="BAL54" s="95"/>
      <c r="BAM54" s="95"/>
      <c r="BAN54" s="95"/>
      <c r="BAO54" s="95"/>
      <c r="BAP54" s="95"/>
      <c r="BAQ54" s="95"/>
      <c r="BAR54" s="95"/>
      <c r="BAS54" s="95"/>
      <c r="BAT54" s="95"/>
      <c r="BAU54" s="95"/>
      <c r="BAV54" s="95"/>
      <c r="BAW54" s="95"/>
      <c r="BAX54" s="95"/>
      <c r="BAY54" s="95"/>
      <c r="BAZ54" s="95"/>
      <c r="BBA54" s="95"/>
      <c r="BBB54" s="95"/>
      <c r="BBC54" s="95"/>
      <c r="BBD54" s="95"/>
      <c r="BBE54" s="95"/>
      <c r="BBF54" s="95"/>
      <c r="BBG54" s="95"/>
      <c r="BBH54" s="95"/>
      <c r="BBI54" s="95"/>
      <c r="BBJ54" s="95"/>
      <c r="BBK54" s="95"/>
      <c r="BBL54" s="95"/>
      <c r="BBM54" s="95"/>
      <c r="BBN54" s="95"/>
      <c r="BBO54" s="95"/>
      <c r="BBP54" s="95"/>
      <c r="BBQ54" s="95"/>
      <c r="BBR54" s="95"/>
      <c r="BBS54" s="95"/>
      <c r="BBT54" s="95"/>
      <c r="BBU54" s="95"/>
      <c r="BBV54" s="95"/>
      <c r="BBW54" s="95"/>
      <c r="BBX54" s="95"/>
      <c r="BBY54" s="95"/>
      <c r="BBZ54" s="95"/>
      <c r="BCA54" s="95"/>
      <c r="BCB54" s="95"/>
      <c r="BCC54" s="95"/>
      <c r="BCD54" s="95"/>
      <c r="BCE54" s="95"/>
      <c r="BCF54" s="95"/>
      <c r="BCG54" s="95"/>
      <c r="BCH54" s="95"/>
      <c r="BCI54" s="95"/>
      <c r="BCJ54" s="95"/>
      <c r="BCK54" s="95"/>
      <c r="BCL54" s="95"/>
      <c r="BCM54" s="95"/>
      <c r="BCN54" s="95"/>
      <c r="BCO54" s="95"/>
      <c r="BCP54" s="95"/>
      <c r="BCQ54" s="95"/>
      <c r="BCR54" s="95"/>
      <c r="BCS54" s="95"/>
      <c r="BCT54" s="95"/>
      <c r="BCU54" s="95"/>
      <c r="BCV54" s="95"/>
      <c r="BCW54" s="95"/>
      <c r="BCX54" s="95"/>
      <c r="BCY54" s="95"/>
      <c r="BCZ54" s="95"/>
      <c r="BDA54" s="95"/>
      <c r="BDB54" s="95"/>
      <c r="BDC54" s="95"/>
      <c r="BDD54" s="95"/>
      <c r="BDE54" s="95"/>
      <c r="BDF54" s="95"/>
      <c r="BDG54" s="95"/>
      <c r="BDH54" s="95"/>
      <c r="BDI54" s="95"/>
      <c r="BDJ54" s="95"/>
      <c r="BDK54" s="95"/>
      <c r="BDL54" s="95"/>
      <c r="BDM54" s="95"/>
      <c r="BDN54" s="95"/>
      <c r="BDO54" s="95"/>
      <c r="BDP54" s="95"/>
      <c r="BDQ54" s="95"/>
      <c r="BDR54" s="95"/>
      <c r="BDS54" s="95"/>
      <c r="BDT54" s="95"/>
      <c r="BDU54" s="95"/>
      <c r="BDV54" s="95"/>
      <c r="BDW54" s="95"/>
      <c r="BDX54" s="95"/>
      <c r="BDY54" s="95"/>
      <c r="BDZ54" s="95"/>
      <c r="BEA54" s="95"/>
      <c r="BEB54" s="95"/>
      <c r="BEC54" s="95"/>
      <c r="BED54" s="95"/>
      <c r="BEE54" s="95"/>
      <c r="BEF54" s="95"/>
      <c r="BEG54" s="95"/>
      <c r="BEH54" s="95"/>
      <c r="BEI54" s="95"/>
      <c r="BEJ54" s="95"/>
      <c r="BEK54" s="95"/>
      <c r="BEL54" s="95"/>
      <c r="BEM54" s="95"/>
      <c r="BEN54" s="95"/>
      <c r="BEO54" s="95"/>
      <c r="BEP54" s="95"/>
      <c r="BEQ54" s="95"/>
      <c r="BER54" s="95"/>
      <c r="BES54" s="95"/>
      <c r="BET54" s="95"/>
      <c r="BEU54" s="95"/>
      <c r="BEV54" s="95"/>
      <c r="BEW54" s="95"/>
      <c r="BEX54" s="95"/>
      <c r="BEY54" s="95"/>
      <c r="BEZ54" s="95"/>
      <c r="BFA54" s="95"/>
      <c r="BFB54" s="95"/>
      <c r="BFC54" s="95"/>
      <c r="BFD54" s="95"/>
      <c r="BFE54" s="95"/>
      <c r="BFF54" s="95"/>
      <c r="BFG54" s="95"/>
      <c r="BFH54" s="95"/>
      <c r="BFI54" s="95"/>
      <c r="BFJ54" s="95"/>
      <c r="BFK54" s="95"/>
      <c r="BFL54" s="95"/>
      <c r="BFM54" s="95"/>
      <c r="BFN54" s="95"/>
      <c r="BFO54" s="95"/>
      <c r="BFP54" s="95"/>
      <c r="BFQ54" s="95"/>
      <c r="BFR54" s="95"/>
      <c r="BFS54" s="95"/>
      <c r="BFT54" s="95"/>
      <c r="BFU54" s="95"/>
      <c r="BFV54" s="95"/>
      <c r="BFW54" s="95"/>
      <c r="BFX54" s="95"/>
      <c r="BFY54" s="95"/>
      <c r="BFZ54" s="95"/>
      <c r="BGA54" s="95"/>
      <c r="BGB54" s="95"/>
      <c r="BGC54" s="95"/>
      <c r="BGD54" s="95"/>
      <c r="BGE54" s="95"/>
      <c r="BGF54" s="95"/>
      <c r="BGG54" s="95"/>
      <c r="BGH54" s="95"/>
      <c r="BGI54" s="95"/>
      <c r="BGJ54" s="95"/>
      <c r="BGK54" s="95"/>
      <c r="BGL54" s="95"/>
      <c r="BGM54" s="95"/>
      <c r="BGN54" s="95"/>
      <c r="BGO54" s="95"/>
      <c r="BGP54" s="95"/>
      <c r="BGQ54" s="95"/>
      <c r="BGR54" s="95"/>
      <c r="BGS54" s="95"/>
      <c r="BGT54" s="95"/>
      <c r="BGU54" s="95"/>
      <c r="BGV54" s="95"/>
      <c r="BGW54" s="95"/>
      <c r="BGX54" s="95"/>
      <c r="BGY54" s="95"/>
      <c r="BGZ54" s="95"/>
      <c r="BHA54" s="95"/>
      <c r="BHB54" s="95"/>
      <c r="BHC54" s="95"/>
      <c r="BHD54" s="95"/>
      <c r="BHE54" s="95"/>
      <c r="BHF54" s="95"/>
      <c r="BHG54" s="95"/>
      <c r="BHH54" s="95"/>
      <c r="BHI54" s="95"/>
      <c r="BHJ54" s="95"/>
      <c r="BHK54" s="95"/>
      <c r="BHL54" s="95"/>
      <c r="BHM54" s="95"/>
      <c r="BHN54" s="95"/>
      <c r="BHO54" s="95"/>
      <c r="BHP54" s="95"/>
      <c r="BHQ54" s="95"/>
      <c r="BHR54" s="95"/>
      <c r="BHS54" s="95"/>
      <c r="BHT54" s="95"/>
      <c r="BHU54" s="95"/>
      <c r="BHV54" s="95"/>
      <c r="BHW54" s="95"/>
      <c r="BHX54" s="95"/>
      <c r="BHY54" s="95"/>
      <c r="BHZ54" s="95"/>
      <c r="BIA54" s="95"/>
      <c r="BIB54" s="95"/>
      <c r="BIC54" s="95"/>
      <c r="BID54" s="95"/>
      <c r="BIE54" s="95"/>
      <c r="BIF54" s="95"/>
      <c r="BIG54" s="95"/>
      <c r="BIH54" s="95"/>
      <c r="BII54" s="95"/>
      <c r="BIJ54" s="95"/>
      <c r="BIK54" s="95"/>
      <c r="BIL54" s="95"/>
      <c r="BIM54" s="95"/>
      <c r="BIN54" s="95"/>
      <c r="BIO54" s="95"/>
      <c r="BIP54" s="95"/>
      <c r="BIQ54" s="95"/>
      <c r="BIR54" s="95"/>
      <c r="BIS54" s="95"/>
      <c r="BIT54" s="95"/>
      <c r="BIU54" s="95"/>
      <c r="BIV54" s="95"/>
      <c r="BIW54" s="95"/>
      <c r="BIX54" s="95"/>
      <c r="BIY54" s="95"/>
      <c r="BIZ54" s="95"/>
      <c r="BJA54" s="95"/>
      <c r="BJB54" s="95"/>
      <c r="BJC54" s="95"/>
      <c r="BJD54" s="95"/>
      <c r="BJE54" s="95"/>
      <c r="BJF54" s="95"/>
      <c r="BJG54" s="95"/>
      <c r="BJH54" s="95"/>
      <c r="BJI54" s="95"/>
      <c r="BJJ54" s="95"/>
      <c r="BJK54" s="95"/>
      <c r="BJL54" s="95"/>
      <c r="BJM54" s="95"/>
      <c r="BJN54" s="95"/>
      <c r="BJO54" s="95"/>
      <c r="BJP54" s="95"/>
      <c r="BJQ54" s="95"/>
      <c r="BJR54" s="95"/>
      <c r="BJS54" s="95"/>
      <c r="BJT54" s="95"/>
      <c r="BJU54" s="95"/>
      <c r="BJV54" s="95"/>
      <c r="BJW54" s="95"/>
      <c r="BJX54" s="95"/>
      <c r="BJY54" s="95"/>
      <c r="BJZ54" s="95"/>
      <c r="BKA54" s="95"/>
      <c r="BKB54" s="95"/>
      <c r="BKC54" s="95"/>
      <c r="BKD54" s="95"/>
      <c r="BKE54" s="95"/>
      <c r="BKF54" s="95"/>
      <c r="BKG54" s="95"/>
      <c r="BKH54" s="95"/>
      <c r="BKI54" s="95"/>
      <c r="BKJ54" s="95"/>
      <c r="BKK54" s="95"/>
      <c r="BKL54" s="95"/>
      <c r="BKM54" s="95"/>
      <c r="BKN54" s="95"/>
      <c r="BKO54" s="95"/>
      <c r="BKP54" s="95"/>
      <c r="BKQ54" s="95"/>
      <c r="BKR54" s="95"/>
      <c r="BKS54" s="95"/>
      <c r="BKT54" s="95"/>
      <c r="BKU54" s="95"/>
      <c r="BKV54" s="95"/>
      <c r="BKW54" s="95"/>
      <c r="BKX54" s="95"/>
      <c r="BKY54" s="95"/>
      <c r="BKZ54" s="95"/>
      <c r="BLA54" s="95"/>
      <c r="BLB54" s="95"/>
      <c r="BLC54" s="95"/>
      <c r="BLD54" s="95"/>
      <c r="BLE54" s="95"/>
      <c r="BLF54" s="95"/>
      <c r="BLG54" s="95"/>
      <c r="BLH54" s="95"/>
      <c r="BLI54" s="95"/>
      <c r="BLJ54" s="95"/>
      <c r="BLK54" s="95"/>
      <c r="BLL54" s="95"/>
      <c r="BLM54" s="95"/>
      <c r="BLN54" s="95"/>
      <c r="BLO54" s="95"/>
      <c r="BLP54" s="95"/>
      <c r="BLQ54" s="95"/>
      <c r="BLR54" s="95"/>
      <c r="BLS54" s="95"/>
      <c r="BLT54" s="95"/>
      <c r="BLU54" s="95"/>
      <c r="BLV54" s="95"/>
      <c r="BLW54" s="95"/>
      <c r="BLX54" s="95"/>
      <c r="BLY54" s="95"/>
      <c r="BLZ54" s="95"/>
      <c r="BMA54" s="95"/>
      <c r="BMB54" s="95"/>
      <c r="BMC54" s="95"/>
      <c r="BMD54" s="95"/>
      <c r="BME54" s="95"/>
      <c r="BMF54" s="95"/>
      <c r="BMG54" s="95"/>
      <c r="BMH54" s="95"/>
      <c r="BMI54" s="95"/>
      <c r="BMJ54" s="95"/>
      <c r="BMK54" s="95"/>
      <c r="BML54" s="95"/>
      <c r="BMM54" s="95"/>
      <c r="BMN54" s="95"/>
      <c r="BMO54" s="95"/>
      <c r="BMP54" s="95"/>
      <c r="BMQ54" s="95"/>
      <c r="BMR54" s="95"/>
      <c r="BMS54" s="95"/>
      <c r="BMT54" s="95"/>
      <c r="BMU54" s="95"/>
      <c r="BMV54" s="95"/>
      <c r="BMW54" s="95"/>
      <c r="BMX54" s="95"/>
      <c r="BMY54" s="95"/>
      <c r="BMZ54" s="95"/>
      <c r="BNA54" s="95"/>
      <c r="BNB54" s="95"/>
      <c r="BNC54" s="95"/>
      <c r="BND54" s="95"/>
      <c r="BNE54" s="95"/>
      <c r="BNF54" s="95"/>
      <c r="BNG54" s="95"/>
      <c r="BNH54" s="95"/>
      <c r="BNI54" s="95"/>
      <c r="BNJ54" s="95"/>
      <c r="BNK54" s="95"/>
      <c r="BNL54" s="95"/>
      <c r="BNM54" s="95"/>
      <c r="BNN54" s="95"/>
      <c r="BNO54" s="95"/>
      <c r="BNP54" s="95"/>
      <c r="BNQ54" s="95"/>
      <c r="BNR54" s="95"/>
      <c r="BNS54" s="95"/>
      <c r="BNT54" s="95"/>
      <c r="BNU54" s="95"/>
      <c r="BNV54" s="95"/>
      <c r="BNW54" s="95"/>
      <c r="BNX54" s="95"/>
      <c r="BNY54" s="95"/>
      <c r="BNZ54" s="95"/>
      <c r="BOA54" s="95"/>
      <c r="BOB54" s="95"/>
      <c r="BOC54" s="95"/>
      <c r="BOD54" s="95"/>
      <c r="BOE54" s="95"/>
      <c r="BOF54" s="95"/>
      <c r="BOG54" s="95"/>
      <c r="BOH54" s="95"/>
      <c r="BOI54" s="95"/>
      <c r="BOJ54" s="95"/>
      <c r="BOK54" s="95"/>
      <c r="BOL54" s="95"/>
      <c r="BOM54" s="95"/>
      <c r="BON54" s="95"/>
      <c r="BOO54" s="95"/>
      <c r="BOP54" s="95"/>
      <c r="BOQ54" s="95"/>
      <c r="BOR54" s="95"/>
      <c r="BOS54" s="95"/>
      <c r="BOT54" s="95"/>
      <c r="BOU54" s="95"/>
      <c r="BOV54" s="95"/>
      <c r="BOW54" s="95"/>
      <c r="BOX54" s="95"/>
      <c r="BOY54" s="95"/>
      <c r="BOZ54" s="95"/>
      <c r="BPA54" s="95"/>
      <c r="BPB54" s="95"/>
      <c r="BPC54" s="95"/>
      <c r="BPD54" s="95"/>
      <c r="BPE54" s="95"/>
      <c r="BPF54" s="95"/>
      <c r="BPG54" s="95"/>
      <c r="BPH54" s="95"/>
      <c r="BPI54" s="95"/>
      <c r="BPJ54" s="95"/>
      <c r="BPK54" s="95"/>
      <c r="BPL54" s="95"/>
      <c r="BPM54" s="95"/>
      <c r="BPN54" s="95"/>
      <c r="BPO54" s="95"/>
      <c r="BPP54" s="95"/>
      <c r="BPQ54" s="95"/>
      <c r="BPR54" s="95"/>
      <c r="BPS54" s="95"/>
      <c r="BPT54" s="95"/>
      <c r="BPU54" s="95"/>
      <c r="BPV54" s="95"/>
      <c r="BPW54" s="95"/>
      <c r="BPX54" s="95"/>
      <c r="BPY54" s="95"/>
      <c r="BPZ54" s="95"/>
      <c r="BQA54" s="95"/>
      <c r="BQB54" s="95"/>
      <c r="BQC54" s="95"/>
      <c r="BQD54" s="95"/>
      <c r="BQE54" s="95"/>
      <c r="BQF54" s="95"/>
      <c r="BQG54" s="95"/>
      <c r="BQH54" s="95"/>
      <c r="BQI54" s="95"/>
      <c r="BQJ54" s="95"/>
      <c r="BQK54" s="95"/>
      <c r="BQL54" s="95"/>
      <c r="BQM54" s="95"/>
      <c r="BQN54" s="95"/>
      <c r="BQO54" s="95"/>
      <c r="BQP54" s="95"/>
      <c r="BQQ54" s="95"/>
      <c r="BQR54" s="95"/>
      <c r="BQS54" s="95"/>
      <c r="BQT54" s="95"/>
      <c r="BQU54" s="95"/>
      <c r="BQV54" s="95"/>
      <c r="BQW54" s="95"/>
      <c r="BQX54" s="95"/>
      <c r="BQY54" s="95"/>
      <c r="BQZ54" s="95"/>
      <c r="BRA54" s="95"/>
      <c r="BRB54" s="95"/>
      <c r="BRC54" s="95"/>
      <c r="BRD54" s="95"/>
      <c r="BRE54" s="95"/>
      <c r="BRF54" s="95"/>
      <c r="BRG54" s="95"/>
      <c r="BRH54" s="95"/>
      <c r="BRI54" s="95"/>
      <c r="BRJ54" s="95"/>
      <c r="BRK54" s="95"/>
      <c r="BRL54" s="95"/>
      <c r="BRM54" s="95"/>
      <c r="BRN54" s="95"/>
      <c r="BRO54" s="95"/>
      <c r="BRP54" s="95"/>
      <c r="BRQ54" s="95"/>
      <c r="BRR54" s="95"/>
      <c r="BRS54" s="95"/>
      <c r="BRT54" s="95"/>
      <c r="BRU54" s="95"/>
      <c r="BRV54" s="95"/>
      <c r="BRW54" s="95"/>
      <c r="BRX54" s="95"/>
      <c r="BRY54" s="95"/>
      <c r="BRZ54" s="95"/>
      <c r="BSA54" s="95"/>
      <c r="BSB54" s="95"/>
      <c r="BSC54" s="95"/>
      <c r="BSD54" s="95"/>
      <c r="BSE54" s="95"/>
      <c r="BSF54" s="95"/>
      <c r="BSG54" s="95"/>
      <c r="BSH54" s="95"/>
      <c r="BSI54" s="95"/>
      <c r="BSJ54" s="95"/>
      <c r="BSK54" s="95"/>
      <c r="BSL54" s="95"/>
      <c r="BSM54" s="95"/>
      <c r="BSN54" s="95"/>
      <c r="BSO54" s="95"/>
      <c r="BSP54" s="95"/>
      <c r="BSQ54" s="95"/>
      <c r="BSR54" s="95"/>
      <c r="BSS54" s="95"/>
      <c r="BST54" s="95"/>
      <c r="BSU54" s="95"/>
      <c r="BSV54" s="95"/>
      <c r="BSW54" s="95"/>
      <c r="BSX54" s="95"/>
      <c r="BSY54" s="95"/>
      <c r="BSZ54" s="95"/>
      <c r="BTA54" s="95"/>
      <c r="BTB54" s="95"/>
      <c r="BTC54" s="95"/>
      <c r="BTD54" s="95"/>
      <c r="BTE54" s="95"/>
      <c r="BTF54" s="95"/>
      <c r="BTG54" s="95"/>
      <c r="BTH54" s="95"/>
      <c r="BTI54" s="95"/>
      <c r="BTJ54" s="95"/>
      <c r="BTK54" s="95"/>
      <c r="BTL54" s="95"/>
      <c r="BTM54" s="95"/>
      <c r="BTN54" s="95"/>
      <c r="BTO54" s="95"/>
      <c r="BTP54" s="95"/>
      <c r="BTQ54" s="95"/>
      <c r="BTR54" s="95"/>
      <c r="BTS54" s="95"/>
      <c r="BTT54" s="95"/>
      <c r="BTU54" s="95"/>
      <c r="BTV54" s="95"/>
      <c r="BTW54" s="95"/>
      <c r="BTX54" s="95"/>
      <c r="BTY54" s="95"/>
      <c r="BTZ54" s="95"/>
      <c r="BUA54" s="95"/>
      <c r="BUB54" s="95"/>
      <c r="BUC54" s="95"/>
      <c r="BUD54" s="95"/>
      <c r="BUE54" s="95"/>
      <c r="BUF54" s="95"/>
      <c r="BUG54" s="95"/>
      <c r="BUH54" s="95"/>
      <c r="BUI54" s="95"/>
      <c r="BUJ54" s="95"/>
      <c r="BUK54" s="95"/>
      <c r="BUL54" s="95"/>
      <c r="BUM54" s="95"/>
      <c r="BUN54" s="95"/>
      <c r="BUO54" s="95"/>
      <c r="BUP54" s="95"/>
      <c r="BUQ54" s="95"/>
      <c r="BUR54" s="95"/>
      <c r="BUS54" s="95"/>
      <c r="BUT54" s="95"/>
      <c r="BUU54" s="95"/>
      <c r="BUV54" s="95"/>
      <c r="BUW54" s="95"/>
      <c r="BUX54" s="95"/>
      <c r="BUY54" s="95"/>
      <c r="BUZ54" s="95"/>
      <c r="BVA54" s="95"/>
      <c r="BVB54" s="95"/>
      <c r="BVC54" s="95"/>
      <c r="BVD54" s="95"/>
      <c r="BVE54" s="95"/>
      <c r="BVF54" s="95"/>
      <c r="BVG54" s="95"/>
      <c r="BVH54" s="95"/>
      <c r="BVI54" s="95"/>
      <c r="BVJ54" s="95"/>
      <c r="BVK54" s="95"/>
      <c r="BVL54" s="95"/>
      <c r="BVM54" s="95"/>
      <c r="BVN54" s="95"/>
      <c r="BVO54" s="95"/>
      <c r="BVP54" s="95"/>
      <c r="BVQ54" s="95"/>
      <c r="BVR54" s="95"/>
      <c r="BVS54" s="95"/>
      <c r="BVT54" s="95"/>
      <c r="BVU54" s="95"/>
      <c r="BVV54" s="95"/>
      <c r="BVW54" s="95"/>
      <c r="BVX54" s="95"/>
      <c r="BVY54" s="95"/>
      <c r="BVZ54" s="95"/>
      <c r="BWA54" s="95"/>
      <c r="BWB54" s="95"/>
      <c r="BWC54" s="95"/>
      <c r="BWD54" s="95"/>
      <c r="BWE54" s="95"/>
      <c r="BWF54" s="95"/>
      <c r="BWG54" s="95"/>
      <c r="BWH54" s="95"/>
      <c r="BWI54" s="95"/>
      <c r="BWJ54" s="95"/>
      <c r="BWK54" s="95"/>
      <c r="BWL54" s="95"/>
      <c r="BWM54" s="95"/>
      <c r="BWN54" s="95"/>
      <c r="BWO54" s="95"/>
      <c r="BWP54" s="95"/>
      <c r="BWQ54" s="95"/>
      <c r="BWR54" s="95"/>
      <c r="BWS54" s="95"/>
      <c r="BWT54" s="95"/>
      <c r="BWU54" s="95"/>
      <c r="BWV54" s="95"/>
      <c r="BWW54" s="95"/>
      <c r="BWX54" s="95"/>
      <c r="BWY54" s="95"/>
      <c r="BWZ54" s="95"/>
      <c r="BXA54" s="95"/>
      <c r="BXB54" s="95"/>
      <c r="BXC54" s="95"/>
      <c r="BXD54" s="95"/>
      <c r="BXE54" s="95"/>
      <c r="BXF54" s="95"/>
      <c r="BXG54" s="95"/>
      <c r="BXH54" s="95"/>
      <c r="BXI54" s="95"/>
      <c r="BXJ54" s="95"/>
      <c r="BXK54" s="95"/>
      <c r="BXL54" s="95"/>
      <c r="BXM54" s="95"/>
      <c r="BXN54" s="95"/>
      <c r="BXO54" s="95"/>
      <c r="BXP54" s="95"/>
      <c r="BXQ54" s="95"/>
      <c r="BXR54" s="95"/>
      <c r="BXS54" s="95"/>
      <c r="BXT54" s="95"/>
      <c r="BXU54" s="95"/>
      <c r="BXV54" s="95"/>
      <c r="BXW54" s="95"/>
      <c r="BXX54" s="95"/>
      <c r="BXY54" s="95"/>
      <c r="BXZ54" s="95"/>
      <c r="BYA54" s="95"/>
      <c r="BYB54" s="95"/>
      <c r="BYC54" s="95"/>
      <c r="BYD54" s="95"/>
      <c r="BYE54" s="95"/>
      <c r="BYF54" s="95"/>
      <c r="BYG54" s="95"/>
    </row>
    <row r="55" spans="1:2009" s="95" customFormat="1" ht="12.75" hidden="1" customHeight="1" thickBot="1" x14ac:dyDescent="0.3">
      <c r="A55" s="111"/>
      <c r="B55" s="111"/>
      <c r="C55" s="182"/>
      <c r="D55" s="182"/>
      <c r="E55" s="182"/>
      <c r="F55" s="182"/>
      <c r="G55" s="182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</row>
    <row r="56" spans="1:2009" s="121" customFormat="1" ht="24.95" hidden="1" customHeight="1" thickBot="1" x14ac:dyDescent="0.3">
      <c r="A56" s="537" t="s">
        <v>346</v>
      </c>
      <c r="B56" s="533"/>
      <c r="C56" s="534"/>
      <c r="D56" s="535"/>
      <c r="E56" s="535"/>
      <c r="F56" s="535"/>
      <c r="G56" s="536">
        <f>SUM(C56:F56)</f>
        <v>0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</row>
    <row r="57" spans="1:2009" s="95" customFormat="1" ht="12.75" customHeight="1" thickBot="1" x14ac:dyDescent="0.3">
      <c r="A57" s="111"/>
      <c r="B57" s="111"/>
      <c r="C57" s="182"/>
      <c r="D57" s="182"/>
      <c r="E57" s="182"/>
      <c r="F57" s="182"/>
      <c r="G57" s="182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</row>
    <row r="58" spans="1:2009" s="121" customFormat="1" ht="24.95" customHeight="1" thickBot="1" x14ac:dyDescent="0.3">
      <c r="A58" s="600" t="s">
        <v>301</v>
      </c>
      <c r="B58" s="421"/>
      <c r="C58" s="422">
        <v>2834.71</v>
      </c>
      <c r="D58" s="423"/>
      <c r="E58" s="422"/>
      <c r="F58" s="423"/>
      <c r="G58" s="424">
        <f>SUM(C58:F58)</f>
        <v>2834.71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121" customFormat="1" ht="13.5" hidden="1" customHeight="1" thickBot="1" x14ac:dyDescent="0.3">
      <c r="A59" s="111"/>
      <c r="B59" s="111"/>
      <c r="C59" s="502"/>
      <c r="D59" s="182"/>
      <c r="E59" s="182"/>
      <c r="F59" s="182"/>
      <c r="G59" s="502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121" customFormat="1" ht="24.95" hidden="1" customHeight="1" thickBot="1" x14ac:dyDescent="0.3">
      <c r="A60" s="532" t="s">
        <v>239</v>
      </c>
      <c r="B60" s="531"/>
      <c r="C60" s="503"/>
      <c r="D60" s="504"/>
      <c r="E60" s="504"/>
      <c r="F60" s="504"/>
      <c r="G60" s="505">
        <f>SUM(C60:F60)</f>
        <v>0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96" customFormat="1" ht="12.75" customHeight="1" thickBot="1" x14ac:dyDescent="0.3">
      <c r="A61" s="120"/>
      <c r="B61" s="120"/>
      <c r="C61" s="175"/>
      <c r="D61" s="175"/>
      <c r="E61" s="175"/>
      <c r="F61" s="175"/>
      <c r="G61" s="175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</row>
    <row r="62" spans="1:2009" s="248" customFormat="1" ht="24.95" customHeight="1" thickBot="1" x14ac:dyDescent="0.3">
      <c r="A62" s="247"/>
      <c r="B62" s="530" t="s">
        <v>405</v>
      </c>
      <c r="C62" s="305">
        <f>SUM(C8+C14+C23+C27+C32+C42+C54)+C36+C49+C58+C60+C56</f>
        <v>155726.72</v>
      </c>
      <c r="D62" s="305">
        <f>SUM(D8+D14+D23+D27+D32+D42+D54)+D36+D49+D58+D56</f>
        <v>78641.489999999991</v>
      </c>
      <c r="E62" s="305">
        <f>SUM(E8+E14+E23+E27+E32+E42+E54)+E36+E49+E58</f>
        <v>21961.040000000001</v>
      </c>
      <c r="F62" s="305">
        <f>SUM(F8+F14+F23+F27+F32+F42+F54)+F36+F49+F58</f>
        <v>0</v>
      </c>
      <c r="G62" s="305">
        <f>SUM(G8+G14+G23+G27+G32+G42+G54)+G36+G49+G58+G60+G56</f>
        <v>256329.25</v>
      </c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  <c r="IW62" s="212"/>
      <c r="IX62" s="212"/>
      <c r="IY62" s="212"/>
      <c r="IZ62" s="212"/>
      <c r="JA62" s="212"/>
      <c r="JB62" s="212"/>
      <c r="JC62" s="212"/>
      <c r="JD62" s="212"/>
      <c r="JE62" s="212"/>
      <c r="JF62" s="212"/>
      <c r="JG62" s="212"/>
      <c r="JH62" s="212"/>
      <c r="JI62" s="212"/>
      <c r="JJ62" s="212"/>
      <c r="JK62" s="212"/>
      <c r="JL62" s="212"/>
      <c r="JM62" s="212"/>
      <c r="JN62" s="212"/>
      <c r="JO62" s="212"/>
      <c r="JP62" s="212"/>
      <c r="JQ62" s="212"/>
      <c r="JR62" s="212"/>
      <c r="JS62" s="212"/>
      <c r="JT62" s="212"/>
      <c r="JU62" s="212"/>
      <c r="JV62" s="212"/>
      <c r="JW62" s="212"/>
      <c r="JX62" s="212"/>
      <c r="JY62" s="212"/>
      <c r="JZ62" s="212"/>
      <c r="KA62" s="212"/>
      <c r="KB62" s="212"/>
      <c r="KC62" s="212"/>
      <c r="KD62" s="212"/>
      <c r="KE62" s="212"/>
      <c r="KF62" s="212"/>
      <c r="KG62" s="212"/>
      <c r="KH62" s="212"/>
      <c r="KI62" s="212"/>
      <c r="KJ62" s="212"/>
      <c r="KK62" s="212"/>
      <c r="KL62" s="212"/>
      <c r="KM62" s="212"/>
      <c r="KN62" s="212"/>
      <c r="KO62" s="212"/>
      <c r="KP62" s="212"/>
      <c r="KQ62" s="212"/>
      <c r="KR62" s="212"/>
      <c r="KS62" s="212"/>
      <c r="KT62" s="212"/>
      <c r="KU62" s="212"/>
      <c r="KV62" s="212"/>
      <c r="KW62" s="212"/>
      <c r="KX62" s="212"/>
      <c r="KY62" s="212"/>
      <c r="KZ62" s="212"/>
      <c r="LA62" s="212"/>
      <c r="LB62" s="212"/>
      <c r="LC62" s="212"/>
      <c r="LD62" s="212"/>
      <c r="LE62" s="212"/>
      <c r="LF62" s="212"/>
      <c r="LG62" s="212"/>
      <c r="LH62" s="212"/>
      <c r="LI62" s="212"/>
      <c r="LJ62" s="212"/>
      <c r="LK62" s="212"/>
      <c r="LL62" s="212"/>
      <c r="LM62" s="212"/>
      <c r="LN62" s="212"/>
      <c r="LO62" s="212"/>
      <c r="LP62" s="212"/>
      <c r="LQ62" s="212"/>
      <c r="LR62" s="212"/>
      <c r="LS62" s="212"/>
      <c r="LT62" s="212"/>
      <c r="LU62" s="212"/>
      <c r="LV62" s="212"/>
      <c r="LW62" s="212"/>
      <c r="LX62" s="212"/>
      <c r="LY62" s="212"/>
      <c r="LZ62" s="212"/>
      <c r="MA62" s="212"/>
      <c r="MB62" s="212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2"/>
      <c r="NA62" s="212"/>
      <c r="NB62" s="212"/>
      <c r="NC62" s="212"/>
      <c r="ND62" s="212"/>
      <c r="NE62" s="212"/>
      <c r="NF62" s="212"/>
      <c r="NG62" s="212"/>
      <c r="NH62" s="212"/>
      <c r="NI62" s="212"/>
      <c r="NJ62" s="212"/>
      <c r="NK62" s="212"/>
      <c r="NL62" s="212"/>
      <c r="NM62" s="212"/>
      <c r="NN62" s="212"/>
      <c r="NO62" s="212"/>
      <c r="NP62" s="212"/>
      <c r="NQ62" s="212"/>
      <c r="NR62" s="212"/>
      <c r="NS62" s="212"/>
      <c r="NT62" s="212"/>
      <c r="NU62" s="212"/>
      <c r="NV62" s="212"/>
      <c r="NW62" s="212"/>
      <c r="NX62" s="212"/>
      <c r="NY62" s="212"/>
      <c r="NZ62" s="212"/>
      <c r="OA62" s="212"/>
      <c r="OB62" s="212"/>
      <c r="OC62" s="212"/>
      <c r="OD62" s="212"/>
      <c r="OE62" s="212"/>
      <c r="OF62" s="212"/>
      <c r="OG62" s="212"/>
      <c r="OH62" s="212"/>
      <c r="OI62" s="212"/>
      <c r="OJ62" s="212"/>
      <c r="OK62" s="212"/>
      <c r="OL62" s="212"/>
      <c r="OM62" s="212"/>
      <c r="ON62" s="212"/>
      <c r="OO62" s="212"/>
      <c r="OP62" s="212"/>
      <c r="OQ62" s="212"/>
      <c r="OR62" s="212"/>
      <c r="OS62" s="212"/>
      <c r="OT62" s="212"/>
      <c r="OU62" s="212"/>
      <c r="OV62" s="212"/>
      <c r="OW62" s="212"/>
      <c r="OX62" s="212"/>
      <c r="OY62" s="212"/>
      <c r="OZ62" s="212"/>
      <c r="PA62" s="212"/>
      <c r="PB62" s="212"/>
      <c r="PC62" s="212"/>
      <c r="PD62" s="212"/>
      <c r="PE62" s="212"/>
      <c r="PF62" s="212"/>
      <c r="PG62" s="212"/>
      <c r="PH62" s="212"/>
      <c r="PI62" s="212"/>
      <c r="PJ62" s="212"/>
      <c r="PK62" s="212"/>
      <c r="PL62" s="212"/>
      <c r="PM62" s="212"/>
      <c r="PN62" s="212"/>
      <c r="PO62" s="212"/>
      <c r="PP62" s="212"/>
      <c r="PQ62" s="212"/>
      <c r="PR62" s="212"/>
      <c r="PS62" s="212"/>
      <c r="PT62" s="212"/>
      <c r="PU62" s="212"/>
      <c r="PV62" s="212"/>
      <c r="PW62" s="212"/>
      <c r="PX62" s="212"/>
      <c r="PY62" s="212"/>
      <c r="PZ62" s="212"/>
      <c r="QA62" s="212"/>
      <c r="QB62" s="212"/>
      <c r="QC62" s="212"/>
      <c r="QD62" s="212"/>
      <c r="QE62" s="212"/>
      <c r="QF62" s="212"/>
      <c r="QG62" s="212"/>
      <c r="QH62" s="212"/>
      <c r="QI62" s="212"/>
      <c r="QJ62" s="212"/>
      <c r="QK62" s="212"/>
      <c r="QL62" s="212"/>
      <c r="QM62" s="212"/>
      <c r="QN62" s="212"/>
      <c r="QO62" s="212"/>
      <c r="QP62" s="212"/>
      <c r="QQ62" s="212"/>
      <c r="QR62" s="212"/>
      <c r="QS62" s="212"/>
      <c r="QT62" s="212"/>
      <c r="QU62" s="212"/>
      <c r="QV62" s="212"/>
      <c r="QW62" s="212"/>
      <c r="QX62" s="212"/>
      <c r="QY62" s="212"/>
      <c r="QZ62" s="212"/>
      <c r="RA62" s="212"/>
      <c r="RB62" s="212"/>
      <c r="RC62" s="212"/>
      <c r="RD62" s="212"/>
      <c r="RE62" s="212"/>
      <c r="RF62" s="212"/>
      <c r="RG62" s="212"/>
      <c r="RH62" s="212"/>
      <c r="RI62" s="212"/>
      <c r="RJ62" s="212"/>
      <c r="RK62" s="212"/>
      <c r="RL62" s="212"/>
      <c r="RM62" s="212"/>
      <c r="RN62" s="212"/>
      <c r="RO62" s="212"/>
      <c r="RP62" s="212"/>
      <c r="RQ62" s="212"/>
      <c r="RR62" s="212"/>
      <c r="RS62" s="212"/>
      <c r="RT62" s="212"/>
      <c r="RU62" s="212"/>
      <c r="RV62" s="212"/>
      <c r="RW62" s="212"/>
      <c r="RX62" s="212"/>
      <c r="RY62" s="212"/>
      <c r="RZ62" s="212"/>
      <c r="SA62" s="212"/>
      <c r="SB62" s="212"/>
      <c r="SC62" s="212"/>
      <c r="SD62" s="212"/>
      <c r="SE62" s="212"/>
      <c r="SF62" s="212"/>
      <c r="SG62" s="212"/>
      <c r="SH62" s="212"/>
      <c r="SI62" s="212"/>
      <c r="SJ62" s="212"/>
      <c r="SK62" s="212"/>
      <c r="SL62" s="212"/>
      <c r="SM62" s="212"/>
      <c r="SN62" s="212"/>
      <c r="SO62" s="212"/>
      <c r="SP62" s="212"/>
      <c r="SQ62" s="212"/>
      <c r="SR62" s="212"/>
      <c r="SS62" s="212"/>
      <c r="ST62" s="212"/>
      <c r="SU62" s="212"/>
      <c r="SV62" s="212"/>
      <c r="SW62" s="212"/>
      <c r="SX62" s="212"/>
      <c r="SY62" s="212"/>
      <c r="SZ62" s="212"/>
      <c r="TA62" s="212"/>
      <c r="TB62" s="212"/>
      <c r="TC62" s="212"/>
      <c r="TD62" s="212"/>
      <c r="TE62" s="212"/>
      <c r="TF62" s="212"/>
      <c r="TG62" s="212"/>
      <c r="TH62" s="212"/>
      <c r="TI62" s="212"/>
      <c r="TJ62" s="212"/>
      <c r="TK62" s="212"/>
      <c r="TL62" s="212"/>
      <c r="TM62" s="212"/>
      <c r="TN62" s="212"/>
      <c r="TO62" s="212"/>
      <c r="TP62" s="212"/>
      <c r="TQ62" s="212"/>
      <c r="TR62" s="212"/>
      <c r="TS62" s="212"/>
      <c r="TT62" s="212"/>
      <c r="TU62" s="212"/>
      <c r="TV62" s="212"/>
      <c r="TW62" s="212"/>
      <c r="TX62" s="212"/>
      <c r="TY62" s="212"/>
      <c r="TZ62" s="212"/>
      <c r="UA62" s="212"/>
      <c r="UB62" s="212"/>
      <c r="UC62" s="212"/>
      <c r="UD62" s="212"/>
      <c r="UE62" s="212"/>
      <c r="UF62" s="212"/>
      <c r="UG62" s="212"/>
      <c r="UH62" s="212"/>
      <c r="UI62" s="212"/>
      <c r="UJ62" s="212"/>
      <c r="UK62" s="212"/>
      <c r="UL62" s="212"/>
      <c r="UM62" s="212"/>
      <c r="UN62" s="212"/>
      <c r="UO62" s="212"/>
      <c r="UP62" s="212"/>
      <c r="UQ62" s="212"/>
      <c r="UR62" s="212"/>
      <c r="US62" s="212"/>
      <c r="UT62" s="212"/>
      <c r="UU62" s="212"/>
      <c r="UV62" s="212"/>
      <c r="UW62" s="212"/>
      <c r="UX62" s="212"/>
      <c r="UY62" s="212"/>
      <c r="UZ62" s="212"/>
      <c r="VA62" s="212"/>
      <c r="VB62" s="212"/>
      <c r="VC62" s="212"/>
      <c r="VD62" s="212"/>
      <c r="VE62" s="212"/>
      <c r="VF62" s="212"/>
      <c r="VG62" s="212"/>
      <c r="VH62" s="212"/>
      <c r="VI62" s="212"/>
      <c r="VJ62" s="212"/>
      <c r="VK62" s="212"/>
      <c r="VL62" s="212"/>
      <c r="VM62" s="212"/>
      <c r="VN62" s="212"/>
      <c r="VO62" s="212"/>
      <c r="VP62" s="212"/>
      <c r="VQ62" s="212"/>
      <c r="VR62" s="212"/>
      <c r="VS62" s="212"/>
      <c r="VT62" s="212"/>
      <c r="VU62" s="212"/>
      <c r="VV62" s="212"/>
      <c r="VW62" s="212"/>
      <c r="VX62" s="212"/>
      <c r="VY62" s="212"/>
      <c r="VZ62" s="212"/>
      <c r="WA62" s="212"/>
      <c r="WB62" s="212"/>
      <c r="WC62" s="212"/>
      <c r="WD62" s="212"/>
      <c r="WE62" s="212"/>
      <c r="WF62" s="212"/>
      <c r="WG62" s="212"/>
      <c r="WH62" s="212"/>
      <c r="WI62" s="212"/>
      <c r="WJ62" s="212"/>
      <c r="WK62" s="212"/>
      <c r="WL62" s="212"/>
      <c r="WM62" s="212"/>
      <c r="WN62" s="212"/>
      <c r="WO62" s="212"/>
      <c r="WP62" s="212"/>
      <c r="WQ62" s="212"/>
      <c r="WR62" s="212"/>
      <c r="WS62" s="212"/>
      <c r="WT62" s="212"/>
      <c r="WU62" s="212"/>
      <c r="WV62" s="212"/>
      <c r="WW62" s="212"/>
      <c r="WX62" s="212"/>
      <c r="WY62" s="212"/>
      <c r="WZ62" s="212"/>
      <c r="XA62" s="212"/>
      <c r="XB62" s="212"/>
      <c r="XC62" s="212"/>
      <c r="XD62" s="212"/>
      <c r="XE62" s="212"/>
      <c r="XF62" s="212"/>
      <c r="XG62" s="212"/>
      <c r="XH62" s="212"/>
      <c r="XI62" s="212"/>
      <c r="XJ62" s="212"/>
      <c r="XK62" s="212"/>
      <c r="XL62" s="212"/>
      <c r="XM62" s="212"/>
      <c r="XN62" s="212"/>
      <c r="XO62" s="212"/>
      <c r="XP62" s="212"/>
      <c r="XQ62" s="212"/>
      <c r="XR62" s="212"/>
      <c r="XS62" s="212"/>
      <c r="XT62" s="212"/>
      <c r="XU62" s="212"/>
      <c r="XV62" s="212"/>
      <c r="XW62" s="212"/>
      <c r="XX62" s="212"/>
      <c r="XY62" s="212"/>
      <c r="XZ62" s="212"/>
      <c r="YA62" s="212"/>
      <c r="YB62" s="212"/>
      <c r="YC62" s="212"/>
      <c r="YD62" s="212"/>
      <c r="YE62" s="212"/>
      <c r="YF62" s="212"/>
      <c r="YG62" s="212"/>
      <c r="YH62" s="212"/>
      <c r="YI62" s="212"/>
      <c r="YJ62" s="212"/>
      <c r="YK62" s="212"/>
      <c r="YL62" s="212"/>
      <c r="YM62" s="212"/>
      <c r="YN62" s="212"/>
      <c r="YO62" s="212"/>
      <c r="YP62" s="212"/>
      <c r="YQ62" s="212"/>
      <c r="YR62" s="212"/>
      <c r="YS62" s="212"/>
      <c r="YT62" s="212"/>
      <c r="YU62" s="212"/>
      <c r="YV62" s="212"/>
      <c r="YW62" s="212"/>
      <c r="YX62" s="212"/>
      <c r="YY62" s="212"/>
      <c r="YZ62" s="212"/>
      <c r="ZA62" s="212"/>
      <c r="ZB62" s="212"/>
      <c r="ZC62" s="212"/>
      <c r="ZD62" s="212"/>
      <c r="ZE62" s="212"/>
      <c r="ZF62" s="212"/>
      <c r="ZG62" s="212"/>
      <c r="ZH62" s="212"/>
      <c r="ZI62" s="212"/>
      <c r="ZJ62" s="212"/>
      <c r="ZK62" s="212"/>
      <c r="ZL62" s="212"/>
      <c r="ZM62" s="212"/>
      <c r="ZN62" s="212"/>
      <c r="ZO62" s="212"/>
      <c r="ZP62" s="212"/>
      <c r="ZQ62" s="212"/>
      <c r="ZR62" s="212"/>
      <c r="ZS62" s="212"/>
      <c r="ZT62" s="212"/>
      <c r="ZU62" s="212"/>
      <c r="ZV62" s="212"/>
      <c r="ZW62" s="212"/>
      <c r="ZX62" s="212"/>
      <c r="ZY62" s="212"/>
      <c r="ZZ62" s="212"/>
      <c r="AAA62" s="212"/>
      <c r="AAB62" s="212"/>
      <c r="AAC62" s="212"/>
      <c r="AAD62" s="212"/>
      <c r="AAE62" s="212"/>
      <c r="AAF62" s="212"/>
      <c r="AAG62" s="212"/>
      <c r="AAH62" s="212"/>
      <c r="AAI62" s="212"/>
      <c r="AAJ62" s="212"/>
      <c r="AAK62" s="212"/>
      <c r="AAL62" s="212"/>
      <c r="AAM62" s="212"/>
      <c r="AAN62" s="212"/>
      <c r="AAO62" s="212"/>
      <c r="AAP62" s="212"/>
      <c r="AAQ62" s="212"/>
      <c r="AAR62" s="212"/>
      <c r="AAS62" s="212"/>
      <c r="AAT62" s="212"/>
      <c r="AAU62" s="212"/>
      <c r="AAV62" s="212"/>
      <c r="AAW62" s="212"/>
      <c r="AAX62" s="212"/>
      <c r="AAY62" s="212"/>
      <c r="AAZ62" s="212"/>
      <c r="ABA62" s="212"/>
      <c r="ABB62" s="212"/>
      <c r="ABC62" s="212"/>
      <c r="ABD62" s="212"/>
      <c r="ABE62" s="212"/>
      <c r="ABF62" s="212"/>
      <c r="ABG62" s="212"/>
      <c r="ABH62" s="212"/>
      <c r="ABI62" s="212"/>
      <c r="ABJ62" s="212"/>
      <c r="ABK62" s="212"/>
      <c r="ABL62" s="212"/>
      <c r="ABM62" s="212"/>
      <c r="ABN62" s="212"/>
      <c r="ABO62" s="212"/>
      <c r="ABP62" s="212"/>
      <c r="ABQ62" s="212"/>
      <c r="ABR62" s="212"/>
      <c r="ABS62" s="212"/>
      <c r="ABT62" s="212"/>
      <c r="ABU62" s="212"/>
      <c r="ABV62" s="212"/>
      <c r="ABW62" s="212"/>
      <c r="ABX62" s="212"/>
      <c r="ABY62" s="212"/>
      <c r="ABZ62" s="212"/>
      <c r="ACA62" s="212"/>
      <c r="ACB62" s="212"/>
      <c r="ACC62" s="212"/>
      <c r="ACD62" s="212"/>
      <c r="ACE62" s="212"/>
      <c r="ACF62" s="212"/>
      <c r="ACG62" s="212"/>
      <c r="ACH62" s="212"/>
      <c r="ACI62" s="212"/>
      <c r="ACJ62" s="212"/>
      <c r="ACK62" s="212"/>
      <c r="ACL62" s="212"/>
      <c r="ACM62" s="212"/>
      <c r="ACN62" s="212"/>
      <c r="ACO62" s="212"/>
      <c r="ACP62" s="212"/>
      <c r="ACQ62" s="212"/>
      <c r="ACR62" s="212"/>
      <c r="ACS62" s="212"/>
      <c r="ACT62" s="212"/>
      <c r="ACU62" s="212"/>
      <c r="ACV62" s="212"/>
      <c r="ACW62" s="212"/>
      <c r="ACX62" s="212"/>
      <c r="ACY62" s="212"/>
      <c r="ACZ62" s="212"/>
      <c r="ADA62" s="212"/>
      <c r="ADB62" s="212"/>
      <c r="ADC62" s="212"/>
      <c r="ADD62" s="212"/>
      <c r="ADE62" s="212"/>
      <c r="ADF62" s="212"/>
      <c r="ADG62" s="212"/>
      <c r="ADH62" s="212"/>
      <c r="ADI62" s="212"/>
      <c r="ADJ62" s="212"/>
      <c r="ADK62" s="212"/>
      <c r="ADL62" s="212"/>
      <c r="ADM62" s="212"/>
      <c r="ADN62" s="212"/>
      <c r="ADO62" s="212"/>
      <c r="ADP62" s="212"/>
      <c r="ADQ62" s="212"/>
      <c r="ADR62" s="212"/>
      <c r="ADS62" s="212"/>
      <c r="ADT62" s="212"/>
      <c r="ADU62" s="212"/>
      <c r="ADV62" s="212"/>
      <c r="ADW62" s="212"/>
      <c r="ADX62" s="212"/>
      <c r="ADY62" s="212"/>
      <c r="ADZ62" s="212"/>
      <c r="AEA62" s="212"/>
      <c r="AEB62" s="212"/>
      <c r="AEC62" s="212"/>
      <c r="AED62" s="212"/>
      <c r="AEE62" s="212"/>
      <c r="AEF62" s="212"/>
      <c r="AEG62" s="212"/>
      <c r="AEH62" s="212"/>
      <c r="AEI62" s="212"/>
      <c r="AEJ62" s="212"/>
      <c r="AEK62" s="212"/>
      <c r="AEL62" s="212"/>
      <c r="AEM62" s="212"/>
      <c r="AEN62" s="212"/>
      <c r="AEO62" s="212"/>
      <c r="AEP62" s="212"/>
      <c r="AEQ62" s="212"/>
      <c r="AER62" s="212"/>
      <c r="AES62" s="212"/>
      <c r="AET62" s="212"/>
      <c r="AEU62" s="212"/>
      <c r="AEV62" s="212"/>
      <c r="AEW62" s="212"/>
      <c r="AEX62" s="212"/>
      <c r="AEY62" s="212"/>
      <c r="AEZ62" s="212"/>
      <c r="AFA62" s="212"/>
      <c r="AFB62" s="212"/>
      <c r="AFC62" s="212"/>
      <c r="AFD62" s="212"/>
      <c r="AFE62" s="212"/>
      <c r="AFF62" s="212"/>
      <c r="AFG62" s="212"/>
      <c r="AFH62" s="212"/>
      <c r="AFI62" s="212"/>
      <c r="AFJ62" s="212"/>
      <c r="AFK62" s="212"/>
      <c r="AFL62" s="212"/>
      <c r="AFM62" s="212"/>
      <c r="AFN62" s="212"/>
      <c r="AFO62" s="212"/>
      <c r="AFP62" s="212"/>
      <c r="AFQ62" s="212"/>
      <c r="AFR62" s="212"/>
      <c r="AFS62" s="212"/>
      <c r="AFT62" s="212"/>
      <c r="AFU62" s="212"/>
      <c r="AFV62" s="212"/>
      <c r="AFW62" s="212"/>
      <c r="AFX62" s="212"/>
      <c r="AFY62" s="212"/>
      <c r="AFZ62" s="212"/>
      <c r="AGA62" s="212"/>
      <c r="AGB62" s="212"/>
      <c r="AGC62" s="212"/>
      <c r="AGD62" s="212"/>
      <c r="AGE62" s="212"/>
      <c r="AGF62" s="212"/>
      <c r="AGG62" s="212"/>
      <c r="AGH62" s="212"/>
      <c r="AGI62" s="212"/>
      <c r="AGJ62" s="212"/>
      <c r="AGK62" s="212"/>
      <c r="AGL62" s="212"/>
      <c r="AGM62" s="212"/>
      <c r="AGN62" s="212"/>
      <c r="AGO62" s="212"/>
      <c r="AGP62" s="212"/>
      <c r="AGQ62" s="212"/>
      <c r="AGR62" s="212"/>
      <c r="AGS62" s="212"/>
      <c r="AGT62" s="212"/>
      <c r="AGU62" s="212"/>
      <c r="AGV62" s="212"/>
      <c r="AGW62" s="212"/>
      <c r="AGX62" s="212"/>
      <c r="AGY62" s="212"/>
      <c r="AGZ62" s="212"/>
      <c r="AHA62" s="212"/>
      <c r="AHB62" s="212"/>
      <c r="AHC62" s="212"/>
      <c r="AHD62" s="212"/>
      <c r="AHE62" s="212"/>
      <c r="AHF62" s="212"/>
      <c r="AHG62" s="212"/>
      <c r="AHH62" s="212"/>
      <c r="AHI62" s="212"/>
      <c r="AHJ62" s="212"/>
      <c r="AHK62" s="212"/>
      <c r="AHL62" s="212"/>
      <c r="AHM62" s="212"/>
      <c r="AHN62" s="212"/>
      <c r="AHO62" s="212"/>
      <c r="AHP62" s="212"/>
      <c r="AHQ62" s="212"/>
      <c r="AHR62" s="212"/>
      <c r="AHS62" s="212"/>
      <c r="AHT62" s="212"/>
      <c r="AHU62" s="212"/>
      <c r="AHV62" s="212"/>
      <c r="AHW62" s="212"/>
      <c r="AHX62" s="212"/>
      <c r="AHY62" s="212"/>
      <c r="AHZ62" s="212"/>
      <c r="AIA62" s="212"/>
      <c r="AIB62" s="212"/>
      <c r="AIC62" s="212"/>
      <c r="AID62" s="212"/>
      <c r="AIE62" s="212"/>
      <c r="AIF62" s="212"/>
      <c r="AIG62" s="212"/>
      <c r="AIH62" s="212"/>
      <c r="AII62" s="212"/>
      <c r="AIJ62" s="212"/>
      <c r="AIK62" s="212"/>
      <c r="AIL62" s="212"/>
      <c r="AIM62" s="212"/>
      <c r="AIN62" s="212"/>
      <c r="AIO62" s="212"/>
      <c r="AIP62" s="212"/>
      <c r="AIQ62" s="212"/>
      <c r="AIR62" s="212"/>
      <c r="AIS62" s="212"/>
      <c r="AIT62" s="212"/>
      <c r="AIU62" s="212"/>
      <c r="AIV62" s="212"/>
      <c r="AIW62" s="212"/>
      <c r="AIX62" s="212"/>
      <c r="AIY62" s="212"/>
      <c r="AIZ62" s="212"/>
      <c r="AJA62" s="212"/>
      <c r="AJB62" s="212"/>
      <c r="AJC62" s="212"/>
      <c r="AJD62" s="212"/>
      <c r="AJE62" s="212"/>
      <c r="AJF62" s="212"/>
      <c r="AJG62" s="212"/>
      <c r="AJH62" s="212"/>
      <c r="AJI62" s="212"/>
      <c r="AJJ62" s="212"/>
      <c r="AJK62" s="212"/>
      <c r="AJL62" s="212"/>
      <c r="AJM62" s="212"/>
      <c r="AJN62" s="212"/>
      <c r="AJO62" s="212"/>
      <c r="AJP62" s="212"/>
      <c r="AJQ62" s="212"/>
      <c r="AJR62" s="212"/>
      <c r="AJS62" s="212"/>
      <c r="AJT62" s="212"/>
      <c r="AJU62" s="212"/>
      <c r="AJV62" s="212"/>
      <c r="AJW62" s="212"/>
      <c r="AJX62" s="212"/>
      <c r="AJY62" s="212"/>
      <c r="AJZ62" s="212"/>
      <c r="AKA62" s="212"/>
      <c r="AKB62" s="212"/>
      <c r="AKC62" s="212"/>
      <c r="AKD62" s="212"/>
      <c r="AKE62" s="212"/>
      <c r="AKF62" s="212"/>
      <c r="AKG62" s="212"/>
      <c r="AKH62" s="212"/>
      <c r="AKI62" s="212"/>
      <c r="AKJ62" s="212"/>
      <c r="AKK62" s="212"/>
      <c r="AKL62" s="212"/>
      <c r="AKM62" s="212"/>
      <c r="AKN62" s="212"/>
      <c r="AKO62" s="212"/>
      <c r="AKP62" s="212"/>
      <c r="AKQ62" s="212"/>
      <c r="AKR62" s="212"/>
      <c r="AKS62" s="212"/>
      <c r="AKT62" s="212"/>
      <c r="AKU62" s="212"/>
      <c r="AKV62" s="212"/>
      <c r="AKW62" s="212"/>
      <c r="AKX62" s="212"/>
      <c r="AKY62" s="212"/>
      <c r="AKZ62" s="212"/>
      <c r="ALA62" s="212"/>
      <c r="ALB62" s="212"/>
      <c r="ALC62" s="212"/>
      <c r="ALD62" s="212"/>
      <c r="ALE62" s="212"/>
      <c r="ALF62" s="212"/>
      <c r="ALG62" s="212"/>
      <c r="ALH62" s="212"/>
      <c r="ALI62" s="212"/>
      <c r="ALJ62" s="212"/>
      <c r="ALK62" s="212"/>
      <c r="ALL62" s="212"/>
      <c r="ALM62" s="212"/>
      <c r="ALN62" s="212"/>
      <c r="ALO62" s="212"/>
      <c r="ALP62" s="212"/>
      <c r="ALQ62" s="212"/>
      <c r="ALR62" s="212"/>
      <c r="ALS62" s="212"/>
      <c r="ALT62" s="212"/>
      <c r="ALU62" s="212"/>
      <c r="ALV62" s="212"/>
      <c r="ALW62" s="212"/>
      <c r="ALX62" s="212"/>
      <c r="ALY62" s="212"/>
      <c r="ALZ62" s="212"/>
      <c r="AMA62" s="212"/>
      <c r="AMB62" s="212"/>
      <c r="AMC62" s="212"/>
      <c r="AMD62" s="212"/>
      <c r="AME62" s="212"/>
      <c r="AMF62" s="212"/>
      <c r="AMG62" s="212"/>
      <c r="AMH62" s="212"/>
      <c r="AMI62" s="212"/>
      <c r="AMJ62" s="212"/>
      <c r="AMK62" s="212"/>
      <c r="AML62" s="212"/>
      <c r="AMM62" s="212"/>
      <c r="AMN62" s="212"/>
      <c r="AMO62" s="212"/>
      <c r="AMP62" s="212"/>
      <c r="AMQ62" s="212"/>
      <c r="AMR62" s="212"/>
      <c r="AMS62" s="212"/>
      <c r="AMT62" s="212"/>
      <c r="AMU62" s="212"/>
      <c r="AMV62" s="212"/>
      <c r="AMW62" s="212"/>
      <c r="AMX62" s="212"/>
      <c r="AMY62" s="212"/>
      <c r="AMZ62" s="212"/>
      <c r="ANA62" s="212"/>
      <c r="ANB62" s="212"/>
      <c r="ANC62" s="212"/>
      <c r="AND62" s="212"/>
      <c r="ANE62" s="212"/>
      <c r="ANF62" s="212"/>
      <c r="ANG62" s="212"/>
      <c r="ANH62" s="212"/>
      <c r="ANI62" s="212"/>
      <c r="ANJ62" s="212"/>
      <c r="ANK62" s="212"/>
      <c r="ANL62" s="212"/>
      <c r="ANM62" s="212"/>
      <c r="ANN62" s="212"/>
      <c r="ANO62" s="212"/>
      <c r="ANP62" s="212"/>
      <c r="ANQ62" s="212"/>
      <c r="ANR62" s="212"/>
      <c r="ANS62" s="212"/>
      <c r="ANT62" s="212"/>
      <c r="ANU62" s="212"/>
      <c r="ANV62" s="212"/>
      <c r="ANW62" s="212"/>
      <c r="ANX62" s="212"/>
      <c r="ANY62" s="212"/>
      <c r="ANZ62" s="212"/>
      <c r="AOA62" s="212"/>
      <c r="AOB62" s="212"/>
      <c r="AOC62" s="212"/>
      <c r="AOD62" s="212"/>
      <c r="AOE62" s="212"/>
      <c r="AOF62" s="212"/>
      <c r="AOG62" s="212"/>
      <c r="AOH62" s="212"/>
      <c r="AOI62" s="212"/>
      <c r="AOJ62" s="212"/>
      <c r="AOK62" s="212"/>
      <c r="AOL62" s="212"/>
      <c r="AOM62" s="212"/>
      <c r="AON62" s="212"/>
      <c r="AOO62" s="212"/>
      <c r="AOP62" s="212"/>
      <c r="AOQ62" s="212"/>
      <c r="AOR62" s="212"/>
      <c r="AOS62" s="212"/>
      <c r="AOT62" s="212"/>
      <c r="AOU62" s="212"/>
      <c r="AOV62" s="212"/>
      <c r="AOW62" s="212"/>
      <c r="AOX62" s="212"/>
      <c r="AOY62" s="212"/>
      <c r="AOZ62" s="212"/>
      <c r="APA62" s="212"/>
      <c r="APB62" s="212"/>
      <c r="APC62" s="212"/>
      <c r="APD62" s="212"/>
      <c r="APE62" s="212"/>
      <c r="APF62" s="212"/>
      <c r="APG62" s="212"/>
      <c r="APH62" s="212"/>
      <c r="API62" s="212"/>
      <c r="APJ62" s="212"/>
      <c r="APK62" s="212"/>
      <c r="APL62" s="212"/>
      <c r="APM62" s="212"/>
      <c r="APN62" s="212"/>
      <c r="APO62" s="212"/>
      <c r="APP62" s="212"/>
      <c r="APQ62" s="212"/>
      <c r="APR62" s="212"/>
      <c r="APS62" s="212"/>
      <c r="APT62" s="212"/>
      <c r="APU62" s="212"/>
      <c r="APV62" s="212"/>
      <c r="APW62" s="212"/>
      <c r="APX62" s="212"/>
      <c r="APY62" s="212"/>
      <c r="APZ62" s="212"/>
      <c r="AQA62" s="212"/>
      <c r="AQB62" s="212"/>
      <c r="AQC62" s="212"/>
      <c r="AQD62" s="212"/>
      <c r="AQE62" s="212"/>
      <c r="AQF62" s="212"/>
      <c r="AQG62" s="212"/>
      <c r="AQH62" s="212"/>
      <c r="AQI62" s="212"/>
      <c r="AQJ62" s="212"/>
      <c r="AQK62" s="212"/>
      <c r="AQL62" s="212"/>
      <c r="AQM62" s="212"/>
      <c r="AQN62" s="212"/>
      <c r="AQO62" s="212"/>
      <c r="AQP62" s="212"/>
      <c r="AQQ62" s="212"/>
      <c r="AQR62" s="212"/>
      <c r="AQS62" s="212"/>
      <c r="AQT62" s="212"/>
      <c r="AQU62" s="212"/>
      <c r="AQV62" s="212"/>
      <c r="AQW62" s="212"/>
      <c r="AQX62" s="212"/>
      <c r="AQY62" s="212"/>
      <c r="AQZ62" s="212"/>
      <c r="ARA62" s="212"/>
      <c r="ARB62" s="212"/>
      <c r="ARC62" s="212"/>
      <c r="ARD62" s="212"/>
      <c r="ARE62" s="212"/>
      <c r="ARF62" s="212"/>
      <c r="ARG62" s="212"/>
      <c r="ARH62" s="212"/>
      <c r="ARI62" s="212"/>
      <c r="ARJ62" s="212"/>
      <c r="ARK62" s="212"/>
      <c r="ARL62" s="212"/>
      <c r="ARM62" s="212"/>
      <c r="ARN62" s="212"/>
      <c r="ARO62" s="212"/>
      <c r="ARP62" s="212"/>
      <c r="ARQ62" s="212"/>
      <c r="ARR62" s="212"/>
      <c r="ARS62" s="212"/>
      <c r="ART62" s="212"/>
      <c r="ARU62" s="212"/>
      <c r="ARV62" s="212"/>
      <c r="ARW62" s="212"/>
      <c r="ARX62" s="212"/>
      <c r="ARY62" s="212"/>
      <c r="ARZ62" s="212"/>
      <c r="ASA62" s="212"/>
      <c r="ASB62" s="212"/>
      <c r="ASC62" s="212"/>
      <c r="ASD62" s="212"/>
      <c r="ASE62" s="212"/>
      <c r="ASF62" s="212"/>
      <c r="ASG62" s="212"/>
      <c r="ASH62" s="212"/>
      <c r="ASI62" s="212"/>
      <c r="ASJ62" s="212"/>
      <c r="ASK62" s="212"/>
      <c r="ASL62" s="212"/>
      <c r="ASM62" s="212"/>
      <c r="ASN62" s="212"/>
      <c r="ASO62" s="212"/>
      <c r="ASP62" s="212"/>
      <c r="ASQ62" s="212"/>
      <c r="ASR62" s="212"/>
      <c r="ASS62" s="212"/>
      <c r="AST62" s="212"/>
      <c r="ASU62" s="212"/>
      <c r="ASV62" s="212"/>
      <c r="ASW62" s="212"/>
      <c r="ASX62" s="212"/>
      <c r="ASY62" s="212"/>
      <c r="ASZ62" s="212"/>
      <c r="ATA62" s="212"/>
      <c r="ATB62" s="212"/>
      <c r="ATC62" s="212"/>
      <c r="ATD62" s="212"/>
      <c r="ATE62" s="212"/>
      <c r="ATF62" s="212"/>
      <c r="ATG62" s="212"/>
      <c r="ATH62" s="212"/>
      <c r="ATI62" s="212"/>
      <c r="ATJ62" s="212"/>
      <c r="ATK62" s="212"/>
      <c r="ATL62" s="212"/>
      <c r="ATM62" s="212"/>
      <c r="ATN62" s="212"/>
      <c r="ATO62" s="212"/>
      <c r="ATP62" s="212"/>
      <c r="ATQ62" s="212"/>
      <c r="ATR62" s="212"/>
      <c r="ATS62" s="212"/>
      <c r="ATT62" s="212"/>
      <c r="ATU62" s="212"/>
      <c r="ATV62" s="212"/>
      <c r="ATW62" s="212"/>
      <c r="ATX62" s="212"/>
      <c r="ATY62" s="212"/>
      <c r="ATZ62" s="212"/>
      <c r="AUA62" s="212"/>
      <c r="AUB62" s="212"/>
      <c r="AUC62" s="212"/>
      <c r="AUD62" s="212"/>
      <c r="AUE62" s="212"/>
      <c r="AUF62" s="212"/>
      <c r="AUG62" s="212"/>
      <c r="AUH62" s="212"/>
      <c r="AUI62" s="212"/>
      <c r="AUJ62" s="212"/>
      <c r="AUK62" s="212"/>
      <c r="AUL62" s="212"/>
      <c r="AUM62" s="212"/>
      <c r="AUN62" s="212"/>
      <c r="AUO62" s="212"/>
      <c r="AUP62" s="212"/>
      <c r="AUQ62" s="212"/>
      <c r="AUR62" s="212"/>
      <c r="AUS62" s="212"/>
      <c r="AUT62" s="212"/>
      <c r="AUU62" s="212"/>
      <c r="AUV62" s="212"/>
      <c r="AUW62" s="212"/>
      <c r="AUX62" s="212"/>
      <c r="AUY62" s="212"/>
      <c r="AUZ62" s="212"/>
      <c r="AVA62" s="212"/>
      <c r="AVB62" s="212"/>
      <c r="AVC62" s="212"/>
      <c r="AVD62" s="212"/>
      <c r="AVE62" s="212"/>
      <c r="AVF62" s="212"/>
      <c r="AVG62" s="212"/>
      <c r="AVH62" s="212"/>
      <c r="AVI62" s="212"/>
      <c r="AVJ62" s="212"/>
      <c r="AVK62" s="212"/>
      <c r="AVL62" s="212"/>
      <c r="AVM62" s="212"/>
      <c r="AVN62" s="212"/>
      <c r="AVO62" s="212"/>
      <c r="AVP62" s="212"/>
      <c r="AVQ62" s="212"/>
      <c r="AVR62" s="212"/>
      <c r="AVS62" s="212"/>
      <c r="AVT62" s="212"/>
      <c r="AVU62" s="212"/>
      <c r="AVV62" s="212"/>
      <c r="AVW62" s="212"/>
      <c r="AVX62" s="212"/>
      <c r="AVY62" s="212"/>
      <c r="AVZ62" s="212"/>
      <c r="AWA62" s="212"/>
      <c r="AWB62" s="212"/>
      <c r="AWC62" s="212"/>
      <c r="AWD62" s="212"/>
      <c r="AWE62" s="212"/>
      <c r="AWF62" s="212"/>
      <c r="AWG62" s="212"/>
      <c r="AWH62" s="212"/>
      <c r="AWI62" s="212"/>
      <c r="AWJ62" s="212"/>
      <c r="AWK62" s="212"/>
      <c r="AWL62" s="212"/>
      <c r="AWM62" s="212"/>
      <c r="AWN62" s="212"/>
      <c r="AWO62" s="212"/>
      <c r="AWP62" s="212"/>
      <c r="AWQ62" s="212"/>
      <c r="AWR62" s="212"/>
      <c r="AWS62" s="212"/>
      <c r="AWT62" s="212"/>
      <c r="AWU62" s="212"/>
      <c r="AWV62" s="212"/>
      <c r="AWW62" s="212"/>
      <c r="AWX62" s="212"/>
      <c r="AWY62" s="212"/>
      <c r="AWZ62" s="212"/>
      <c r="AXA62" s="212"/>
      <c r="AXB62" s="212"/>
      <c r="AXC62" s="212"/>
      <c r="AXD62" s="212"/>
      <c r="AXE62" s="212"/>
      <c r="AXF62" s="212"/>
      <c r="AXG62" s="212"/>
      <c r="AXH62" s="212"/>
      <c r="AXI62" s="212"/>
      <c r="AXJ62" s="212"/>
      <c r="AXK62" s="212"/>
      <c r="AXL62" s="212"/>
      <c r="AXM62" s="212"/>
      <c r="AXN62" s="212"/>
      <c r="AXO62" s="212"/>
      <c r="AXP62" s="212"/>
      <c r="AXQ62" s="212"/>
      <c r="AXR62" s="212"/>
      <c r="AXS62" s="212"/>
      <c r="AXT62" s="212"/>
      <c r="AXU62" s="212"/>
      <c r="AXV62" s="212"/>
      <c r="AXW62" s="212"/>
      <c r="AXX62" s="212"/>
      <c r="AXY62" s="212"/>
      <c r="AXZ62" s="212"/>
      <c r="AYA62" s="212"/>
      <c r="AYB62" s="212"/>
      <c r="AYC62" s="212"/>
      <c r="AYD62" s="212"/>
      <c r="AYE62" s="212"/>
      <c r="AYF62" s="212"/>
      <c r="AYG62" s="212"/>
      <c r="AYH62" s="212"/>
      <c r="AYI62" s="212"/>
      <c r="AYJ62" s="212"/>
      <c r="AYK62" s="212"/>
      <c r="AYL62" s="212"/>
      <c r="AYM62" s="212"/>
      <c r="AYN62" s="212"/>
      <c r="AYO62" s="212"/>
      <c r="AYP62" s="212"/>
      <c r="AYQ62" s="212"/>
      <c r="AYR62" s="212"/>
      <c r="AYS62" s="212"/>
      <c r="AYT62" s="212"/>
      <c r="AYU62" s="212"/>
      <c r="AYV62" s="212"/>
      <c r="AYW62" s="212"/>
      <c r="AYX62" s="212"/>
      <c r="AYY62" s="212"/>
      <c r="AYZ62" s="212"/>
      <c r="AZA62" s="212"/>
      <c r="AZB62" s="212"/>
      <c r="AZC62" s="212"/>
      <c r="AZD62" s="212"/>
      <c r="AZE62" s="212"/>
      <c r="AZF62" s="212"/>
      <c r="AZG62" s="212"/>
      <c r="AZH62" s="212"/>
      <c r="AZI62" s="212"/>
      <c r="AZJ62" s="212"/>
      <c r="AZK62" s="212"/>
      <c r="AZL62" s="212"/>
      <c r="AZM62" s="212"/>
      <c r="AZN62" s="212"/>
      <c r="AZO62" s="212"/>
      <c r="AZP62" s="212"/>
      <c r="AZQ62" s="212"/>
      <c r="AZR62" s="212"/>
      <c r="AZS62" s="212"/>
      <c r="AZT62" s="212"/>
      <c r="AZU62" s="212"/>
      <c r="AZV62" s="212"/>
      <c r="AZW62" s="212"/>
      <c r="AZX62" s="212"/>
      <c r="AZY62" s="212"/>
      <c r="AZZ62" s="212"/>
      <c r="BAA62" s="212"/>
      <c r="BAB62" s="212"/>
      <c r="BAC62" s="212"/>
      <c r="BAD62" s="212"/>
      <c r="BAE62" s="212"/>
      <c r="BAF62" s="212"/>
      <c r="BAG62" s="212"/>
      <c r="BAH62" s="212"/>
      <c r="BAI62" s="212"/>
      <c r="BAJ62" s="212"/>
      <c r="BAK62" s="212"/>
      <c r="BAL62" s="212"/>
      <c r="BAM62" s="212"/>
      <c r="BAN62" s="212"/>
      <c r="BAO62" s="212"/>
      <c r="BAP62" s="212"/>
      <c r="BAQ62" s="212"/>
      <c r="BAR62" s="212"/>
      <c r="BAS62" s="212"/>
      <c r="BAT62" s="212"/>
      <c r="BAU62" s="212"/>
      <c r="BAV62" s="212"/>
      <c r="BAW62" s="212"/>
      <c r="BAX62" s="212"/>
      <c r="BAY62" s="212"/>
      <c r="BAZ62" s="212"/>
      <c r="BBA62" s="212"/>
      <c r="BBB62" s="212"/>
      <c r="BBC62" s="212"/>
      <c r="BBD62" s="212"/>
      <c r="BBE62" s="212"/>
      <c r="BBF62" s="212"/>
      <c r="BBG62" s="212"/>
      <c r="BBH62" s="212"/>
      <c r="BBI62" s="212"/>
      <c r="BBJ62" s="212"/>
      <c r="BBK62" s="212"/>
      <c r="BBL62" s="212"/>
      <c r="BBM62" s="212"/>
      <c r="BBN62" s="212"/>
      <c r="BBO62" s="212"/>
      <c r="BBP62" s="212"/>
      <c r="BBQ62" s="212"/>
      <c r="BBR62" s="212"/>
      <c r="BBS62" s="212"/>
      <c r="BBT62" s="212"/>
      <c r="BBU62" s="212"/>
      <c r="BBV62" s="212"/>
      <c r="BBW62" s="212"/>
      <c r="BBX62" s="212"/>
      <c r="BBY62" s="212"/>
      <c r="BBZ62" s="212"/>
      <c r="BCA62" s="212"/>
      <c r="BCB62" s="212"/>
      <c r="BCC62" s="212"/>
      <c r="BCD62" s="212"/>
      <c r="BCE62" s="212"/>
      <c r="BCF62" s="212"/>
      <c r="BCG62" s="212"/>
      <c r="BCH62" s="212"/>
      <c r="BCI62" s="212"/>
      <c r="BCJ62" s="212"/>
      <c r="BCK62" s="212"/>
      <c r="BCL62" s="212"/>
      <c r="BCM62" s="212"/>
      <c r="BCN62" s="212"/>
      <c r="BCO62" s="212"/>
      <c r="BCP62" s="212"/>
      <c r="BCQ62" s="212"/>
      <c r="BCR62" s="212"/>
      <c r="BCS62" s="212"/>
      <c r="BCT62" s="212"/>
      <c r="BCU62" s="212"/>
      <c r="BCV62" s="212"/>
      <c r="BCW62" s="212"/>
      <c r="BCX62" s="212"/>
      <c r="BCY62" s="212"/>
      <c r="BCZ62" s="212"/>
      <c r="BDA62" s="212"/>
      <c r="BDB62" s="212"/>
      <c r="BDC62" s="212"/>
      <c r="BDD62" s="212"/>
      <c r="BDE62" s="212"/>
      <c r="BDF62" s="212"/>
      <c r="BDG62" s="212"/>
      <c r="BDH62" s="212"/>
      <c r="BDI62" s="212"/>
      <c r="BDJ62" s="212"/>
      <c r="BDK62" s="212"/>
      <c r="BDL62" s="212"/>
      <c r="BDM62" s="212"/>
      <c r="BDN62" s="212"/>
      <c r="BDO62" s="212"/>
      <c r="BDP62" s="212"/>
      <c r="BDQ62" s="212"/>
      <c r="BDR62" s="212"/>
      <c r="BDS62" s="212"/>
      <c r="BDT62" s="212"/>
      <c r="BDU62" s="212"/>
      <c r="BDV62" s="212"/>
      <c r="BDW62" s="212"/>
      <c r="BDX62" s="212"/>
      <c r="BDY62" s="212"/>
      <c r="BDZ62" s="212"/>
      <c r="BEA62" s="212"/>
      <c r="BEB62" s="212"/>
      <c r="BEC62" s="212"/>
      <c r="BED62" s="212"/>
      <c r="BEE62" s="212"/>
      <c r="BEF62" s="212"/>
      <c r="BEG62" s="212"/>
      <c r="BEH62" s="212"/>
      <c r="BEI62" s="212"/>
      <c r="BEJ62" s="212"/>
      <c r="BEK62" s="212"/>
      <c r="BEL62" s="212"/>
      <c r="BEM62" s="212"/>
      <c r="BEN62" s="212"/>
      <c r="BEO62" s="212"/>
      <c r="BEP62" s="212"/>
      <c r="BEQ62" s="212"/>
      <c r="BER62" s="212"/>
      <c r="BES62" s="212"/>
      <c r="BET62" s="212"/>
      <c r="BEU62" s="212"/>
      <c r="BEV62" s="212"/>
      <c r="BEW62" s="212"/>
      <c r="BEX62" s="212"/>
      <c r="BEY62" s="212"/>
      <c r="BEZ62" s="212"/>
      <c r="BFA62" s="212"/>
      <c r="BFB62" s="212"/>
      <c r="BFC62" s="212"/>
      <c r="BFD62" s="212"/>
      <c r="BFE62" s="212"/>
      <c r="BFF62" s="212"/>
      <c r="BFG62" s="212"/>
      <c r="BFH62" s="212"/>
      <c r="BFI62" s="212"/>
      <c r="BFJ62" s="212"/>
      <c r="BFK62" s="212"/>
      <c r="BFL62" s="212"/>
      <c r="BFM62" s="212"/>
      <c r="BFN62" s="212"/>
      <c r="BFO62" s="212"/>
      <c r="BFP62" s="212"/>
      <c r="BFQ62" s="212"/>
      <c r="BFR62" s="212"/>
      <c r="BFS62" s="212"/>
      <c r="BFT62" s="212"/>
      <c r="BFU62" s="212"/>
      <c r="BFV62" s="212"/>
      <c r="BFW62" s="212"/>
      <c r="BFX62" s="212"/>
      <c r="BFY62" s="212"/>
      <c r="BFZ62" s="212"/>
      <c r="BGA62" s="212"/>
      <c r="BGB62" s="212"/>
      <c r="BGC62" s="212"/>
      <c r="BGD62" s="212"/>
      <c r="BGE62" s="212"/>
      <c r="BGF62" s="212"/>
      <c r="BGG62" s="212"/>
      <c r="BGH62" s="212"/>
      <c r="BGI62" s="212"/>
      <c r="BGJ62" s="212"/>
      <c r="BGK62" s="212"/>
      <c r="BGL62" s="212"/>
      <c r="BGM62" s="212"/>
      <c r="BGN62" s="212"/>
      <c r="BGO62" s="212"/>
      <c r="BGP62" s="212"/>
      <c r="BGQ62" s="212"/>
      <c r="BGR62" s="212"/>
      <c r="BGS62" s="212"/>
      <c r="BGT62" s="212"/>
      <c r="BGU62" s="212"/>
      <c r="BGV62" s="212"/>
      <c r="BGW62" s="212"/>
      <c r="BGX62" s="212"/>
      <c r="BGY62" s="212"/>
      <c r="BGZ62" s="212"/>
      <c r="BHA62" s="212"/>
      <c r="BHB62" s="212"/>
      <c r="BHC62" s="212"/>
      <c r="BHD62" s="212"/>
      <c r="BHE62" s="212"/>
      <c r="BHF62" s="212"/>
      <c r="BHG62" s="212"/>
      <c r="BHH62" s="212"/>
      <c r="BHI62" s="212"/>
      <c r="BHJ62" s="212"/>
      <c r="BHK62" s="212"/>
      <c r="BHL62" s="212"/>
      <c r="BHM62" s="212"/>
      <c r="BHN62" s="212"/>
      <c r="BHO62" s="212"/>
      <c r="BHP62" s="212"/>
      <c r="BHQ62" s="212"/>
      <c r="BHR62" s="212"/>
      <c r="BHS62" s="212"/>
      <c r="BHT62" s="212"/>
      <c r="BHU62" s="212"/>
      <c r="BHV62" s="212"/>
      <c r="BHW62" s="212"/>
      <c r="BHX62" s="212"/>
      <c r="BHY62" s="212"/>
      <c r="BHZ62" s="212"/>
      <c r="BIA62" s="212"/>
      <c r="BIB62" s="212"/>
      <c r="BIC62" s="212"/>
      <c r="BID62" s="212"/>
      <c r="BIE62" s="212"/>
      <c r="BIF62" s="212"/>
      <c r="BIG62" s="212"/>
      <c r="BIH62" s="212"/>
      <c r="BII62" s="212"/>
      <c r="BIJ62" s="212"/>
      <c r="BIK62" s="212"/>
      <c r="BIL62" s="212"/>
      <c r="BIM62" s="212"/>
      <c r="BIN62" s="212"/>
      <c r="BIO62" s="212"/>
      <c r="BIP62" s="212"/>
      <c r="BIQ62" s="212"/>
      <c r="BIR62" s="212"/>
      <c r="BIS62" s="212"/>
      <c r="BIT62" s="212"/>
      <c r="BIU62" s="212"/>
      <c r="BIV62" s="212"/>
      <c r="BIW62" s="212"/>
      <c r="BIX62" s="212"/>
      <c r="BIY62" s="212"/>
      <c r="BIZ62" s="212"/>
      <c r="BJA62" s="212"/>
      <c r="BJB62" s="212"/>
      <c r="BJC62" s="212"/>
      <c r="BJD62" s="212"/>
      <c r="BJE62" s="212"/>
      <c r="BJF62" s="212"/>
      <c r="BJG62" s="212"/>
      <c r="BJH62" s="212"/>
      <c r="BJI62" s="212"/>
      <c r="BJJ62" s="212"/>
      <c r="BJK62" s="212"/>
      <c r="BJL62" s="212"/>
      <c r="BJM62" s="212"/>
      <c r="BJN62" s="212"/>
      <c r="BJO62" s="212"/>
      <c r="BJP62" s="212"/>
      <c r="BJQ62" s="212"/>
      <c r="BJR62" s="212"/>
      <c r="BJS62" s="212"/>
      <c r="BJT62" s="212"/>
      <c r="BJU62" s="212"/>
      <c r="BJV62" s="212"/>
      <c r="BJW62" s="212"/>
      <c r="BJX62" s="212"/>
      <c r="BJY62" s="212"/>
      <c r="BJZ62" s="212"/>
      <c r="BKA62" s="212"/>
      <c r="BKB62" s="212"/>
      <c r="BKC62" s="212"/>
      <c r="BKD62" s="212"/>
      <c r="BKE62" s="212"/>
      <c r="BKF62" s="212"/>
      <c r="BKG62" s="212"/>
      <c r="BKH62" s="212"/>
      <c r="BKI62" s="212"/>
      <c r="BKJ62" s="212"/>
      <c r="BKK62" s="212"/>
      <c r="BKL62" s="212"/>
      <c r="BKM62" s="212"/>
      <c r="BKN62" s="212"/>
      <c r="BKO62" s="212"/>
      <c r="BKP62" s="212"/>
      <c r="BKQ62" s="212"/>
      <c r="BKR62" s="212"/>
      <c r="BKS62" s="212"/>
      <c r="BKT62" s="212"/>
      <c r="BKU62" s="212"/>
      <c r="BKV62" s="212"/>
      <c r="BKW62" s="212"/>
      <c r="BKX62" s="212"/>
      <c r="BKY62" s="212"/>
      <c r="BKZ62" s="212"/>
      <c r="BLA62" s="212"/>
      <c r="BLB62" s="212"/>
      <c r="BLC62" s="212"/>
      <c r="BLD62" s="212"/>
      <c r="BLE62" s="212"/>
      <c r="BLF62" s="212"/>
      <c r="BLG62" s="212"/>
      <c r="BLH62" s="212"/>
      <c r="BLI62" s="212"/>
      <c r="BLJ62" s="212"/>
      <c r="BLK62" s="212"/>
      <c r="BLL62" s="212"/>
      <c r="BLM62" s="212"/>
      <c r="BLN62" s="212"/>
      <c r="BLO62" s="212"/>
      <c r="BLP62" s="212"/>
      <c r="BLQ62" s="212"/>
      <c r="BLR62" s="212"/>
      <c r="BLS62" s="212"/>
      <c r="BLT62" s="212"/>
      <c r="BLU62" s="212"/>
      <c r="BLV62" s="212"/>
      <c r="BLW62" s="212"/>
      <c r="BLX62" s="212"/>
      <c r="BLY62" s="212"/>
      <c r="BLZ62" s="212"/>
      <c r="BMA62" s="212"/>
      <c r="BMB62" s="212"/>
      <c r="BMC62" s="212"/>
      <c r="BMD62" s="212"/>
      <c r="BME62" s="212"/>
      <c r="BMF62" s="212"/>
      <c r="BMG62" s="212"/>
      <c r="BMH62" s="212"/>
      <c r="BMI62" s="212"/>
      <c r="BMJ62" s="212"/>
      <c r="BMK62" s="212"/>
      <c r="BML62" s="212"/>
      <c r="BMM62" s="212"/>
      <c r="BMN62" s="212"/>
      <c r="BMO62" s="212"/>
      <c r="BMP62" s="212"/>
      <c r="BMQ62" s="212"/>
      <c r="BMR62" s="212"/>
      <c r="BMS62" s="212"/>
      <c r="BMT62" s="212"/>
      <c r="BMU62" s="212"/>
      <c r="BMV62" s="212"/>
      <c r="BMW62" s="212"/>
      <c r="BMX62" s="212"/>
      <c r="BMY62" s="212"/>
      <c r="BMZ62" s="212"/>
      <c r="BNA62" s="212"/>
      <c r="BNB62" s="212"/>
      <c r="BNC62" s="212"/>
      <c r="BND62" s="212"/>
      <c r="BNE62" s="212"/>
      <c r="BNF62" s="212"/>
      <c r="BNG62" s="212"/>
      <c r="BNH62" s="212"/>
      <c r="BNI62" s="212"/>
      <c r="BNJ62" s="212"/>
      <c r="BNK62" s="212"/>
      <c r="BNL62" s="212"/>
      <c r="BNM62" s="212"/>
      <c r="BNN62" s="212"/>
      <c r="BNO62" s="212"/>
      <c r="BNP62" s="212"/>
      <c r="BNQ62" s="212"/>
      <c r="BNR62" s="212"/>
      <c r="BNS62" s="212"/>
      <c r="BNT62" s="212"/>
      <c r="BNU62" s="212"/>
      <c r="BNV62" s="212"/>
      <c r="BNW62" s="212"/>
      <c r="BNX62" s="212"/>
      <c r="BNY62" s="212"/>
      <c r="BNZ62" s="212"/>
      <c r="BOA62" s="212"/>
      <c r="BOB62" s="212"/>
      <c r="BOC62" s="212"/>
      <c r="BOD62" s="212"/>
      <c r="BOE62" s="212"/>
      <c r="BOF62" s="212"/>
      <c r="BOG62" s="212"/>
      <c r="BOH62" s="212"/>
      <c r="BOI62" s="212"/>
      <c r="BOJ62" s="212"/>
      <c r="BOK62" s="212"/>
      <c r="BOL62" s="212"/>
      <c r="BOM62" s="212"/>
      <c r="BON62" s="212"/>
      <c r="BOO62" s="212"/>
      <c r="BOP62" s="212"/>
      <c r="BOQ62" s="212"/>
      <c r="BOR62" s="212"/>
      <c r="BOS62" s="212"/>
      <c r="BOT62" s="212"/>
      <c r="BOU62" s="212"/>
      <c r="BOV62" s="212"/>
      <c r="BOW62" s="212"/>
      <c r="BOX62" s="212"/>
      <c r="BOY62" s="212"/>
      <c r="BOZ62" s="212"/>
      <c r="BPA62" s="212"/>
      <c r="BPB62" s="212"/>
      <c r="BPC62" s="212"/>
      <c r="BPD62" s="212"/>
      <c r="BPE62" s="212"/>
      <c r="BPF62" s="212"/>
      <c r="BPG62" s="212"/>
      <c r="BPH62" s="212"/>
      <c r="BPI62" s="212"/>
      <c r="BPJ62" s="212"/>
      <c r="BPK62" s="212"/>
      <c r="BPL62" s="212"/>
      <c r="BPM62" s="212"/>
      <c r="BPN62" s="212"/>
      <c r="BPO62" s="212"/>
      <c r="BPP62" s="212"/>
      <c r="BPQ62" s="212"/>
      <c r="BPR62" s="212"/>
      <c r="BPS62" s="212"/>
      <c r="BPT62" s="212"/>
      <c r="BPU62" s="212"/>
      <c r="BPV62" s="212"/>
      <c r="BPW62" s="212"/>
      <c r="BPX62" s="212"/>
      <c r="BPY62" s="212"/>
      <c r="BPZ62" s="212"/>
      <c r="BQA62" s="212"/>
      <c r="BQB62" s="212"/>
      <c r="BQC62" s="212"/>
      <c r="BQD62" s="212"/>
      <c r="BQE62" s="212"/>
      <c r="BQF62" s="212"/>
      <c r="BQG62" s="212"/>
      <c r="BQH62" s="212"/>
      <c r="BQI62" s="212"/>
      <c r="BQJ62" s="212"/>
      <c r="BQK62" s="212"/>
      <c r="BQL62" s="212"/>
      <c r="BQM62" s="212"/>
      <c r="BQN62" s="212"/>
      <c r="BQO62" s="212"/>
      <c r="BQP62" s="212"/>
      <c r="BQQ62" s="212"/>
      <c r="BQR62" s="212"/>
      <c r="BQS62" s="212"/>
      <c r="BQT62" s="212"/>
      <c r="BQU62" s="212"/>
      <c r="BQV62" s="212"/>
      <c r="BQW62" s="212"/>
      <c r="BQX62" s="212"/>
      <c r="BQY62" s="212"/>
      <c r="BQZ62" s="212"/>
      <c r="BRA62" s="212"/>
      <c r="BRB62" s="212"/>
      <c r="BRC62" s="212"/>
      <c r="BRD62" s="212"/>
      <c r="BRE62" s="212"/>
      <c r="BRF62" s="212"/>
      <c r="BRG62" s="212"/>
      <c r="BRH62" s="212"/>
      <c r="BRI62" s="212"/>
      <c r="BRJ62" s="212"/>
      <c r="BRK62" s="212"/>
      <c r="BRL62" s="212"/>
      <c r="BRM62" s="212"/>
      <c r="BRN62" s="212"/>
      <c r="BRO62" s="212"/>
      <c r="BRP62" s="212"/>
      <c r="BRQ62" s="212"/>
      <c r="BRR62" s="212"/>
      <c r="BRS62" s="212"/>
      <c r="BRT62" s="212"/>
      <c r="BRU62" s="212"/>
      <c r="BRV62" s="212"/>
      <c r="BRW62" s="212"/>
      <c r="BRX62" s="212"/>
      <c r="BRY62" s="212"/>
      <c r="BRZ62" s="212"/>
      <c r="BSA62" s="212"/>
      <c r="BSB62" s="212"/>
      <c r="BSC62" s="212"/>
      <c r="BSD62" s="212"/>
      <c r="BSE62" s="212"/>
      <c r="BSF62" s="212"/>
      <c r="BSG62" s="212"/>
      <c r="BSH62" s="212"/>
      <c r="BSI62" s="212"/>
      <c r="BSJ62" s="212"/>
      <c r="BSK62" s="212"/>
      <c r="BSL62" s="212"/>
      <c r="BSM62" s="212"/>
      <c r="BSN62" s="212"/>
      <c r="BSO62" s="212"/>
      <c r="BSP62" s="212"/>
      <c r="BSQ62" s="212"/>
      <c r="BSR62" s="212"/>
      <c r="BSS62" s="212"/>
      <c r="BST62" s="212"/>
      <c r="BSU62" s="212"/>
      <c r="BSV62" s="212"/>
      <c r="BSW62" s="212"/>
      <c r="BSX62" s="212"/>
      <c r="BSY62" s="212"/>
      <c r="BSZ62" s="212"/>
      <c r="BTA62" s="212"/>
      <c r="BTB62" s="212"/>
      <c r="BTC62" s="212"/>
      <c r="BTD62" s="212"/>
      <c r="BTE62" s="212"/>
      <c r="BTF62" s="212"/>
      <c r="BTG62" s="212"/>
      <c r="BTH62" s="212"/>
      <c r="BTI62" s="212"/>
      <c r="BTJ62" s="212"/>
      <c r="BTK62" s="212"/>
      <c r="BTL62" s="212"/>
      <c r="BTM62" s="212"/>
      <c r="BTN62" s="212"/>
      <c r="BTO62" s="212"/>
      <c r="BTP62" s="212"/>
      <c r="BTQ62" s="212"/>
      <c r="BTR62" s="212"/>
      <c r="BTS62" s="212"/>
      <c r="BTT62" s="212"/>
      <c r="BTU62" s="212"/>
      <c r="BTV62" s="212"/>
      <c r="BTW62" s="212"/>
      <c r="BTX62" s="212"/>
      <c r="BTY62" s="212"/>
      <c r="BTZ62" s="212"/>
      <c r="BUA62" s="212"/>
      <c r="BUB62" s="212"/>
      <c r="BUC62" s="212"/>
      <c r="BUD62" s="212"/>
      <c r="BUE62" s="212"/>
      <c r="BUF62" s="212"/>
      <c r="BUG62" s="212"/>
      <c r="BUH62" s="212"/>
      <c r="BUI62" s="212"/>
      <c r="BUJ62" s="212"/>
      <c r="BUK62" s="212"/>
      <c r="BUL62" s="212"/>
      <c r="BUM62" s="212"/>
      <c r="BUN62" s="212"/>
      <c r="BUO62" s="212"/>
      <c r="BUP62" s="212"/>
      <c r="BUQ62" s="212"/>
      <c r="BUR62" s="212"/>
      <c r="BUS62" s="212"/>
      <c r="BUT62" s="212"/>
      <c r="BUU62" s="212"/>
      <c r="BUV62" s="212"/>
      <c r="BUW62" s="212"/>
      <c r="BUX62" s="212"/>
      <c r="BUY62" s="212"/>
      <c r="BUZ62" s="212"/>
      <c r="BVA62" s="212"/>
      <c r="BVB62" s="212"/>
      <c r="BVC62" s="212"/>
      <c r="BVD62" s="212"/>
      <c r="BVE62" s="212"/>
      <c r="BVF62" s="212"/>
      <c r="BVG62" s="212"/>
      <c r="BVH62" s="212"/>
      <c r="BVI62" s="212"/>
      <c r="BVJ62" s="212"/>
      <c r="BVK62" s="212"/>
      <c r="BVL62" s="212"/>
      <c r="BVM62" s="212"/>
      <c r="BVN62" s="212"/>
      <c r="BVO62" s="212"/>
      <c r="BVP62" s="212"/>
      <c r="BVQ62" s="212"/>
      <c r="BVR62" s="212"/>
      <c r="BVS62" s="212"/>
      <c r="BVT62" s="212"/>
      <c r="BVU62" s="212"/>
      <c r="BVV62" s="212"/>
      <c r="BVW62" s="212"/>
      <c r="BVX62" s="212"/>
      <c r="BVY62" s="212"/>
      <c r="BVZ62" s="212"/>
      <c r="BWA62" s="212"/>
      <c r="BWB62" s="212"/>
      <c r="BWC62" s="212"/>
      <c r="BWD62" s="212"/>
      <c r="BWE62" s="212"/>
      <c r="BWF62" s="212"/>
      <c r="BWG62" s="212"/>
      <c r="BWH62" s="212"/>
      <c r="BWI62" s="212"/>
      <c r="BWJ62" s="212"/>
      <c r="BWK62" s="212"/>
      <c r="BWL62" s="212"/>
      <c r="BWM62" s="212"/>
      <c r="BWN62" s="212"/>
      <c r="BWO62" s="212"/>
      <c r="BWP62" s="212"/>
      <c r="BWQ62" s="212"/>
      <c r="BWR62" s="212"/>
      <c r="BWS62" s="212"/>
      <c r="BWT62" s="212"/>
      <c r="BWU62" s="212"/>
      <c r="BWV62" s="212"/>
      <c r="BWW62" s="212"/>
      <c r="BWX62" s="212"/>
      <c r="BWY62" s="212"/>
      <c r="BWZ62" s="212"/>
      <c r="BXA62" s="212"/>
      <c r="BXB62" s="212"/>
      <c r="BXC62" s="212"/>
      <c r="BXD62" s="212"/>
      <c r="BXE62" s="212"/>
      <c r="BXF62" s="212"/>
      <c r="BXG62" s="212"/>
      <c r="BXH62" s="212"/>
      <c r="BXI62" s="212"/>
      <c r="BXJ62" s="212"/>
      <c r="BXK62" s="212"/>
      <c r="BXL62" s="212"/>
      <c r="BXM62" s="212"/>
      <c r="BXN62" s="212"/>
      <c r="BXO62" s="212"/>
      <c r="BXP62" s="212"/>
      <c r="BXQ62" s="212"/>
      <c r="BXR62" s="212"/>
      <c r="BXS62" s="212"/>
      <c r="BXT62" s="212"/>
      <c r="BXU62" s="212"/>
      <c r="BXV62" s="212"/>
      <c r="BXW62" s="212"/>
      <c r="BXX62" s="212"/>
      <c r="BXY62" s="212"/>
      <c r="BXZ62" s="212"/>
      <c r="BYA62" s="212"/>
      <c r="BYB62" s="212"/>
      <c r="BYC62" s="212"/>
      <c r="BYD62" s="212"/>
      <c r="BYE62" s="212"/>
      <c r="BYF62" s="212"/>
      <c r="BYG62" s="212"/>
    </row>
    <row r="63" spans="1:2009" s="96" customFormat="1" ht="10.5" customHeight="1" x14ac:dyDescent="0.25">
      <c r="A63" s="122"/>
      <c r="B63" s="122"/>
      <c r="C63" s="204"/>
      <c r="D63" s="204"/>
      <c r="E63" s="204"/>
      <c r="F63" s="204"/>
      <c r="G63" s="20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</row>
    <row r="64" spans="1:2009" s="96" customFormat="1" ht="10.5" customHeight="1" x14ac:dyDescent="0.25">
      <c r="A64" s="122"/>
      <c r="B64" s="122"/>
      <c r="C64" s="204"/>
      <c r="D64" s="204"/>
      <c r="E64" s="204"/>
      <c r="F64" s="204"/>
      <c r="G64" s="20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</row>
    <row r="65" spans="1:2009" s="96" customFormat="1" ht="10.5" customHeight="1" x14ac:dyDescent="0.25">
      <c r="A65" s="122"/>
      <c r="B65" s="122"/>
      <c r="C65" s="204"/>
      <c r="D65" s="204"/>
      <c r="E65" s="204"/>
      <c r="F65" s="204"/>
      <c r="G65" s="20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95"/>
      <c r="LE65" s="95"/>
      <c r="LF65" s="95"/>
      <c r="LG65" s="95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95"/>
      <c r="LS65" s="95"/>
      <c r="LT65" s="95"/>
      <c r="LU65" s="95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95"/>
      <c r="MG65" s="95"/>
      <c r="MH65" s="95"/>
      <c r="MI65" s="95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95"/>
      <c r="MU65" s="95"/>
      <c r="MV65" s="95"/>
      <c r="MW65" s="95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95"/>
      <c r="NW65" s="95"/>
      <c r="NX65" s="95"/>
      <c r="NY65" s="95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95"/>
      <c r="OK65" s="95"/>
      <c r="OL65" s="95"/>
      <c r="OM65" s="95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95"/>
      <c r="OY65" s="95"/>
      <c r="OZ65" s="95"/>
      <c r="PA65" s="95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95"/>
      <c r="PM65" s="95"/>
      <c r="PN65" s="95"/>
      <c r="PO65" s="95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95"/>
      <c r="QA65" s="95"/>
      <c r="QB65" s="95"/>
      <c r="QC65" s="95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95"/>
      <c r="QO65" s="95"/>
      <c r="QP65" s="95"/>
      <c r="QQ65" s="95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95"/>
      <c r="RC65" s="95"/>
      <c r="RD65" s="95"/>
      <c r="RE65" s="95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95"/>
      <c r="RQ65" s="95"/>
      <c r="RR65" s="95"/>
      <c r="RS65" s="95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95"/>
      <c r="SE65" s="95"/>
      <c r="SF65" s="95"/>
      <c r="SG65" s="95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95"/>
      <c r="SS65" s="95"/>
      <c r="ST65" s="95"/>
      <c r="SU65" s="95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95"/>
      <c r="TG65" s="95"/>
      <c r="TH65" s="95"/>
      <c r="TI65" s="95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95"/>
      <c r="TU65" s="95"/>
      <c r="TV65" s="95"/>
      <c r="TW65" s="95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95"/>
      <c r="UI65" s="95"/>
      <c r="UJ65" s="95"/>
      <c r="UK65" s="95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95"/>
      <c r="UW65" s="95"/>
      <c r="UX65" s="95"/>
      <c r="UY65" s="95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95"/>
      <c r="VK65" s="95"/>
      <c r="VL65" s="95"/>
      <c r="VM65" s="95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95"/>
      <c r="VZ65" s="95"/>
      <c r="WA65" s="95"/>
      <c r="WB65" s="95"/>
      <c r="WC65" s="95"/>
      <c r="WD65" s="95"/>
      <c r="WE65" s="95"/>
      <c r="WF65" s="95"/>
      <c r="WG65" s="95"/>
      <c r="WH65" s="95"/>
      <c r="WI65" s="95"/>
      <c r="WJ65" s="95"/>
      <c r="WK65" s="95"/>
      <c r="WL65" s="95"/>
      <c r="WM65" s="95"/>
      <c r="WN65" s="95"/>
      <c r="WO65" s="95"/>
      <c r="WP65" s="95"/>
      <c r="WQ65" s="95"/>
      <c r="WR65" s="95"/>
      <c r="WS65" s="95"/>
      <c r="WT65" s="95"/>
      <c r="WU65" s="95"/>
      <c r="WV65" s="95"/>
      <c r="WW65" s="95"/>
      <c r="WX65" s="95"/>
      <c r="WY65" s="95"/>
      <c r="WZ65" s="95"/>
      <c r="XA65" s="95"/>
      <c r="XB65" s="95"/>
      <c r="XC65" s="95"/>
      <c r="XD65" s="95"/>
      <c r="XE65" s="95"/>
      <c r="XF65" s="95"/>
      <c r="XG65" s="95"/>
      <c r="XH65" s="95"/>
      <c r="XI65" s="95"/>
      <c r="XJ65" s="95"/>
      <c r="XK65" s="95"/>
      <c r="XL65" s="95"/>
      <c r="XM65" s="95"/>
      <c r="XN65" s="95"/>
      <c r="XO65" s="95"/>
      <c r="XP65" s="95"/>
      <c r="XQ65" s="95"/>
      <c r="XR65" s="95"/>
      <c r="XS65" s="95"/>
      <c r="XT65" s="95"/>
      <c r="XU65" s="95"/>
      <c r="XV65" s="95"/>
      <c r="XW65" s="95"/>
      <c r="XX65" s="95"/>
      <c r="XY65" s="95"/>
      <c r="XZ65" s="95"/>
      <c r="YA65" s="95"/>
      <c r="YB65" s="95"/>
      <c r="YC65" s="95"/>
      <c r="YD65" s="95"/>
      <c r="YE65" s="95"/>
      <c r="YF65" s="95"/>
      <c r="YG65" s="95"/>
      <c r="YH65" s="95"/>
      <c r="YI65" s="95"/>
      <c r="YJ65" s="95"/>
      <c r="YK65" s="95"/>
      <c r="YL65" s="95"/>
      <c r="YM65" s="95"/>
      <c r="YN65" s="95"/>
      <c r="YO65" s="95"/>
      <c r="YP65" s="95"/>
      <c r="YQ65" s="95"/>
      <c r="YR65" s="95"/>
      <c r="YS65" s="95"/>
      <c r="YT65" s="95"/>
      <c r="YU65" s="95"/>
      <c r="YV65" s="95"/>
      <c r="YW65" s="95"/>
      <c r="YX65" s="95"/>
      <c r="YY65" s="95"/>
      <c r="YZ65" s="95"/>
      <c r="ZA65" s="95"/>
      <c r="ZB65" s="95"/>
      <c r="ZC65" s="95"/>
      <c r="ZD65" s="95"/>
      <c r="ZE65" s="95"/>
      <c r="ZF65" s="95"/>
      <c r="ZG65" s="95"/>
      <c r="ZH65" s="95"/>
      <c r="ZI65" s="95"/>
      <c r="ZJ65" s="95"/>
      <c r="ZK65" s="95"/>
      <c r="ZL65" s="95"/>
      <c r="ZM65" s="95"/>
      <c r="ZN65" s="95"/>
      <c r="ZO65" s="95"/>
      <c r="ZP65" s="95"/>
      <c r="ZQ65" s="95"/>
      <c r="ZR65" s="95"/>
      <c r="ZS65" s="95"/>
      <c r="ZT65" s="95"/>
      <c r="ZU65" s="95"/>
      <c r="ZV65" s="95"/>
      <c r="ZW65" s="95"/>
      <c r="ZX65" s="95"/>
      <c r="ZY65" s="95"/>
      <c r="ZZ65" s="95"/>
      <c r="AAA65" s="95"/>
      <c r="AAB65" s="95"/>
      <c r="AAC65" s="95"/>
      <c r="AAD65" s="95"/>
      <c r="AAE65" s="95"/>
      <c r="AAF65" s="95"/>
      <c r="AAG65" s="95"/>
      <c r="AAH65" s="95"/>
      <c r="AAI65" s="95"/>
      <c r="AAJ65" s="95"/>
      <c r="AAK65" s="95"/>
      <c r="AAL65" s="95"/>
      <c r="AAM65" s="95"/>
      <c r="AAN65" s="95"/>
      <c r="AAO65" s="95"/>
      <c r="AAP65" s="95"/>
      <c r="AAQ65" s="95"/>
      <c r="AAR65" s="95"/>
      <c r="AAS65" s="95"/>
      <c r="AAT65" s="95"/>
      <c r="AAU65" s="95"/>
      <c r="AAV65" s="95"/>
      <c r="AAW65" s="95"/>
      <c r="AAX65" s="95"/>
      <c r="AAY65" s="95"/>
      <c r="AAZ65" s="95"/>
      <c r="ABA65" s="95"/>
      <c r="ABB65" s="95"/>
      <c r="ABC65" s="95"/>
      <c r="ABD65" s="95"/>
      <c r="ABE65" s="95"/>
      <c r="ABF65" s="95"/>
      <c r="ABG65" s="95"/>
      <c r="ABH65" s="95"/>
      <c r="ABI65" s="95"/>
      <c r="ABJ65" s="95"/>
      <c r="ABK65" s="95"/>
      <c r="ABL65" s="95"/>
      <c r="ABM65" s="95"/>
      <c r="ABN65" s="95"/>
      <c r="ABO65" s="95"/>
      <c r="ABP65" s="95"/>
      <c r="ABQ65" s="95"/>
      <c r="ABR65" s="95"/>
      <c r="ABS65" s="95"/>
      <c r="ABT65" s="95"/>
      <c r="ABU65" s="95"/>
      <c r="ABV65" s="95"/>
      <c r="ABW65" s="95"/>
      <c r="ABX65" s="95"/>
      <c r="ABY65" s="95"/>
      <c r="ABZ65" s="95"/>
      <c r="ACA65" s="95"/>
      <c r="ACB65" s="95"/>
      <c r="ACC65" s="95"/>
      <c r="ACD65" s="95"/>
      <c r="ACE65" s="95"/>
      <c r="ACF65" s="95"/>
      <c r="ACG65" s="95"/>
      <c r="ACH65" s="95"/>
      <c r="ACI65" s="95"/>
      <c r="ACJ65" s="95"/>
      <c r="ACK65" s="95"/>
      <c r="ACL65" s="95"/>
      <c r="ACM65" s="95"/>
      <c r="ACN65" s="95"/>
      <c r="ACO65" s="95"/>
      <c r="ACP65" s="95"/>
      <c r="ACQ65" s="95"/>
      <c r="ACR65" s="95"/>
      <c r="ACS65" s="95"/>
      <c r="ACT65" s="95"/>
      <c r="ACU65" s="95"/>
      <c r="ACV65" s="95"/>
      <c r="ACW65" s="95"/>
      <c r="ACX65" s="95"/>
      <c r="ACY65" s="95"/>
      <c r="ACZ65" s="95"/>
      <c r="ADA65" s="95"/>
      <c r="ADB65" s="95"/>
      <c r="ADC65" s="95"/>
      <c r="ADD65" s="95"/>
      <c r="ADE65" s="95"/>
      <c r="ADF65" s="95"/>
      <c r="ADG65" s="95"/>
      <c r="ADH65" s="95"/>
      <c r="ADI65" s="95"/>
      <c r="ADJ65" s="95"/>
      <c r="ADK65" s="95"/>
      <c r="ADL65" s="95"/>
      <c r="ADM65" s="95"/>
      <c r="ADN65" s="95"/>
      <c r="ADO65" s="95"/>
      <c r="ADP65" s="95"/>
      <c r="ADQ65" s="95"/>
      <c r="ADR65" s="95"/>
      <c r="ADS65" s="95"/>
      <c r="ADT65" s="95"/>
      <c r="ADU65" s="95"/>
      <c r="ADV65" s="95"/>
      <c r="ADW65" s="95"/>
      <c r="ADX65" s="95"/>
      <c r="ADY65" s="95"/>
      <c r="ADZ65" s="95"/>
      <c r="AEA65" s="95"/>
      <c r="AEB65" s="95"/>
      <c r="AEC65" s="95"/>
      <c r="AED65" s="95"/>
      <c r="AEE65" s="95"/>
      <c r="AEF65" s="95"/>
      <c r="AEG65" s="95"/>
      <c r="AEH65" s="95"/>
      <c r="AEI65" s="95"/>
      <c r="AEJ65" s="95"/>
      <c r="AEK65" s="95"/>
      <c r="AEL65" s="95"/>
      <c r="AEM65" s="95"/>
      <c r="AEN65" s="95"/>
      <c r="AEO65" s="95"/>
      <c r="AEP65" s="95"/>
      <c r="AEQ65" s="95"/>
      <c r="AER65" s="95"/>
      <c r="AES65" s="95"/>
      <c r="AET65" s="95"/>
      <c r="AEU65" s="95"/>
      <c r="AEV65" s="95"/>
      <c r="AEW65" s="95"/>
      <c r="AEX65" s="95"/>
      <c r="AEY65" s="95"/>
      <c r="AEZ65" s="95"/>
      <c r="AFA65" s="95"/>
      <c r="AFB65" s="95"/>
      <c r="AFC65" s="95"/>
      <c r="AFD65" s="95"/>
      <c r="AFE65" s="95"/>
      <c r="AFF65" s="95"/>
      <c r="AFG65" s="95"/>
      <c r="AFH65" s="95"/>
      <c r="AFI65" s="95"/>
      <c r="AFJ65" s="95"/>
      <c r="AFK65" s="95"/>
      <c r="AFL65" s="95"/>
      <c r="AFM65" s="95"/>
      <c r="AFN65" s="95"/>
      <c r="AFO65" s="95"/>
      <c r="AFP65" s="95"/>
      <c r="AFQ65" s="95"/>
      <c r="AFR65" s="95"/>
      <c r="AFS65" s="95"/>
      <c r="AFT65" s="95"/>
      <c r="AFU65" s="95"/>
      <c r="AFV65" s="95"/>
      <c r="AFW65" s="95"/>
      <c r="AFX65" s="95"/>
      <c r="AFY65" s="95"/>
      <c r="AFZ65" s="95"/>
      <c r="AGA65" s="95"/>
      <c r="AGB65" s="95"/>
      <c r="AGC65" s="95"/>
      <c r="AGD65" s="95"/>
      <c r="AGE65" s="95"/>
      <c r="AGF65" s="95"/>
      <c r="AGG65" s="95"/>
      <c r="AGH65" s="95"/>
      <c r="AGI65" s="95"/>
      <c r="AGJ65" s="95"/>
      <c r="AGK65" s="95"/>
      <c r="AGL65" s="95"/>
      <c r="AGM65" s="95"/>
      <c r="AGN65" s="95"/>
      <c r="AGO65" s="95"/>
      <c r="AGP65" s="95"/>
      <c r="AGQ65" s="95"/>
      <c r="AGR65" s="95"/>
      <c r="AGS65" s="95"/>
      <c r="AGT65" s="95"/>
      <c r="AGU65" s="95"/>
      <c r="AGV65" s="95"/>
      <c r="AGW65" s="95"/>
      <c r="AGX65" s="95"/>
      <c r="AGY65" s="95"/>
      <c r="AGZ65" s="95"/>
      <c r="AHA65" s="95"/>
      <c r="AHB65" s="95"/>
      <c r="AHC65" s="95"/>
      <c r="AHD65" s="95"/>
      <c r="AHE65" s="95"/>
      <c r="AHF65" s="95"/>
      <c r="AHG65" s="95"/>
      <c r="AHH65" s="95"/>
      <c r="AHI65" s="95"/>
      <c r="AHJ65" s="95"/>
      <c r="AHK65" s="95"/>
      <c r="AHL65" s="95"/>
      <c r="AHM65" s="95"/>
      <c r="AHN65" s="95"/>
      <c r="AHO65" s="95"/>
      <c r="AHP65" s="95"/>
      <c r="AHQ65" s="95"/>
      <c r="AHR65" s="95"/>
      <c r="AHS65" s="95"/>
      <c r="AHT65" s="95"/>
      <c r="AHU65" s="95"/>
      <c r="AHV65" s="95"/>
      <c r="AHW65" s="95"/>
      <c r="AHX65" s="95"/>
      <c r="AHY65" s="95"/>
      <c r="AHZ65" s="95"/>
      <c r="AIA65" s="95"/>
      <c r="AIB65" s="95"/>
      <c r="AIC65" s="95"/>
      <c r="AID65" s="95"/>
      <c r="AIE65" s="95"/>
      <c r="AIF65" s="95"/>
      <c r="AIG65" s="95"/>
      <c r="AIH65" s="95"/>
      <c r="AII65" s="95"/>
      <c r="AIJ65" s="95"/>
      <c r="AIK65" s="95"/>
      <c r="AIL65" s="95"/>
      <c r="AIM65" s="95"/>
      <c r="AIN65" s="95"/>
      <c r="AIO65" s="95"/>
      <c r="AIP65" s="95"/>
      <c r="AIQ65" s="95"/>
      <c r="AIR65" s="95"/>
      <c r="AIS65" s="95"/>
      <c r="AIT65" s="95"/>
      <c r="AIU65" s="95"/>
      <c r="AIV65" s="95"/>
      <c r="AIW65" s="95"/>
      <c r="AIX65" s="95"/>
      <c r="AIY65" s="95"/>
      <c r="AIZ65" s="95"/>
      <c r="AJA65" s="95"/>
      <c r="AJB65" s="95"/>
      <c r="AJC65" s="95"/>
      <c r="AJD65" s="95"/>
      <c r="AJE65" s="95"/>
      <c r="AJF65" s="95"/>
      <c r="AJG65" s="95"/>
      <c r="AJH65" s="95"/>
      <c r="AJI65" s="95"/>
      <c r="AJJ65" s="95"/>
      <c r="AJK65" s="95"/>
      <c r="AJL65" s="95"/>
      <c r="AJM65" s="95"/>
      <c r="AJN65" s="95"/>
      <c r="AJO65" s="95"/>
      <c r="AJP65" s="95"/>
      <c r="AJQ65" s="95"/>
      <c r="AJR65" s="95"/>
      <c r="AJS65" s="95"/>
      <c r="AJT65" s="95"/>
      <c r="AJU65" s="95"/>
      <c r="AJV65" s="95"/>
      <c r="AJW65" s="95"/>
      <c r="AJX65" s="95"/>
      <c r="AJY65" s="95"/>
      <c r="AJZ65" s="95"/>
      <c r="AKA65" s="95"/>
      <c r="AKB65" s="95"/>
      <c r="AKC65" s="95"/>
      <c r="AKD65" s="95"/>
      <c r="AKE65" s="95"/>
      <c r="AKF65" s="95"/>
      <c r="AKG65" s="95"/>
      <c r="AKH65" s="95"/>
      <c r="AKI65" s="95"/>
      <c r="AKJ65" s="95"/>
      <c r="AKK65" s="95"/>
      <c r="AKL65" s="95"/>
      <c r="AKM65" s="95"/>
      <c r="AKN65" s="95"/>
      <c r="AKO65" s="95"/>
      <c r="AKP65" s="95"/>
      <c r="AKQ65" s="95"/>
      <c r="AKR65" s="95"/>
      <c r="AKS65" s="95"/>
      <c r="AKT65" s="95"/>
      <c r="AKU65" s="95"/>
      <c r="AKV65" s="95"/>
      <c r="AKW65" s="95"/>
      <c r="AKX65" s="95"/>
      <c r="AKY65" s="95"/>
      <c r="AKZ65" s="95"/>
      <c r="ALA65" s="95"/>
      <c r="ALB65" s="95"/>
      <c r="ALC65" s="95"/>
      <c r="ALD65" s="95"/>
      <c r="ALE65" s="95"/>
      <c r="ALF65" s="95"/>
      <c r="ALG65" s="95"/>
      <c r="ALH65" s="95"/>
      <c r="ALI65" s="95"/>
      <c r="ALJ65" s="95"/>
      <c r="ALK65" s="95"/>
      <c r="ALL65" s="95"/>
      <c r="ALM65" s="95"/>
      <c r="ALN65" s="95"/>
      <c r="ALO65" s="95"/>
      <c r="ALP65" s="95"/>
      <c r="ALQ65" s="95"/>
      <c r="ALR65" s="95"/>
      <c r="ALS65" s="95"/>
      <c r="ALT65" s="95"/>
      <c r="ALU65" s="95"/>
      <c r="ALV65" s="95"/>
      <c r="ALW65" s="95"/>
      <c r="ALX65" s="95"/>
      <c r="ALY65" s="95"/>
      <c r="ALZ65" s="95"/>
      <c r="AMA65" s="95"/>
      <c r="AMB65" s="95"/>
      <c r="AMC65" s="95"/>
      <c r="AMD65" s="95"/>
      <c r="AME65" s="95"/>
      <c r="AMF65" s="95"/>
      <c r="AMG65" s="95"/>
      <c r="AMH65" s="95"/>
      <c r="AMI65" s="95"/>
      <c r="AMJ65" s="95"/>
      <c r="AMK65" s="95"/>
      <c r="AML65" s="95"/>
      <c r="AMM65" s="95"/>
      <c r="AMN65" s="95"/>
      <c r="AMO65" s="95"/>
      <c r="AMP65" s="95"/>
      <c r="AMQ65" s="95"/>
      <c r="AMR65" s="95"/>
      <c r="AMS65" s="95"/>
      <c r="AMT65" s="95"/>
      <c r="AMU65" s="95"/>
      <c r="AMV65" s="95"/>
      <c r="AMW65" s="95"/>
      <c r="AMX65" s="95"/>
      <c r="AMY65" s="95"/>
      <c r="AMZ65" s="95"/>
      <c r="ANA65" s="95"/>
      <c r="ANB65" s="95"/>
      <c r="ANC65" s="95"/>
      <c r="AND65" s="95"/>
      <c r="ANE65" s="95"/>
      <c r="ANF65" s="95"/>
      <c r="ANG65" s="95"/>
      <c r="ANH65" s="95"/>
      <c r="ANI65" s="95"/>
      <c r="ANJ65" s="95"/>
      <c r="ANK65" s="95"/>
      <c r="ANL65" s="95"/>
      <c r="ANM65" s="95"/>
      <c r="ANN65" s="95"/>
      <c r="ANO65" s="95"/>
      <c r="ANP65" s="95"/>
      <c r="ANQ65" s="95"/>
      <c r="ANR65" s="95"/>
      <c r="ANS65" s="95"/>
      <c r="ANT65" s="95"/>
      <c r="ANU65" s="95"/>
      <c r="ANV65" s="95"/>
      <c r="ANW65" s="95"/>
      <c r="ANX65" s="95"/>
      <c r="ANY65" s="95"/>
      <c r="ANZ65" s="95"/>
      <c r="AOA65" s="95"/>
      <c r="AOB65" s="95"/>
      <c r="AOC65" s="95"/>
      <c r="AOD65" s="95"/>
      <c r="AOE65" s="95"/>
      <c r="AOF65" s="95"/>
      <c r="AOG65" s="95"/>
      <c r="AOH65" s="95"/>
      <c r="AOI65" s="95"/>
      <c r="AOJ65" s="95"/>
      <c r="AOK65" s="95"/>
      <c r="AOL65" s="95"/>
      <c r="AOM65" s="95"/>
      <c r="AON65" s="95"/>
      <c r="AOO65" s="95"/>
      <c r="AOP65" s="95"/>
      <c r="AOQ65" s="95"/>
      <c r="AOR65" s="95"/>
      <c r="AOS65" s="95"/>
      <c r="AOT65" s="95"/>
      <c r="AOU65" s="95"/>
      <c r="AOV65" s="95"/>
      <c r="AOW65" s="95"/>
      <c r="AOX65" s="95"/>
      <c r="AOY65" s="95"/>
      <c r="AOZ65" s="95"/>
      <c r="APA65" s="95"/>
      <c r="APB65" s="95"/>
      <c r="APC65" s="95"/>
      <c r="APD65" s="95"/>
      <c r="APE65" s="95"/>
      <c r="APF65" s="95"/>
      <c r="APG65" s="95"/>
      <c r="APH65" s="95"/>
      <c r="API65" s="95"/>
      <c r="APJ65" s="95"/>
      <c r="APK65" s="95"/>
      <c r="APL65" s="95"/>
      <c r="APM65" s="95"/>
      <c r="APN65" s="95"/>
      <c r="APO65" s="95"/>
      <c r="APP65" s="95"/>
      <c r="APQ65" s="95"/>
      <c r="APR65" s="95"/>
      <c r="APS65" s="95"/>
      <c r="APT65" s="95"/>
      <c r="APU65" s="95"/>
      <c r="APV65" s="95"/>
      <c r="APW65" s="95"/>
      <c r="APX65" s="95"/>
      <c r="APY65" s="95"/>
      <c r="APZ65" s="95"/>
      <c r="AQA65" s="95"/>
      <c r="AQB65" s="95"/>
      <c r="AQC65" s="95"/>
      <c r="AQD65" s="95"/>
      <c r="AQE65" s="95"/>
      <c r="AQF65" s="95"/>
      <c r="AQG65" s="95"/>
      <c r="AQH65" s="95"/>
      <c r="AQI65" s="95"/>
      <c r="AQJ65" s="95"/>
      <c r="AQK65" s="95"/>
      <c r="AQL65" s="95"/>
      <c r="AQM65" s="95"/>
      <c r="AQN65" s="95"/>
      <c r="AQO65" s="95"/>
      <c r="AQP65" s="95"/>
      <c r="AQQ65" s="95"/>
      <c r="AQR65" s="95"/>
      <c r="AQS65" s="95"/>
      <c r="AQT65" s="95"/>
      <c r="AQU65" s="95"/>
      <c r="AQV65" s="95"/>
      <c r="AQW65" s="95"/>
      <c r="AQX65" s="95"/>
      <c r="AQY65" s="95"/>
      <c r="AQZ65" s="95"/>
      <c r="ARA65" s="95"/>
      <c r="ARB65" s="95"/>
      <c r="ARC65" s="95"/>
      <c r="ARD65" s="95"/>
      <c r="ARE65" s="95"/>
      <c r="ARF65" s="95"/>
      <c r="ARG65" s="95"/>
      <c r="ARH65" s="95"/>
      <c r="ARI65" s="95"/>
      <c r="ARJ65" s="95"/>
      <c r="ARK65" s="95"/>
      <c r="ARL65" s="95"/>
      <c r="ARM65" s="95"/>
      <c r="ARN65" s="95"/>
      <c r="ARO65" s="95"/>
      <c r="ARP65" s="95"/>
      <c r="ARQ65" s="95"/>
      <c r="ARR65" s="95"/>
      <c r="ARS65" s="95"/>
      <c r="ART65" s="95"/>
      <c r="ARU65" s="95"/>
      <c r="ARV65" s="95"/>
      <c r="ARW65" s="95"/>
      <c r="ARX65" s="95"/>
      <c r="ARY65" s="95"/>
      <c r="ARZ65" s="95"/>
      <c r="ASA65" s="95"/>
      <c r="ASB65" s="95"/>
      <c r="ASC65" s="95"/>
      <c r="ASD65" s="95"/>
      <c r="ASE65" s="95"/>
      <c r="ASF65" s="95"/>
      <c r="ASG65" s="95"/>
      <c r="ASH65" s="95"/>
      <c r="ASI65" s="95"/>
      <c r="ASJ65" s="95"/>
      <c r="ASK65" s="95"/>
      <c r="ASL65" s="95"/>
      <c r="ASM65" s="95"/>
      <c r="ASN65" s="95"/>
      <c r="ASO65" s="95"/>
      <c r="ASP65" s="95"/>
      <c r="ASQ65" s="95"/>
      <c r="ASR65" s="95"/>
      <c r="ASS65" s="95"/>
      <c r="AST65" s="95"/>
      <c r="ASU65" s="95"/>
      <c r="ASV65" s="95"/>
      <c r="ASW65" s="95"/>
      <c r="ASX65" s="95"/>
      <c r="ASY65" s="95"/>
      <c r="ASZ65" s="95"/>
      <c r="ATA65" s="95"/>
      <c r="ATB65" s="95"/>
      <c r="ATC65" s="95"/>
      <c r="ATD65" s="95"/>
      <c r="ATE65" s="95"/>
      <c r="ATF65" s="95"/>
      <c r="ATG65" s="95"/>
      <c r="ATH65" s="95"/>
      <c r="ATI65" s="95"/>
      <c r="ATJ65" s="95"/>
      <c r="ATK65" s="95"/>
      <c r="ATL65" s="95"/>
      <c r="ATM65" s="95"/>
      <c r="ATN65" s="95"/>
      <c r="ATO65" s="95"/>
      <c r="ATP65" s="95"/>
      <c r="ATQ65" s="95"/>
      <c r="ATR65" s="95"/>
      <c r="ATS65" s="95"/>
      <c r="ATT65" s="95"/>
      <c r="ATU65" s="95"/>
      <c r="ATV65" s="95"/>
      <c r="ATW65" s="95"/>
      <c r="ATX65" s="95"/>
      <c r="ATY65" s="95"/>
      <c r="ATZ65" s="95"/>
      <c r="AUA65" s="95"/>
      <c r="AUB65" s="95"/>
      <c r="AUC65" s="95"/>
      <c r="AUD65" s="95"/>
      <c r="AUE65" s="95"/>
      <c r="AUF65" s="95"/>
      <c r="AUG65" s="95"/>
      <c r="AUH65" s="95"/>
      <c r="AUI65" s="95"/>
      <c r="AUJ65" s="95"/>
      <c r="AUK65" s="95"/>
      <c r="AUL65" s="95"/>
      <c r="AUM65" s="95"/>
      <c r="AUN65" s="95"/>
      <c r="AUO65" s="95"/>
      <c r="AUP65" s="95"/>
      <c r="AUQ65" s="95"/>
      <c r="AUR65" s="95"/>
      <c r="AUS65" s="95"/>
      <c r="AUT65" s="95"/>
      <c r="AUU65" s="95"/>
      <c r="AUV65" s="95"/>
      <c r="AUW65" s="95"/>
      <c r="AUX65" s="95"/>
      <c r="AUY65" s="95"/>
      <c r="AUZ65" s="95"/>
      <c r="AVA65" s="95"/>
      <c r="AVB65" s="95"/>
      <c r="AVC65" s="95"/>
      <c r="AVD65" s="95"/>
      <c r="AVE65" s="95"/>
      <c r="AVF65" s="95"/>
      <c r="AVG65" s="95"/>
      <c r="AVH65" s="95"/>
      <c r="AVI65" s="95"/>
      <c r="AVJ65" s="95"/>
      <c r="AVK65" s="95"/>
      <c r="AVL65" s="95"/>
      <c r="AVM65" s="95"/>
      <c r="AVN65" s="95"/>
      <c r="AVO65" s="95"/>
      <c r="AVP65" s="95"/>
      <c r="AVQ65" s="95"/>
      <c r="AVR65" s="95"/>
      <c r="AVS65" s="95"/>
      <c r="AVT65" s="95"/>
      <c r="AVU65" s="95"/>
      <c r="AVV65" s="95"/>
      <c r="AVW65" s="95"/>
      <c r="AVX65" s="95"/>
      <c r="AVY65" s="95"/>
      <c r="AVZ65" s="95"/>
      <c r="AWA65" s="95"/>
      <c r="AWB65" s="95"/>
      <c r="AWC65" s="95"/>
      <c r="AWD65" s="95"/>
      <c r="AWE65" s="95"/>
      <c r="AWF65" s="95"/>
      <c r="AWG65" s="95"/>
      <c r="AWH65" s="95"/>
      <c r="AWI65" s="95"/>
      <c r="AWJ65" s="95"/>
      <c r="AWK65" s="95"/>
      <c r="AWL65" s="95"/>
      <c r="AWM65" s="95"/>
      <c r="AWN65" s="95"/>
      <c r="AWO65" s="95"/>
      <c r="AWP65" s="95"/>
      <c r="AWQ65" s="95"/>
      <c r="AWR65" s="95"/>
      <c r="AWS65" s="95"/>
      <c r="AWT65" s="95"/>
      <c r="AWU65" s="95"/>
      <c r="AWV65" s="95"/>
      <c r="AWW65" s="95"/>
      <c r="AWX65" s="95"/>
      <c r="AWY65" s="95"/>
      <c r="AWZ65" s="95"/>
      <c r="AXA65" s="95"/>
      <c r="AXB65" s="95"/>
      <c r="AXC65" s="95"/>
      <c r="AXD65" s="95"/>
      <c r="AXE65" s="95"/>
      <c r="AXF65" s="95"/>
      <c r="AXG65" s="95"/>
      <c r="AXH65" s="95"/>
      <c r="AXI65" s="95"/>
      <c r="AXJ65" s="95"/>
      <c r="AXK65" s="95"/>
      <c r="AXL65" s="95"/>
      <c r="AXM65" s="95"/>
      <c r="AXN65" s="95"/>
      <c r="AXO65" s="95"/>
      <c r="AXP65" s="95"/>
      <c r="AXQ65" s="95"/>
      <c r="AXR65" s="95"/>
      <c r="AXS65" s="95"/>
      <c r="AXT65" s="95"/>
      <c r="AXU65" s="95"/>
      <c r="AXV65" s="95"/>
      <c r="AXW65" s="95"/>
      <c r="AXX65" s="95"/>
      <c r="AXY65" s="95"/>
      <c r="AXZ65" s="95"/>
      <c r="AYA65" s="95"/>
      <c r="AYB65" s="95"/>
      <c r="AYC65" s="95"/>
      <c r="AYD65" s="95"/>
      <c r="AYE65" s="95"/>
      <c r="AYF65" s="95"/>
      <c r="AYG65" s="95"/>
      <c r="AYH65" s="95"/>
      <c r="AYI65" s="95"/>
      <c r="AYJ65" s="95"/>
      <c r="AYK65" s="95"/>
      <c r="AYL65" s="95"/>
      <c r="AYM65" s="95"/>
      <c r="AYN65" s="95"/>
      <c r="AYO65" s="95"/>
      <c r="AYP65" s="95"/>
      <c r="AYQ65" s="95"/>
      <c r="AYR65" s="95"/>
      <c r="AYS65" s="95"/>
      <c r="AYT65" s="95"/>
      <c r="AYU65" s="95"/>
      <c r="AYV65" s="95"/>
      <c r="AYW65" s="95"/>
      <c r="AYX65" s="95"/>
      <c r="AYY65" s="95"/>
      <c r="AYZ65" s="95"/>
      <c r="AZA65" s="95"/>
      <c r="AZB65" s="95"/>
      <c r="AZC65" s="95"/>
      <c r="AZD65" s="95"/>
      <c r="AZE65" s="95"/>
      <c r="AZF65" s="95"/>
      <c r="AZG65" s="95"/>
      <c r="AZH65" s="95"/>
      <c r="AZI65" s="95"/>
      <c r="AZJ65" s="95"/>
      <c r="AZK65" s="95"/>
      <c r="AZL65" s="95"/>
      <c r="AZM65" s="95"/>
      <c r="AZN65" s="95"/>
      <c r="AZO65" s="95"/>
      <c r="AZP65" s="95"/>
      <c r="AZQ65" s="95"/>
      <c r="AZR65" s="95"/>
      <c r="AZS65" s="95"/>
      <c r="AZT65" s="95"/>
      <c r="AZU65" s="95"/>
      <c r="AZV65" s="95"/>
      <c r="AZW65" s="95"/>
      <c r="AZX65" s="95"/>
      <c r="AZY65" s="95"/>
      <c r="AZZ65" s="95"/>
      <c r="BAA65" s="95"/>
      <c r="BAB65" s="95"/>
      <c r="BAC65" s="95"/>
      <c r="BAD65" s="95"/>
      <c r="BAE65" s="95"/>
      <c r="BAF65" s="95"/>
      <c r="BAG65" s="95"/>
      <c r="BAH65" s="95"/>
      <c r="BAI65" s="95"/>
      <c r="BAJ65" s="95"/>
      <c r="BAK65" s="95"/>
      <c r="BAL65" s="95"/>
      <c r="BAM65" s="95"/>
      <c r="BAN65" s="95"/>
      <c r="BAO65" s="95"/>
      <c r="BAP65" s="95"/>
      <c r="BAQ65" s="95"/>
      <c r="BAR65" s="95"/>
      <c r="BAS65" s="95"/>
      <c r="BAT65" s="95"/>
      <c r="BAU65" s="95"/>
      <c r="BAV65" s="95"/>
      <c r="BAW65" s="95"/>
      <c r="BAX65" s="95"/>
      <c r="BAY65" s="95"/>
      <c r="BAZ65" s="95"/>
      <c r="BBA65" s="95"/>
      <c r="BBB65" s="95"/>
      <c r="BBC65" s="95"/>
      <c r="BBD65" s="95"/>
      <c r="BBE65" s="95"/>
      <c r="BBF65" s="95"/>
      <c r="BBG65" s="95"/>
      <c r="BBH65" s="95"/>
      <c r="BBI65" s="95"/>
      <c r="BBJ65" s="95"/>
      <c r="BBK65" s="95"/>
      <c r="BBL65" s="95"/>
      <c r="BBM65" s="95"/>
      <c r="BBN65" s="95"/>
      <c r="BBO65" s="95"/>
      <c r="BBP65" s="95"/>
      <c r="BBQ65" s="95"/>
      <c r="BBR65" s="95"/>
      <c r="BBS65" s="95"/>
      <c r="BBT65" s="95"/>
      <c r="BBU65" s="95"/>
      <c r="BBV65" s="95"/>
      <c r="BBW65" s="95"/>
      <c r="BBX65" s="95"/>
      <c r="BBY65" s="95"/>
      <c r="BBZ65" s="95"/>
      <c r="BCA65" s="95"/>
      <c r="BCB65" s="95"/>
      <c r="BCC65" s="95"/>
      <c r="BCD65" s="95"/>
      <c r="BCE65" s="95"/>
      <c r="BCF65" s="95"/>
      <c r="BCG65" s="95"/>
      <c r="BCH65" s="95"/>
      <c r="BCI65" s="95"/>
      <c r="BCJ65" s="95"/>
      <c r="BCK65" s="95"/>
      <c r="BCL65" s="95"/>
      <c r="BCM65" s="95"/>
      <c r="BCN65" s="95"/>
      <c r="BCO65" s="95"/>
      <c r="BCP65" s="95"/>
      <c r="BCQ65" s="95"/>
      <c r="BCR65" s="95"/>
      <c r="BCS65" s="95"/>
      <c r="BCT65" s="95"/>
      <c r="BCU65" s="95"/>
      <c r="BCV65" s="95"/>
      <c r="BCW65" s="95"/>
      <c r="BCX65" s="95"/>
      <c r="BCY65" s="95"/>
      <c r="BCZ65" s="95"/>
      <c r="BDA65" s="95"/>
      <c r="BDB65" s="95"/>
      <c r="BDC65" s="95"/>
      <c r="BDD65" s="95"/>
      <c r="BDE65" s="95"/>
      <c r="BDF65" s="95"/>
      <c r="BDG65" s="95"/>
      <c r="BDH65" s="95"/>
      <c r="BDI65" s="95"/>
      <c r="BDJ65" s="95"/>
      <c r="BDK65" s="95"/>
      <c r="BDL65" s="95"/>
      <c r="BDM65" s="95"/>
      <c r="BDN65" s="95"/>
      <c r="BDO65" s="95"/>
      <c r="BDP65" s="95"/>
      <c r="BDQ65" s="95"/>
      <c r="BDR65" s="95"/>
      <c r="BDS65" s="95"/>
      <c r="BDT65" s="95"/>
      <c r="BDU65" s="95"/>
      <c r="BDV65" s="95"/>
      <c r="BDW65" s="95"/>
      <c r="BDX65" s="95"/>
      <c r="BDY65" s="95"/>
      <c r="BDZ65" s="95"/>
      <c r="BEA65" s="95"/>
      <c r="BEB65" s="95"/>
      <c r="BEC65" s="95"/>
      <c r="BED65" s="95"/>
      <c r="BEE65" s="95"/>
      <c r="BEF65" s="95"/>
      <c r="BEG65" s="95"/>
      <c r="BEH65" s="95"/>
      <c r="BEI65" s="95"/>
      <c r="BEJ65" s="95"/>
      <c r="BEK65" s="95"/>
      <c r="BEL65" s="95"/>
      <c r="BEM65" s="95"/>
      <c r="BEN65" s="95"/>
      <c r="BEO65" s="95"/>
      <c r="BEP65" s="95"/>
      <c r="BEQ65" s="95"/>
      <c r="BER65" s="95"/>
      <c r="BES65" s="95"/>
      <c r="BET65" s="95"/>
      <c r="BEU65" s="95"/>
      <c r="BEV65" s="95"/>
      <c r="BEW65" s="95"/>
      <c r="BEX65" s="95"/>
      <c r="BEY65" s="95"/>
      <c r="BEZ65" s="95"/>
      <c r="BFA65" s="95"/>
      <c r="BFB65" s="95"/>
      <c r="BFC65" s="95"/>
      <c r="BFD65" s="95"/>
      <c r="BFE65" s="95"/>
      <c r="BFF65" s="95"/>
      <c r="BFG65" s="95"/>
      <c r="BFH65" s="95"/>
      <c r="BFI65" s="95"/>
      <c r="BFJ65" s="95"/>
      <c r="BFK65" s="95"/>
      <c r="BFL65" s="95"/>
      <c r="BFM65" s="95"/>
      <c r="BFN65" s="95"/>
      <c r="BFO65" s="95"/>
      <c r="BFP65" s="95"/>
      <c r="BFQ65" s="95"/>
      <c r="BFR65" s="95"/>
      <c r="BFS65" s="95"/>
      <c r="BFT65" s="95"/>
      <c r="BFU65" s="95"/>
      <c r="BFV65" s="95"/>
      <c r="BFW65" s="95"/>
      <c r="BFX65" s="95"/>
      <c r="BFY65" s="95"/>
      <c r="BFZ65" s="95"/>
      <c r="BGA65" s="95"/>
      <c r="BGB65" s="95"/>
      <c r="BGC65" s="95"/>
      <c r="BGD65" s="95"/>
      <c r="BGE65" s="95"/>
      <c r="BGF65" s="95"/>
      <c r="BGG65" s="95"/>
      <c r="BGH65" s="95"/>
      <c r="BGI65" s="95"/>
      <c r="BGJ65" s="95"/>
      <c r="BGK65" s="95"/>
      <c r="BGL65" s="95"/>
      <c r="BGM65" s="95"/>
      <c r="BGN65" s="95"/>
      <c r="BGO65" s="95"/>
      <c r="BGP65" s="95"/>
      <c r="BGQ65" s="95"/>
      <c r="BGR65" s="95"/>
      <c r="BGS65" s="95"/>
      <c r="BGT65" s="95"/>
      <c r="BGU65" s="95"/>
      <c r="BGV65" s="95"/>
      <c r="BGW65" s="95"/>
      <c r="BGX65" s="95"/>
      <c r="BGY65" s="95"/>
      <c r="BGZ65" s="95"/>
      <c r="BHA65" s="95"/>
      <c r="BHB65" s="95"/>
      <c r="BHC65" s="95"/>
      <c r="BHD65" s="95"/>
      <c r="BHE65" s="95"/>
      <c r="BHF65" s="95"/>
      <c r="BHG65" s="95"/>
      <c r="BHH65" s="95"/>
      <c r="BHI65" s="95"/>
      <c r="BHJ65" s="95"/>
      <c r="BHK65" s="95"/>
      <c r="BHL65" s="95"/>
      <c r="BHM65" s="95"/>
      <c r="BHN65" s="95"/>
      <c r="BHO65" s="95"/>
      <c r="BHP65" s="95"/>
      <c r="BHQ65" s="95"/>
      <c r="BHR65" s="95"/>
      <c r="BHS65" s="95"/>
      <c r="BHT65" s="95"/>
      <c r="BHU65" s="95"/>
      <c r="BHV65" s="95"/>
      <c r="BHW65" s="95"/>
      <c r="BHX65" s="95"/>
      <c r="BHY65" s="95"/>
      <c r="BHZ65" s="95"/>
      <c r="BIA65" s="95"/>
      <c r="BIB65" s="95"/>
      <c r="BIC65" s="95"/>
      <c r="BID65" s="95"/>
      <c r="BIE65" s="95"/>
      <c r="BIF65" s="95"/>
      <c r="BIG65" s="95"/>
      <c r="BIH65" s="95"/>
      <c r="BII65" s="95"/>
      <c r="BIJ65" s="95"/>
      <c r="BIK65" s="95"/>
      <c r="BIL65" s="95"/>
      <c r="BIM65" s="95"/>
      <c r="BIN65" s="95"/>
      <c r="BIO65" s="95"/>
      <c r="BIP65" s="95"/>
      <c r="BIQ65" s="95"/>
      <c r="BIR65" s="95"/>
      <c r="BIS65" s="95"/>
      <c r="BIT65" s="95"/>
      <c r="BIU65" s="95"/>
      <c r="BIV65" s="95"/>
      <c r="BIW65" s="95"/>
      <c r="BIX65" s="95"/>
      <c r="BIY65" s="95"/>
      <c r="BIZ65" s="95"/>
      <c r="BJA65" s="95"/>
      <c r="BJB65" s="95"/>
      <c r="BJC65" s="95"/>
      <c r="BJD65" s="95"/>
      <c r="BJE65" s="95"/>
      <c r="BJF65" s="95"/>
      <c r="BJG65" s="95"/>
      <c r="BJH65" s="95"/>
      <c r="BJI65" s="95"/>
      <c r="BJJ65" s="95"/>
      <c r="BJK65" s="95"/>
      <c r="BJL65" s="95"/>
      <c r="BJM65" s="95"/>
      <c r="BJN65" s="95"/>
      <c r="BJO65" s="95"/>
      <c r="BJP65" s="95"/>
      <c r="BJQ65" s="95"/>
      <c r="BJR65" s="95"/>
      <c r="BJS65" s="95"/>
      <c r="BJT65" s="95"/>
      <c r="BJU65" s="95"/>
      <c r="BJV65" s="95"/>
      <c r="BJW65" s="95"/>
      <c r="BJX65" s="95"/>
      <c r="BJY65" s="95"/>
      <c r="BJZ65" s="95"/>
      <c r="BKA65" s="95"/>
      <c r="BKB65" s="95"/>
      <c r="BKC65" s="95"/>
      <c r="BKD65" s="95"/>
      <c r="BKE65" s="95"/>
      <c r="BKF65" s="95"/>
      <c r="BKG65" s="95"/>
      <c r="BKH65" s="95"/>
      <c r="BKI65" s="95"/>
      <c r="BKJ65" s="95"/>
      <c r="BKK65" s="95"/>
      <c r="BKL65" s="95"/>
      <c r="BKM65" s="95"/>
      <c r="BKN65" s="95"/>
      <c r="BKO65" s="95"/>
      <c r="BKP65" s="95"/>
      <c r="BKQ65" s="95"/>
      <c r="BKR65" s="95"/>
      <c r="BKS65" s="95"/>
      <c r="BKT65" s="95"/>
      <c r="BKU65" s="95"/>
      <c r="BKV65" s="95"/>
      <c r="BKW65" s="95"/>
      <c r="BKX65" s="95"/>
      <c r="BKY65" s="95"/>
      <c r="BKZ65" s="95"/>
      <c r="BLA65" s="95"/>
      <c r="BLB65" s="95"/>
      <c r="BLC65" s="95"/>
      <c r="BLD65" s="95"/>
      <c r="BLE65" s="95"/>
      <c r="BLF65" s="95"/>
      <c r="BLG65" s="95"/>
      <c r="BLH65" s="95"/>
      <c r="BLI65" s="95"/>
      <c r="BLJ65" s="95"/>
      <c r="BLK65" s="95"/>
      <c r="BLL65" s="95"/>
      <c r="BLM65" s="95"/>
      <c r="BLN65" s="95"/>
      <c r="BLO65" s="95"/>
      <c r="BLP65" s="95"/>
      <c r="BLQ65" s="95"/>
      <c r="BLR65" s="95"/>
      <c r="BLS65" s="95"/>
      <c r="BLT65" s="95"/>
      <c r="BLU65" s="95"/>
      <c r="BLV65" s="95"/>
      <c r="BLW65" s="95"/>
      <c r="BLX65" s="95"/>
      <c r="BLY65" s="95"/>
      <c r="BLZ65" s="95"/>
      <c r="BMA65" s="95"/>
      <c r="BMB65" s="95"/>
      <c r="BMC65" s="95"/>
      <c r="BMD65" s="95"/>
      <c r="BME65" s="95"/>
      <c r="BMF65" s="95"/>
      <c r="BMG65" s="95"/>
      <c r="BMH65" s="95"/>
      <c r="BMI65" s="95"/>
      <c r="BMJ65" s="95"/>
      <c r="BMK65" s="95"/>
      <c r="BML65" s="95"/>
      <c r="BMM65" s="95"/>
      <c r="BMN65" s="95"/>
      <c r="BMO65" s="95"/>
      <c r="BMP65" s="95"/>
      <c r="BMQ65" s="95"/>
      <c r="BMR65" s="95"/>
      <c r="BMS65" s="95"/>
      <c r="BMT65" s="95"/>
      <c r="BMU65" s="95"/>
      <c r="BMV65" s="95"/>
      <c r="BMW65" s="95"/>
      <c r="BMX65" s="95"/>
      <c r="BMY65" s="95"/>
      <c r="BMZ65" s="95"/>
      <c r="BNA65" s="95"/>
      <c r="BNB65" s="95"/>
      <c r="BNC65" s="95"/>
      <c r="BND65" s="95"/>
      <c r="BNE65" s="95"/>
      <c r="BNF65" s="95"/>
      <c r="BNG65" s="95"/>
      <c r="BNH65" s="95"/>
      <c r="BNI65" s="95"/>
      <c r="BNJ65" s="95"/>
      <c r="BNK65" s="95"/>
      <c r="BNL65" s="95"/>
      <c r="BNM65" s="95"/>
      <c r="BNN65" s="95"/>
      <c r="BNO65" s="95"/>
      <c r="BNP65" s="95"/>
      <c r="BNQ65" s="95"/>
      <c r="BNR65" s="95"/>
      <c r="BNS65" s="95"/>
      <c r="BNT65" s="95"/>
      <c r="BNU65" s="95"/>
      <c r="BNV65" s="95"/>
      <c r="BNW65" s="95"/>
      <c r="BNX65" s="95"/>
      <c r="BNY65" s="95"/>
      <c r="BNZ65" s="95"/>
      <c r="BOA65" s="95"/>
      <c r="BOB65" s="95"/>
      <c r="BOC65" s="95"/>
      <c r="BOD65" s="95"/>
      <c r="BOE65" s="95"/>
      <c r="BOF65" s="95"/>
      <c r="BOG65" s="95"/>
      <c r="BOH65" s="95"/>
      <c r="BOI65" s="95"/>
      <c r="BOJ65" s="95"/>
      <c r="BOK65" s="95"/>
      <c r="BOL65" s="95"/>
      <c r="BOM65" s="95"/>
      <c r="BON65" s="95"/>
      <c r="BOO65" s="95"/>
      <c r="BOP65" s="95"/>
      <c r="BOQ65" s="95"/>
      <c r="BOR65" s="95"/>
      <c r="BOS65" s="95"/>
      <c r="BOT65" s="95"/>
      <c r="BOU65" s="95"/>
      <c r="BOV65" s="95"/>
      <c r="BOW65" s="95"/>
      <c r="BOX65" s="95"/>
      <c r="BOY65" s="95"/>
      <c r="BOZ65" s="95"/>
      <c r="BPA65" s="95"/>
      <c r="BPB65" s="95"/>
      <c r="BPC65" s="95"/>
      <c r="BPD65" s="95"/>
      <c r="BPE65" s="95"/>
      <c r="BPF65" s="95"/>
      <c r="BPG65" s="95"/>
      <c r="BPH65" s="95"/>
      <c r="BPI65" s="95"/>
      <c r="BPJ65" s="95"/>
      <c r="BPK65" s="95"/>
      <c r="BPL65" s="95"/>
      <c r="BPM65" s="95"/>
      <c r="BPN65" s="95"/>
      <c r="BPO65" s="95"/>
      <c r="BPP65" s="95"/>
      <c r="BPQ65" s="95"/>
      <c r="BPR65" s="95"/>
      <c r="BPS65" s="95"/>
      <c r="BPT65" s="95"/>
      <c r="BPU65" s="95"/>
      <c r="BPV65" s="95"/>
      <c r="BPW65" s="95"/>
      <c r="BPX65" s="95"/>
      <c r="BPY65" s="95"/>
      <c r="BPZ65" s="95"/>
      <c r="BQA65" s="95"/>
      <c r="BQB65" s="95"/>
      <c r="BQC65" s="95"/>
      <c r="BQD65" s="95"/>
      <c r="BQE65" s="95"/>
      <c r="BQF65" s="95"/>
      <c r="BQG65" s="95"/>
      <c r="BQH65" s="95"/>
      <c r="BQI65" s="95"/>
      <c r="BQJ65" s="95"/>
      <c r="BQK65" s="95"/>
      <c r="BQL65" s="95"/>
      <c r="BQM65" s="95"/>
      <c r="BQN65" s="95"/>
      <c r="BQO65" s="95"/>
      <c r="BQP65" s="95"/>
      <c r="BQQ65" s="95"/>
      <c r="BQR65" s="95"/>
      <c r="BQS65" s="95"/>
      <c r="BQT65" s="95"/>
      <c r="BQU65" s="95"/>
      <c r="BQV65" s="95"/>
      <c r="BQW65" s="95"/>
      <c r="BQX65" s="95"/>
      <c r="BQY65" s="95"/>
      <c r="BQZ65" s="95"/>
      <c r="BRA65" s="95"/>
      <c r="BRB65" s="95"/>
      <c r="BRC65" s="95"/>
      <c r="BRD65" s="95"/>
      <c r="BRE65" s="95"/>
      <c r="BRF65" s="95"/>
      <c r="BRG65" s="95"/>
      <c r="BRH65" s="95"/>
      <c r="BRI65" s="95"/>
      <c r="BRJ65" s="95"/>
      <c r="BRK65" s="95"/>
      <c r="BRL65" s="95"/>
      <c r="BRM65" s="95"/>
      <c r="BRN65" s="95"/>
      <c r="BRO65" s="95"/>
      <c r="BRP65" s="95"/>
      <c r="BRQ65" s="95"/>
      <c r="BRR65" s="95"/>
      <c r="BRS65" s="95"/>
      <c r="BRT65" s="95"/>
      <c r="BRU65" s="95"/>
      <c r="BRV65" s="95"/>
      <c r="BRW65" s="95"/>
      <c r="BRX65" s="95"/>
      <c r="BRY65" s="95"/>
      <c r="BRZ65" s="95"/>
      <c r="BSA65" s="95"/>
      <c r="BSB65" s="95"/>
      <c r="BSC65" s="95"/>
      <c r="BSD65" s="95"/>
      <c r="BSE65" s="95"/>
      <c r="BSF65" s="95"/>
      <c r="BSG65" s="95"/>
      <c r="BSH65" s="95"/>
      <c r="BSI65" s="95"/>
      <c r="BSJ65" s="95"/>
      <c r="BSK65" s="95"/>
      <c r="BSL65" s="95"/>
      <c r="BSM65" s="95"/>
      <c r="BSN65" s="95"/>
      <c r="BSO65" s="95"/>
      <c r="BSP65" s="95"/>
      <c r="BSQ65" s="95"/>
      <c r="BSR65" s="95"/>
      <c r="BSS65" s="95"/>
      <c r="BST65" s="95"/>
      <c r="BSU65" s="95"/>
      <c r="BSV65" s="95"/>
      <c r="BSW65" s="95"/>
      <c r="BSX65" s="95"/>
      <c r="BSY65" s="95"/>
      <c r="BSZ65" s="95"/>
      <c r="BTA65" s="95"/>
      <c r="BTB65" s="95"/>
      <c r="BTC65" s="95"/>
      <c r="BTD65" s="95"/>
      <c r="BTE65" s="95"/>
      <c r="BTF65" s="95"/>
      <c r="BTG65" s="95"/>
      <c r="BTH65" s="95"/>
      <c r="BTI65" s="95"/>
      <c r="BTJ65" s="95"/>
      <c r="BTK65" s="95"/>
      <c r="BTL65" s="95"/>
      <c r="BTM65" s="95"/>
      <c r="BTN65" s="95"/>
      <c r="BTO65" s="95"/>
      <c r="BTP65" s="95"/>
      <c r="BTQ65" s="95"/>
      <c r="BTR65" s="95"/>
      <c r="BTS65" s="95"/>
      <c r="BTT65" s="95"/>
      <c r="BTU65" s="95"/>
      <c r="BTV65" s="95"/>
      <c r="BTW65" s="95"/>
      <c r="BTX65" s="95"/>
      <c r="BTY65" s="95"/>
      <c r="BTZ65" s="95"/>
      <c r="BUA65" s="95"/>
      <c r="BUB65" s="95"/>
      <c r="BUC65" s="95"/>
      <c r="BUD65" s="95"/>
      <c r="BUE65" s="95"/>
      <c r="BUF65" s="95"/>
      <c r="BUG65" s="95"/>
      <c r="BUH65" s="95"/>
      <c r="BUI65" s="95"/>
      <c r="BUJ65" s="95"/>
      <c r="BUK65" s="95"/>
      <c r="BUL65" s="95"/>
      <c r="BUM65" s="95"/>
      <c r="BUN65" s="95"/>
      <c r="BUO65" s="95"/>
      <c r="BUP65" s="95"/>
      <c r="BUQ65" s="95"/>
      <c r="BUR65" s="95"/>
      <c r="BUS65" s="95"/>
      <c r="BUT65" s="95"/>
      <c r="BUU65" s="95"/>
      <c r="BUV65" s="95"/>
      <c r="BUW65" s="95"/>
      <c r="BUX65" s="95"/>
      <c r="BUY65" s="95"/>
      <c r="BUZ65" s="95"/>
      <c r="BVA65" s="95"/>
      <c r="BVB65" s="95"/>
      <c r="BVC65" s="95"/>
      <c r="BVD65" s="95"/>
      <c r="BVE65" s="95"/>
      <c r="BVF65" s="95"/>
      <c r="BVG65" s="95"/>
      <c r="BVH65" s="95"/>
      <c r="BVI65" s="95"/>
      <c r="BVJ65" s="95"/>
      <c r="BVK65" s="95"/>
      <c r="BVL65" s="95"/>
      <c r="BVM65" s="95"/>
      <c r="BVN65" s="95"/>
      <c r="BVO65" s="95"/>
      <c r="BVP65" s="95"/>
      <c r="BVQ65" s="95"/>
      <c r="BVR65" s="95"/>
      <c r="BVS65" s="95"/>
      <c r="BVT65" s="95"/>
      <c r="BVU65" s="95"/>
      <c r="BVV65" s="95"/>
      <c r="BVW65" s="95"/>
      <c r="BVX65" s="95"/>
      <c r="BVY65" s="95"/>
      <c r="BVZ65" s="95"/>
      <c r="BWA65" s="95"/>
      <c r="BWB65" s="95"/>
      <c r="BWC65" s="95"/>
      <c r="BWD65" s="95"/>
      <c r="BWE65" s="95"/>
      <c r="BWF65" s="95"/>
      <c r="BWG65" s="95"/>
      <c r="BWH65" s="95"/>
      <c r="BWI65" s="95"/>
      <c r="BWJ65" s="95"/>
      <c r="BWK65" s="95"/>
      <c r="BWL65" s="95"/>
      <c r="BWM65" s="95"/>
      <c r="BWN65" s="95"/>
      <c r="BWO65" s="95"/>
      <c r="BWP65" s="95"/>
      <c r="BWQ65" s="95"/>
      <c r="BWR65" s="95"/>
      <c r="BWS65" s="95"/>
      <c r="BWT65" s="95"/>
      <c r="BWU65" s="95"/>
      <c r="BWV65" s="95"/>
      <c r="BWW65" s="95"/>
      <c r="BWX65" s="95"/>
      <c r="BWY65" s="95"/>
      <c r="BWZ65" s="95"/>
      <c r="BXA65" s="95"/>
      <c r="BXB65" s="95"/>
      <c r="BXC65" s="95"/>
      <c r="BXD65" s="95"/>
      <c r="BXE65" s="95"/>
      <c r="BXF65" s="95"/>
      <c r="BXG65" s="95"/>
      <c r="BXH65" s="95"/>
      <c r="BXI65" s="95"/>
      <c r="BXJ65" s="95"/>
      <c r="BXK65" s="95"/>
      <c r="BXL65" s="95"/>
      <c r="BXM65" s="95"/>
      <c r="BXN65" s="95"/>
      <c r="BXO65" s="95"/>
      <c r="BXP65" s="95"/>
      <c r="BXQ65" s="95"/>
      <c r="BXR65" s="95"/>
      <c r="BXS65" s="95"/>
      <c r="BXT65" s="95"/>
      <c r="BXU65" s="95"/>
      <c r="BXV65" s="95"/>
      <c r="BXW65" s="95"/>
      <c r="BXX65" s="95"/>
      <c r="BXY65" s="95"/>
      <c r="BXZ65" s="95"/>
      <c r="BYA65" s="95"/>
      <c r="BYB65" s="95"/>
      <c r="BYC65" s="95"/>
      <c r="BYD65" s="95"/>
      <c r="BYE65" s="95"/>
      <c r="BYF65" s="95"/>
      <c r="BYG65" s="95"/>
    </row>
    <row r="66" spans="1:2009" ht="15" customHeight="1" x14ac:dyDescent="0.25">
      <c r="A66" s="123"/>
      <c r="B66" s="345" t="s">
        <v>399</v>
      </c>
      <c r="C66" s="205"/>
      <c r="D66" s="205"/>
      <c r="E66" s="205"/>
      <c r="F66" s="205"/>
      <c r="G66" s="205"/>
    </row>
    <row r="67" spans="1:2009" ht="8.25" customHeight="1" x14ac:dyDescent="0.25">
      <c r="A67" s="123"/>
      <c r="B67" s="162"/>
      <c r="C67" s="205"/>
      <c r="D67" s="205"/>
      <c r="E67" s="205"/>
      <c r="F67" s="205"/>
      <c r="G67" s="205"/>
    </row>
    <row r="68" spans="1:2009" ht="14.25" customHeight="1" x14ac:dyDescent="0.25">
      <c r="A68" s="123"/>
      <c r="B68" s="506" t="s">
        <v>53</v>
      </c>
      <c r="C68" s="205">
        <v>6228.79</v>
      </c>
      <c r="D68" s="205"/>
      <c r="E68" s="205"/>
      <c r="F68" s="205"/>
      <c r="G68" s="205"/>
    </row>
    <row r="69" spans="1:2009" ht="14.25" customHeight="1" x14ac:dyDescent="0.25">
      <c r="A69" s="123"/>
      <c r="B69" s="506" t="s">
        <v>406</v>
      </c>
      <c r="C69" s="205">
        <v>21961.05</v>
      </c>
      <c r="D69" s="205"/>
      <c r="E69" s="205"/>
      <c r="F69" s="205"/>
      <c r="G69" s="205"/>
    </row>
    <row r="70" spans="1:2009" ht="14.25" customHeight="1" x14ac:dyDescent="0.25">
      <c r="A70" s="123"/>
      <c r="B70" s="506" t="s">
        <v>407</v>
      </c>
      <c r="C70" s="205">
        <v>2871.65</v>
      </c>
      <c r="D70" s="205"/>
      <c r="E70" s="205"/>
      <c r="F70" s="205"/>
      <c r="G70" s="205"/>
    </row>
    <row r="71" spans="1:2009" ht="15" customHeight="1" x14ac:dyDescent="0.25">
      <c r="A71" s="453"/>
      <c r="B71" s="506" t="s">
        <v>400</v>
      </c>
      <c r="C71" s="400">
        <f>1757.73+1076.98</f>
        <v>2834.71</v>
      </c>
      <c r="D71" s="582"/>
      <c r="E71" s="205"/>
      <c r="F71" s="205"/>
      <c r="G71" s="205"/>
    </row>
    <row r="72" spans="1:2009" ht="15" hidden="1" customHeight="1" x14ac:dyDescent="0.25">
      <c r="A72" s="453"/>
      <c r="B72" s="344" t="s">
        <v>370</v>
      </c>
      <c r="C72" s="400"/>
      <c r="D72" s="582"/>
      <c r="E72" s="205"/>
      <c r="F72" s="205"/>
      <c r="G72" s="205"/>
    </row>
    <row r="73" spans="1:2009" ht="15" hidden="1" customHeight="1" x14ac:dyDescent="0.25">
      <c r="A73" s="453"/>
      <c r="B73" s="344" t="s">
        <v>371</v>
      </c>
      <c r="C73" s="400"/>
      <c r="D73" s="582"/>
      <c r="E73" s="205"/>
      <c r="F73" s="205"/>
      <c r="G73" s="205"/>
    </row>
    <row r="74" spans="1:2009" ht="15" hidden="1" customHeight="1" x14ac:dyDescent="0.25">
      <c r="A74" s="453"/>
      <c r="B74" s="344" t="s">
        <v>372</v>
      </c>
      <c r="C74" s="400"/>
      <c r="D74" s="582"/>
      <c r="E74" s="205"/>
      <c r="F74" s="205"/>
      <c r="G74" s="205"/>
    </row>
    <row r="75" spans="1:2009" ht="15" hidden="1" customHeight="1" x14ac:dyDescent="0.25">
      <c r="A75" s="453"/>
      <c r="B75" s="344" t="s">
        <v>373</v>
      </c>
      <c r="C75" s="400"/>
      <c r="D75" s="582"/>
      <c r="E75" s="205"/>
      <c r="F75" s="205"/>
      <c r="G75" s="205"/>
    </row>
    <row r="76" spans="1:2009" ht="15" hidden="1" customHeight="1" x14ac:dyDescent="0.25">
      <c r="A76" s="453"/>
      <c r="B76" s="344" t="s">
        <v>375</v>
      </c>
      <c r="C76" s="400"/>
      <c r="D76" s="582"/>
      <c r="E76" s="205"/>
      <c r="F76" s="205"/>
      <c r="G76" s="205"/>
    </row>
    <row r="77" spans="1:2009" ht="15" hidden="1" customHeight="1" x14ac:dyDescent="0.25">
      <c r="A77" s="453"/>
      <c r="B77" s="344" t="s">
        <v>374</v>
      </c>
      <c r="C77" s="400"/>
      <c r="D77" s="582"/>
      <c r="E77" s="205"/>
      <c r="F77" s="205"/>
      <c r="G77" s="205"/>
    </row>
    <row r="78" spans="1:2009" ht="15" hidden="1" customHeight="1" x14ac:dyDescent="0.25">
      <c r="A78" s="453"/>
      <c r="B78" s="344" t="s">
        <v>336</v>
      </c>
      <c r="C78" s="400"/>
      <c r="D78" s="205"/>
      <c r="E78" s="205"/>
      <c r="F78" s="205"/>
      <c r="G78" s="205"/>
    </row>
    <row r="79" spans="1:2009" ht="15" hidden="1" customHeight="1" x14ac:dyDescent="0.25">
      <c r="A79" s="453"/>
      <c r="B79" s="344" t="s">
        <v>337</v>
      </c>
      <c r="C79" s="400"/>
      <c r="D79" s="205"/>
      <c r="E79" s="205"/>
      <c r="F79" s="205"/>
      <c r="G79" s="205"/>
    </row>
    <row r="80" spans="1:2009" ht="15" hidden="1" customHeight="1" x14ac:dyDescent="0.25">
      <c r="A80" s="453"/>
      <c r="B80" s="344" t="s">
        <v>348</v>
      </c>
      <c r="C80" s="400"/>
      <c r="D80" s="205"/>
      <c r="E80" s="205"/>
      <c r="F80" s="205"/>
      <c r="G80" s="205"/>
    </row>
    <row r="81" spans="1:7" ht="15" hidden="1" customHeight="1" x14ac:dyDescent="0.25">
      <c r="A81" s="453"/>
      <c r="B81" s="344" t="s">
        <v>349</v>
      </c>
      <c r="C81" s="400"/>
      <c r="D81" s="205"/>
      <c r="E81" s="205"/>
      <c r="F81" s="205"/>
      <c r="G81" s="205"/>
    </row>
    <row r="82" spans="1:7" ht="15" hidden="1" customHeight="1" x14ac:dyDescent="0.25">
      <c r="A82" s="453"/>
      <c r="B82" s="344" t="s">
        <v>350</v>
      </c>
      <c r="C82" s="400"/>
      <c r="D82" s="205"/>
      <c r="E82" s="205"/>
      <c r="F82" s="205"/>
      <c r="G82" s="205"/>
    </row>
    <row r="83" spans="1:7" ht="15" x14ac:dyDescent="0.25">
      <c r="A83" s="454"/>
      <c r="B83" s="163" t="s">
        <v>401</v>
      </c>
      <c r="C83" s="393">
        <f>SUM(C67:C82)</f>
        <v>33896.200000000004</v>
      </c>
      <c r="D83" s="206"/>
      <c r="E83" s="206"/>
      <c r="F83" s="206"/>
      <c r="G83" s="206"/>
    </row>
    <row r="84" spans="1:7" ht="5.25" customHeight="1" x14ac:dyDescent="0.2">
      <c r="C84" s="206"/>
      <c r="D84" s="206"/>
      <c r="E84" s="206"/>
      <c r="F84" s="206"/>
      <c r="G84" s="206"/>
    </row>
    <row r="85" spans="1:7" ht="15.75" thickBot="1" x14ac:dyDescent="0.3">
      <c r="B85" s="163" t="s">
        <v>402</v>
      </c>
      <c r="C85" s="437">
        <f>G62-C83</f>
        <v>222433.05</v>
      </c>
      <c r="D85" s="206"/>
      <c r="E85" s="206"/>
      <c r="F85" s="206"/>
      <c r="G85" s="206"/>
    </row>
    <row r="86" spans="1:7" ht="12" customHeight="1" thickTop="1" x14ac:dyDescent="0.2">
      <c r="C86" s="206"/>
      <c r="D86" s="206"/>
      <c r="E86" s="206"/>
      <c r="F86" s="206"/>
      <c r="G86" s="206"/>
    </row>
    <row r="87" spans="1:7" ht="15.75" x14ac:dyDescent="0.25">
      <c r="B87" s="345" t="s">
        <v>200</v>
      </c>
      <c r="C87" s="206"/>
      <c r="D87" s="206"/>
      <c r="E87" s="206"/>
      <c r="F87" s="206"/>
      <c r="G87" s="206"/>
    </row>
    <row r="88" spans="1:7" ht="15" x14ac:dyDescent="0.2">
      <c r="B88" s="633" t="s">
        <v>391</v>
      </c>
      <c r="C88" s="206">
        <v>1000</v>
      </c>
      <c r="D88" s="206"/>
      <c r="E88" s="206"/>
      <c r="F88" s="206"/>
      <c r="G88" s="206"/>
    </row>
    <row r="89" spans="1:7" ht="15" x14ac:dyDescent="0.2">
      <c r="B89" s="633" t="s">
        <v>408</v>
      </c>
      <c r="C89" s="206">
        <v>22450.84</v>
      </c>
      <c r="D89" s="206"/>
      <c r="E89" s="206"/>
      <c r="F89" s="206"/>
      <c r="G89" s="206"/>
    </row>
    <row r="90" spans="1:7" x14ac:dyDescent="0.2">
      <c r="B90" s="492"/>
      <c r="C90" s="249"/>
      <c r="D90" s="206"/>
      <c r="E90" s="206"/>
      <c r="F90" s="206"/>
      <c r="G90" s="206"/>
    </row>
    <row r="91" spans="1:7" hidden="1" x14ac:dyDescent="0.2">
      <c r="B91" s="492"/>
      <c r="C91" s="206"/>
      <c r="D91" s="206"/>
      <c r="E91" s="206"/>
      <c r="F91" s="206"/>
      <c r="G91" s="206"/>
    </row>
    <row r="92" spans="1:7" hidden="1" x14ac:dyDescent="0.2">
      <c r="B92" s="492"/>
      <c r="C92" s="206"/>
      <c r="D92" s="206"/>
      <c r="E92" s="206"/>
      <c r="F92" s="206"/>
      <c r="G92" s="206"/>
    </row>
    <row r="93" spans="1:7" hidden="1" x14ac:dyDescent="0.2">
      <c r="B93" s="492"/>
      <c r="C93" s="206"/>
      <c r="D93" s="206"/>
      <c r="E93" s="206"/>
      <c r="F93" s="206"/>
      <c r="G93" s="206"/>
    </row>
    <row r="94" spans="1:7" hidden="1" x14ac:dyDescent="0.2">
      <c r="B94" s="492"/>
      <c r="C94" s="206"/>
      <c r="D94" s="206"/>
      <c r="E94" s="206"/>
      <c r="F94" s="206"/>
      <c r="G94" s="206"/>
    </row>
    <row r="95" spans="1:7" hidden="1" x14ac:dyDescent="0.2">
      <c r="B95" s="492"/>
      <c r="C95" s="206"/>
      <c r="D95" s="206"/>
      <c r="E95" s="206"/>
      <c r="F95" s="206"/>
      <c r="G95" s="206"/>
    </row>
    <row r="96" spans="1:7" hidden="1" x14ac:dyDescent="0.2">
      <c r="B96" s="492"/>
      <c r="C96" s="401"/>
      <c r="D96" s="206"/>
      <c r="E96" s="206"/>
      <c r="F96" s="206"/>
      <c r="G96" s="206"/>
    </row>
    <row r="97" spans="2:7" hidden="1" x14ac:dyDescent="0.2">
      <c r="B97" s="492"/>
      <c r="C97" s="401"/>
      <c r="D97" s="206"/>
      <c r="E97" s="206"/>
      <c r="F97" s="206"/>
      <c r="G97" s="206"/>
    </row>
    <row r="98" spans="2:7" ht="16.5" customHeight="1" x14ac:dyDescent="0.25">
      <c r="B98" s="507" t="s">
        <v>236</v>
      </c>
      <c r="C98" s="401"/>
      <c r="D98" s="206"/>
      <c r="E98" s="206"/>
      <c r="F98" s="206"/>
      <c r="G98" s="206"/>
    </row>
    <row r="99" spans="2:7" ht="16.5" customHeight="1" x14ac:dyDescent="0.2">
      <c r="B99" s="492" t="s">
        <v>409</v>
      </c>
      <c r="C99" s="401">
        <v>43.64</v>
      </c>
      <c r="D99" s="206"/>
      <c r="E99" s="206"/>
      <c r="F99" s="206"/>
      <c r="G99" s="206"/>
    </row>
    <row r="100" spans="2:7" ht="16.5" customHeight="1" x14ac:dyDescent="0.2">
      <c r="B100" s="306" t="s">
        <v>410</v>
      </c>
      <c r="C100" s="206">
        <v>79750</v>
      </c>
      <c r="D100" s="206"/>
      <c r="E100" s="206"/>
      <c r="F100" s="206"/>
      <c r="G100" s="206"/>
    </row>
    <row r="101" spans="2:7" ht="16.5" customHeight="1" x14ac:dyDescent="0.2">
      <c r="B101" s="306"/>
      <c r="C101" s="206"/>
      <c r="D101" s="206"/>
      <c r="E101" s="206"/>
      <c r="F101" s="206"/>
      <c r="G101" s="206"/>
    </row>
    <row r="102" spans="2:7" ht="16.5" customHeight="1" x14ac:dyDescent="0.2">
      <c r="B102" s="306"/>
      <c r="C102" s="206"/>
      <c r="D102" s="206"/>
      <c r="E102" s="206"/>
      <c r="F102" s="206"/>
      <c r="G102" s="206"/>
    </row>
    <row r="103" spans="2:7" ht="16.5" customHeight="1" x14ac:dyDescent="0.2">
      <c r="B103" s="306"/>
      <c r="C103" s="206"/>
      <c r="D103" s="206"/>
      <c r="E103" s="206"/>
      <c r="F103" s="206"/>
      <c r="G103" s="206"/>
    </row>
    <row r="104" spans="2:7" ht="16.5" customHeight="1" x14ac:dyDescent="0.2">
      <c r="B104" s="306"/>
      <c r="C104" s="206"/>
      <c r="D104" s="206"/>
      <c r="E104" s="206"/>
      <c r="F104" s="206"/>
      <c r="G104" s="206"/>
    </row>
    <row r="105" spans="2:7" ht="12" customHeight="1" x14ac:dyDescent="0.2">
      <c r="B105" s="306"/>
      <c r="C105" s="206"/>
      <c r="D105" s="206"/>
      <c r="E105" s="206"/>
      <c r="F105" s="206"/>
      <c r="G105" s="206"/>
    </row>
    <row r="106" spans="2:7" ht="12" customHeight="1" x14ac:dyDescent="0.2">
      <c r="C106" s="206"/>
      <c r="D106" s="206"/>
      <c r="E106" s="206"/>
      <c r="F106" s="206"/>
      <c r="G106" s="206"/>
    </row>
    <row r="107" spans="2:7" ht="12" customHeight="1" x14ac:dyDescent="0.2">
      <c r="C107" s="206"/>
      <c r="D107" s="206"/>
      <c r="E107" s="206"/>
      <c r="F107" s="206"/>
      <c r="G107" s="206"/>
    </row>
    <row r="108" spans="2:7" ht="12" customHeight="1" x14ac:dyDescent="0.2">
      <c r="C108" s="206"/>
      <c r="D108" s="206"/>
      <c r="E108" s="206"/>
      <c r="F108" s="206"/>
      <c r="G108" s="206"/>
    </row>
    <row r="109" spans="2:7" ht="12" customHeight="1" x14ac:dyDescent="0.2">
      <c r="C109" s="206"/>
      <c r="D109" s="206"/>
      <c r="E109" s="206"/>
      <c r="F109" s="206"/>
      <c r="G109" s="206"/>
    </row>
    <row r="110" spans="2:7" ht="12" customHeight="1" x14ac:dyDescent="0.2">
      <c r="C110" s="206"/>
      <c r="D110" s="206"/>
      <c r="E110" s="206"/>
      <c r="F110" s="206"/>
      <c r="G110" s="206"/>
    </row>
    <row r="111" spans="2:7" ht="12" customHeight="1" x14ac:dyDescent="0.2">
      <c r="C111" s="206"/>
      <c r="D111" s="206"/>
      <c r="E111" s="206"/>
      <c r="F111" s="206"/>
      <c r="G111" s="206"/>
    </row>
    <row r="112" spans="2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3:7" ht="12" customHeight="1" x14ac:dyDescent="0.2">
      <c r="C145" s="206"/>
      <c r="D145" s="206"/>
      <c r="E145" s="206"/>
      <c r="F145" s="206"/>
      <c r="G145" s="206"/>
    </row>
    <row r="146" spans="3:7" ht="12" customHeight="1" x14ac:dyDescent="0.2">
      <c r="C146" s="206"/>
      <c r="D146" s="206"/>
      <c r="E146" s="206"/>
      <c r="F146" s="206"/>
      <c r="G146" s="206"/>
    </row>
    <row r="147" spans="3:7" ht="12" customHeight="1" x14ac:dyDescent="0.2">
      <c r="C147" s="206"/>
      <c r="D147" s="206"/>
      <c r="E147" s="206"/>
      <c r="F147" s="206"/>
      <c r="G147" s="206"/>
    </row>
    <row r="148" spans="3:7" ht="12" customHeight="1" x14ac:dyDescent="0.2">
      <c r="C148" s="206"/>
      <c r="D148" s="206"/>
      <c r="E148" s="206"/>
      <c r="F148" s="206"/>
      <c r="G148" s="206"/>
    </row>
    <row r="149" spans="3:7" ht="12" customHeight="1" x14ac:dyDescent="0.2">
      <c r="C149" s="206"/>
      <c r="D149" s="206"/>
      <c r="E149" s="206"/>
      <c r="F149" s="206"/>
      <c r="G149" s="206"/>
    </row>
    <row r="150" spans="3:7" ht="12" customHeight="1" x14ac:dyDescent="0.2">
      <c r="C150" s="206"/>
      <c r="D150" s="206"/>
      <c r="E150" s="206"/>
      <c r="F150" s="206"/>
      <c r="G150" s="206"/>
    </row>
    <row r="151" spans="3:7" ht="12" customHeight="1" x14ac:dyDescent="0.2">
      <c r="C151" s="206"/>
      <c r="D151" s="206"/>
      <c r="E151" s="206"/>
      <c r="F151" s="206"/>
      <c r="G151" s="206"/>
    </row>
    <row r="152" spans="3:7" ht="12" customHeight="1" x14ac:dyDescent="0.2">
      <c r="C152" s="206"/>
      <c r="D152" s="206"/>
      <c r="E152" s="206"/>
      <c r="F152" s="206"/>
      <c r="G152" s="206"/>
    </row>
    <row r="153" spans="3:7" ht="12" customHeight="1" x14ac:dyDescent="0.2">
      <c r="C153" s="206"/>
      <c r="D153" s="206"/>
      <c r="E153" s="206"/>
      <c r="F153" s="206"/>
      <c r="G153" s="206"/>
    </row>
    <row r="154" spans="3:7" ht="12" customHeight="1" x14ac:dyDescent="0.2">
      <c r="C154" s="206"/>
      <c r="D154" s="206"/>
      <c r="E154" s="206"/>
      <c r="F154" s="206"/>
      <c r="G154" s="206"/>
    </row>
    <row r="155" spans="3:7" ht="12" customHeight="1" x14ac:dyDescent="0.2">
      <c r="C155" s="206"/>
      <c r="D155" s="206"/>
      <c r="E155" s="206"/>
      <c r="F155" s="206"/>
      <c r="G155" s="206"/>
    </row>
    <row r="156" spans="3:7" ht="12" customHeight="1" x14ac:dyDescent="0.2">
      <c r="C156" s="206"/>
      <c r="D156" s="206"/>
      <c r="E156" s="206"/>
      <c r="F156" s="206"/>
      <c r="G156" s="206"/>
    </row>
    <row r="157" spans="3:7" ht="12" customHeight="1" x14ac:dyDescent="0.2">
      <c r="C157" s="206"/>
      <c r="D157" s="206"/>
      <c r="E157" s="206"/>
      <c r="F157" s="206"/>
      <c r="G157" s="206"/>
    </row>
    <row r="158" spans="3:7" ht="12" customHeight="1" x14ac:dyDescent="0.2">
      <c r="C158" s="206"/>
      <c r="D158" s="206"/>
      <c r="E158" s="206"/>
      <c r="F158" s="206"/>
      <c r="G158" s="206"/>
    </row>
    <row r="159" spans="3:7" ht="12" customHeight="1" x14ac:dyDescent="0.2">
      <c r="C159" s="206"/>
      <c r="D159" s="206"/>
      <c r="E159" s="206"/>
      <c r="F159" s="206"/>
      <c r="G159" s="206"/>
    </row>
    <row r="160" spans="3:7" ht="12" customHeight="1" x14ac:dyDescent="0.2">
      <c r="C160" s="206"/>
      <c r="D160" s="206"/>
      <c r="E160" s="206"/>
      <c r="F160" s="206"/>
      <c r="G160" s="206"/>
    </row>
    <row r="161" spans="2:7" ht="12" customHeight="1" x14ac:dyDescent="0.2">
      <c r="C161" s="206"/>
      <c r="D161" s="206"/>
      <c r="E161" s="206"/>
      <c r="F161" s="206"/>
      <c r="G161" s="206"/>
    </row>
    <row r="162" spans="2:7" ht="12" customHeight="1" x14ac:dyDescent="0.2">
      <c r="C162" s="206"/>
      <c r="D162" s="206"/>
      <c r="E162" s="206"/>
      <c r="F162" s="206"/>
      <c r="G162" s="206"/>
    </row>
    <row r="163" spans="2:7" ht="12" customHeight="1" x14ac:dyDescent="0.2">
      <c r="C163" s="206"/>
      <c r="D163" s="206"/>
      <c r="E163" s="206"/>
      <c r="F163" s="206"/>
      <c r="G163" s="206"/>
    </row>
    <row r="164" spans="2:7" ht="12" customHeight="1" x14ac:dyDescent="0.2">
      <c r="C164" s="206"/>
      <c r="D164" s="206"/>
      <c r="E164" s="206"/>
      <c r="F164" s="206"/>
      <c r="G164" s="206"/>
    </row>
    <row r="165" spans="2:7" ht="12" customHeight="1" x14ac:dyDescent="0.2">
      <c r="C165" s="206"/>
      <c r="D165" s="206"/>
      <c r="E165" s="206"/>
      <c r="F165" s="206"/>
      <c r="G165" s="206"/>
    </row>
    <row r="166" spans="2:7" ht="12" customHeight="1" x14ac:dyDescent="0.2">
      <c r="C166" s="206"/>
      <c r="D166" s="206"/>
      <c r="E166" s="206"/>
      <c r="F166" s="206"/>
      <c r="G166" s="206"/>
    </row>
    <row r="167" spans="2:7" ht="12" customHeight="1" x14ac:dyDescent="0.2">
      <c r="C167" s="206"/>
      <c r="D167" s="206"/>
      <c r="E167" s="206"/>
      <c r="F167" s="206"/>
      <c r="G167" s="206"/>
    </row>
    <row r="168" spans="2:7" ht="12" customHeight="1" x14ac:dyDescent="0.2">
      <c r="C168" s="206"/>
      <c r="D168" s="206"/>
      <c r="E168" s="206"/>
      <c r="F168" s="206"/>
      <c r="G168" s="206"/>
    </row>
    <row r="169" spans="2:7" ht="14.25" customHeight="1" x14ac:dyDescent="0.2"/>
    <row r="170" spans="2:7" ht="15.75" hidden="1" x14ac:dyDescent="0.25">
      <c r="B170" s="392"/>
      <c r="C170" s="249"/>
    </row>
    <row r="171" spans="2:7" ht="15" hidden="1" x14ac:dyDescent="0.25">
      <c r="B171" s="346"/>
      <c r="C171" s="394"/>
    </row>
    <row r="172" spans="2:7" ht="15" hidden="1" x14ac:dyDescent="0.25">
      <c r="B172" s="346"/>
      <c r="C172" s="401"/>
    </row>
    <row r="173" spans="2:7" ht="15" hidden="1" x14ac:dyDescent="0.25">
      <c r="B173" s="346"/>
      <c r="C173" s="206"/>
    </row>
    <row r="174" spans="2:7" hidden="1" x14ac:dyDescent="0.2">
      <c r="B174" s="306"/>
    </row>
    <row r="175" spans="2:7" hidden="1" x14ac:dyDescent="0.2">
      <c r="B175" s="306"/>
    </row>
    <row r="176" spans="2:7" hidden="1" x14ac:dyDescent="0.2">
      <c r="B176" s="306"/>
    </row>
    <row r="177" spans="2:14" hidden="1" x14ac:dyDescent="0.2"/>
    <row r="178" spans="2:14" hidden="1" x14ac:dyDescent="0.2"/>
    <row r="179" spans="2:14" hidden="1" x14ac:dyDescent="0.2">
      <c r="C179" s="342">
        <v>41698</v>
      </c>
      <c r="D179" s="342">
        <v>41609</v>
      </c>
      <c r="E179" s="342">
        <v>41548</v>
      </c>
      <c r="F179" s="342">
        <v>41487</v>
      </c>
      <c r="G179" s="342">
        <v>41426</v>
      </c>
      <c r="H179" s="342">
        <v>41365</v>
      </c>
      <c r="I179" s="342">
        <v>41306</v>
      </c>
      <c r="J179" s="342">
        <v>41274</v>
      </c>
      <c r="K179" s="342">
        <v>41213</v>
      </c>
      <c r="L179" s="342">
        <v>41152</v>
      </c>
      <c r="M179" s="343">
        <v>41090</v>
      </c>
      <c r="N179" s="342">
        <v>41029</v>
      </c>
    </row>
    <row r="180" spans="2:14" hidden="1" x14ac:dyDescent="0.2">
      <c r="B180" s="58" t="s">
        <v>146</v>
      </c>
      <c r="C180" s="249">
        <f>C62</f>
        <v>155726.72</v>
      </c>
      <c r="D180" s="249">
        <f>105452.64+311868.06-305987</f>
        <v>111333.70000000001</v>
      </c>
      <c r="E180" s="249">
        <v>85798.300000000017</v>
      </c>
      <c r="F180" s="206">
        <f>53253.08+18642.89</f>
        <v>71895.97</v>
      </c>
      <c r="G180" s="206">
        <v>126315</v>
      </c>
      <c r="H180" s="206">
        <v>69404</v>
      </c>
      <c r="I180" s="206">
        <v>75744</v>
      </c>
      <c r="J180" s="206">
        <v>119840.47</v>
      </c>
      <c r="K180" s="206">
        <v>120024</v>
      </c>
      <c r="L180" s="206">
        <v>109142</v>
      </c>
      <c r="M180" s="341">
        <v>142216.66</v>
      </c>
      <c r="N180" s="206">
        <v>104785.62</v>
      </c>
    </row>
    <row r="181" spans="2:14" hidden="1" x14ac:dyDescent="0.2">
      <c r="B181" s="58" t="s">
        <v>147</v>
      </c>
      <c r="C181" s="249">
        <f>D62</f>
        <v>78641.489999999991</v>
      </c>
      <c r="D181" s="249">
        <f>74767.18-13600.56</f>
        <v>61166.619999999995</v>
      </c>
      <c r="E181" s="249">
        <v>86248.31</v>
      </c>
      <c r="F181" s="206">
        <v>43187.16</v>
      </c>
      <c r="G181" s="206">
        <v>60049</v>
      </c>
      <c r="H181" s="206">
        <v>101941</v>
      </c>
      <c r="I181" s="206">
        <v>43152</v>
      </c>
      <c r="J181" s="206">
        <v>58938.2</v>
      </c>
      <c r="K181" s="206">
        <v>85767</v>
      </c>
      <c r="L181" s="206">
        <v>119436</v>
      </c>
      <c r="M181" s="341">
        <v>73223.850000000006</v>
      </c>
      <c r="N181" s="206">
        <v>86907.23</v>
      </c>
    </row>
    <row r="182" spans="2:14" hidden="1" x14ac:dyDescent="0.2">
      <c r="B182" s="58" t="s">
        <v>148</v>
      </c>
      <c r="C182" s="249">
        <f>E62</f>
        <v>21961.040000000001</v>
      </c>
      <c r="D182" s="249">
        <f>66720.93-13675.33</f>
        <v>53045.599999999991</v>
      </c>
      <c r="E182" s="249">
        <v>32950.589999999997</v>
      </c>
      <c r="F182" s="206">
        <v>65970.55</v>
      </c>
      <c r="G182" s="206">
        <v>18719</v>
      </c>
      <c r="H182" s="206">
        <v>3668</v>
      </c>
      <c r="I182" s="206">
        <v>50430</v>
      </c>
      <c r="J182" s="206">
        <v>88408.17</v>
      </c>
      <c r="K182" s="206">
        <v>26680</v>
      </c>
      <c r="L182" s="206">
        <v>51922</v>
      </c>
      <c r="M182" s="341">
        <v>77261.37</v>
      </c>
      <c r="N182" s="206">
        <v>11021.67</v>
      </c>
    </row>
    <row r="183" spans="2:14" hidden="1" x14ac:dyDescent="0.2">
      <c r="B183" s="58" t="s">
        <v>149</v>
      </c>
      <c r="C183" s="249">
        <f>F62</f>
        <v>0</v>
      </c>
      <c r="D183" s="249">
        <v>86322.43</v>
      </c>
      <c r="E183" s="249">
        <v>66109.450000000012</v>
      </c>
      <c r="F183" s="206">
        <v>56011.13</v>
      </c>
      <c r="G183" s="206">
        <v>1250</v>
      </c>
      <c r="H183" s="206">
        <v>0</v>
      </c>
      <c r="I183" s="206">
        <v>9959</v>
      </c>
      <c r="J183" s="206">
        <v>18374.45</v>
      </c>
      <c r="K183" s="206">
        <v>22103</v>
      </c>
      <c r="L183" s="206">
        <v>71168</v>
      </c>
      <c r="M183" s="341">
        <v>55167.87</v>
      </c>
      <c r="N183" s="206"/>
    </row>
    <row r="184" spans="2:14" hidden="1" x14ac:dyDescent="0.2">
      <c r="C184" s="249">
        <f>SUM(C180:C183)</f>
        <v>256329.25</v>
      </c>
      <c r="D184" s="249">
        <f>SUM(D180:D183)</f>
        <v>311868.34999999998</v>
      </c>
      <c r="E184" s="249">
        <v>271106.65000000002</v>
      </c>
      <c r="F184" s="206">
        <f>SUM(F180:F183)</f>
        <v>237064.81</v>
      </c>
      <c r="G184" s="206">
        <f t="shared" ref="G184:N184" si="4">SUM(G180:G183)</f>
        <v>206333</v>
      </c>
      <c r="H184" s="206">
        <f t="shared" si="4"/>
        <v>175013</v>
      </c>
      <c r="I184" s="206">
        <f t="shared" si="4"/>
        <v>179285</v>
      </c>
      <c r="J184" s="206">
        <f t="shared" si="4"/>
        <v>285561.28999999998</v>
      </c>
      <c r="K184" s="206">
        <f t="shared" si="4"/>
        <v>254574</v>
      </c>
      <c r="L184" s="206">
        <f t="shared" si="4"/>
        <v>351668</v>
      </c>
      <c r="M184" s="206">
        <f t="shared" si="4"/>
        <v>347869.75</v>
      </c>
      <c r="N184" s="206">
        <f t="shared" si="4"/>
        <v>202714.52</v>
      </c>
    </row>
    <row r="185" spans="2:14" hidden="1" x14ac:dyDescent="0.2">
      <c r="D185" s="206"/>
      <c r="E185" s="206"/>
      <c r="F185" s="206"/>
      <c r="G185" s="206"/>
      <c r="H185" s="206"/>
      <c r="I185" s="206"/>
      <c r="J185" s="206"/>
      <c r="K185" s="206"/>
      <c r="L185" s="341"/>
    </row>
    <row r="186" spans="2:14" hidden="1" x14ac:dyDescent="0.2">
      <c r="C186" s="206"/>
      <c r="D186" s="206"/>
      <c r="E186" s="206"/>
      <c r="F186" s="206"/>
      <c r="G186" s="206"/>
      <c r="H186" s="341"/>
      <c r="I186" s="341"/>
      <c r="J186" s="341"/>
      <c r="K186" s="341"/>
    </row>
    <row r="187" spans="2:14" hidden="1" x14ac:dyDescent="0.2">
      <c r="C187" s="206"/>
      <c r="D187" s="206"/>
      <c r="E187" s="206"/>
      <c r="F187" s="206"/>
      <c r="G187" s="206"/>
      <c r="H187" s="341"/>
      <c r="I187" s="341"/>
      <c r="J187" s="341"/>
      <c r="K187" s="341"/>
    </row>
    <row r="188" spans="2:14" hidden="1" x14ac:dyDescent="0.2"/>
    <row r="189" spans="2:14" hidden="1" x14ac:dyDescent="0.2"/>
    <row r="190" spans="2:14" hidden="1" x14ac:dyDescent="0.2"/>
    <row r="191" spans="2:14" hidden="1" x14ac:dyDescent="0.2"/>
    <row r="192" spans="2:14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sortState ref="A82:J85">
    <sortCondition ref="A82:A85"/>
  </sortState>
  <mergeCells count="2">
    <mergeCell ref="A5:B5"/>
    <mergeCell ref="A54:B54"/>
  </mergeCells>
  <pageMargins left="0.7" right="0.25" top="0.25" bottom="0.25" header="0.3" footer="0.3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75"/>
  <sheetViews>
    <sheetView topLeftCell="A3" zoomScale="75" zoomScaleNormal="75" workbookViewId="0">
      <selection activeCell="H23" sqref="H23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1.5" style="18" customWidth="1"/>
    <col min="8" max="8" width="23.875" style="18" customWidth="1"/>
    <col min="9" max="9" width="1.25" style="18" customWidth="1"/>
    <col min="10" max="10" width="24" style="18" customWidth="1"/>
    <col min="11" max="11" width="1.25" style="18" customWidth="1"/>
    <col min="12" max="12" width="24" style="18" customWidth="1"/>
    <col min="13" max="13" width="1.25" style="18" hidden="1" customWidth="1"/>
    <col min="14" max="14" width="24" style="18" hidden="1" customWidth="1"/>
    <col min="15" max="17" width="9" style="18"/>
    <col min="18" max="18" width="12.5" style="18" bestFit="1" customWidth="1"/>
    <col min="19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106</v>
      </c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192</v>
      </c>
      <c r="B2" s="60"/>
      <c r="C2" s="61"/>
      <c r="D2" s="61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11.25" customHeight="1" x14ac:dyDescent="0.4">
      <c r="A3" s="59"/>
      <c r="B3" s="60"/>
      <c r="C3" s="61"/>
      <c r="D3" s="61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35.1" hidden="1" customHeight="1" x14ac:dyDescent="0.4">
      <c r="A4" s="59" t="s">
        <v>57</v>
      </c>
      <c r="B4" s="60"/>
      <c r="C4" s="61"/>
      <c r="D4" s="61"/>
      <c r="E4" s="6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s="64" customFormat="1" ht="8.25" customHeight="1" thickBot="1" x14ac:dyDescent="0.25">
      <c r="A5" s="62"/>
      <c r="B5" s="62"/>
      <c r="C5" s="62"/>
      <c r="D5" s="62"/>
      <c r="E5" s="62"/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</row>
    <row r="6" spans="1:130" s="67" customFormat="1" ht="27.75" thickTop="1" thickBot="1" x14ac:dyDescent="0.25">
      <c r="A6" s="65" t="s">
        <v>58</v>
      </c>
      <c r="B6" s="65"/>
      <c r="C6" s="65"/>
      <c r="D6" s="65"/>
      <c r="E6" s="65"/>
      <c r="F6" s="65"/>
      <c r="G6" s="263"/>
      <c r="H6" s="263"/>
      <c r="I6" s="708" t="s">
        <v>59</v>
      </c>
      <c r="J6" s="708"/>
      <c r="K6" s="708"/>
      <c r="L6" s="708"/>
      <c r="M6" s="708"/>
      <c r="N6" s="263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</row>
    <row r="7" spans="1:130" s="69" customFormat="1" ht="8.25" customHeight="1" thickTop="1" x14ac:dyDescent="0.2">
      <c r="A7" s="68"/>
      <c r="B7" s="68"/>
      <c r="C7" s="68"/>
      <c r="D7" s="68"/>
      <c r="E7" s="68"/>
      <c r="F7" s="68"/>
    </row>
    <row r="8" spans="1:130" s="73" customFormat="1" ht="21" thickBot="1" x14ac:dyDescent="0.35">
      <c r="A8" s="70"/>
      <c r="B8" s="155" t="s">
        <v>60</v>
      </c>
      <c r="C8" s="155"/>
      <c r="D8" s="155"/>
      <c r="E8" s="155"/>
      <c r="F8" s="155"/>
      <c r="G8" s="359"/>
      <c r="H8" s="308">
        <v>42916</v>
      </c>
      <c r="I8" s="308"/>
      <c r="J8" s="308">
        <v>42735</v>
      </c>
      <c r="K8" s="72"/>
      <c r="L8" s="308">
        <v>42551</v>
      </c>
      <c r="M8" s="72"/>
      <c r="N8" s="308">
        <f>J8-366</f>
        <v>42369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</row>
    <row r="9" spans="1:130" s="75" customFormat="1" ht="6.75" customHeight="1" x14ac:dyDescent="0.2">
      <c r="A9" s="74"/>
      <c r="B9" s="74"/>
      <c r="C9" s="74"/>
      <c r="D9" s="74"/>
      <c r="E9" s="74"/>
      <c r="F9" s="74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5" customFormat="1" ht="20.25" x14ac:dyDescent="0.2">
      <c r="A10" s="74"/>
      <c r="B10" s="74"/>
      <c r="C10" s="74" t="s">
        <v>61</v>
      </c>
      <c r="D10" s="74"/>
      <c r="E10" s="74"/>
      <c r="F10" s="74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8" customFormat="1" ht="20.25" hidden="1" x14ac:dyDescent="0.2">
      <c r="A11" s="76"/>
      <c r="B11" s="76"/>
      <c r="C11" s="76"/>
      <c r="D11" s="76" t="s">
        <v>88</v>
      </c>
      <c r="E11" s="76"/>
      <c r="F11" s="76"/>
      <c r="G11" s="287"/>
      <c r="H11" s="287" t="s">
        <v>112</v>
      </c>
      <c r="I11" s="287"/>
      <c r="J11" s="287" t="s">
        <v>112</v>
      </c>
      <c r="K11" s="77"/>
      <c r="L11" s="287" t="s">
        <v>112</v>
      </c>
      <c r="M11" s="77"/>
      <c r="N11" s="287" t="s">
        <v>112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</row>
    <row r="12" spans="1:130" s="78" customFormat="1" ht="20.25" hidden="1" x14ac:dyDescent="0.2">
      <c r="A12" s="76"/>
      <c r="B12" s="76"/>
      <c r="C12" s="76"/>
      <c r="D12" s="76" t="s">
        <v>89</v>
      </c>
      <c r="E12" s="76"/>
      <c r="F12" s="76"/>
      <c r="G12" s="287"/>
      <c r="H12" s="287" t="s">
        <v>112</v>
      </c>
      <c r="I12" s="287"/>
      <c r="J12" s="287" t="s">
        <v>112</v>
      </c>
      <c r="K12" s="77"/>
      <c r="L12" s="287" t="s">
        <v>112</v>
      </c>
      <c r="M12" s="77"/>
      <c r="N12" s="287" t="s">
        <v>112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</row>
    <row r="13" spans="1:130" s="78" customFormat="1" ht="20.25" x14ac:dyDescent="0.2">
      <c r="A13" s="76"/>
      <c r="B13" s="76"/>
      <c r="C13" s="76"/>
      <c r="D13" s="76" t="s">
        <v>209</v>
      </c>
      <c r="E13" s="76"/>
      <c r="F13" s="76"/>
      <c r="G13" s="267"/>
      <c r="H13" s="267">
        <v>260779.62</v>
      </c>
      <c r="I13" s="267"/>
      <c r="J13" s="267">
        <v>354814.33</v>
      </c>
      <c r="K13" s="77"/>
      <c r="L13" s="267">
        <v>220332.56</v>
      </c>
      <c r="M13" s="77"/>
      <c r="N13" s="267">
        <v>423731.75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</row>
    <row r="14" spans="1:130" s="78" customFormat="1" ht="20.25" x14ac:dyDescent="0.2">
      <c r="A14" s="76"/>
      <c r="B14" s="76"/>
      <c r="C14" s="76"/>
      <c r="D14" s="76" t="s">
        <v>210</v>
      </c>
      <c r="E14" s="76"/>
      <c r="F14" s="76"/>
      <c r="G14" s="256"/>
      <c r="H14" s="256">
        <v>200.02</v>
      </c>
      <c r="I14" s="256"/>
      <c r="J14" s="256">
        <v>960.29</v>
      </c>
      <c r="K14" s="77"/>
      <c r="L14" s="256">
        <v>1446.18</v>
      </c>
      <c r="M14" s="77"/>
      <c r="N14" s="256">
        <v>217.69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</row>
    <row r="15" spans="1:130" s="78" customFormat="1" ht="20.25" x14ac:dyDescent="0.2">
      <c r="A15" s="76"/>
      <c r="B15" s="76"/>
      <c r="C15" s="79"/>
      <c r="D15" s="79" t="s">
        <v>90</v>
      </c>
      <c r="E15" s="79"/>
      <c r="F15" s="79"/>
      <c r="G15" s="254"/>
      <c r="H15" s="257">
        <v>200</v>
      </c>
      <c r="I15" s="254"/>
      <c r="J15" s="257">
        <v>200</v>
      </c>
      <c r="K15" s="77"/>
      <c r="L15" s="257">
        <v>200</v>
      </c>
      <c r="M15" s="77"/>
      <c r="N15" s="257">
        <v>200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</row>
    <row r="16" spans="1:130" s="75" customFormat="1" ht="20.25" x14ac:dyDescent="0.2">
      <c r="A16" s="74"/>
      <c r="B16" s="74"/>
      <c r="C16" s="74" t="s">
        <v>62</v>
      </c>
      <c r="D16" s="74"/>
      <c r="E16" s="74"/>
      <c r="F16" s="74"/>
      <c r="G16" s="258"/>
      <c r="H16" s="258">
        <f>ROUND(SUM(H10:H15),5)</f>
        <v>261179.64</v>
      </c>
      <c r="I16" s="258"/>
      <c r="J16" s="258">
        <f>ROUND(SUM(J10:J15),5)</f>
        <v>355974.62</v>
      </c>
      <c r="K16" s="69"/>
      <c r="L16" s="258">
        <f>ROUND(SUM(L10:L15),5)</f>
        <v>221978.74</v>
      </c>
      <c r="M16" s="69"/>
      <c r="N16" s="258">
        <f>ROUND(SUM(N10:N15),5)</f>
        <v>424149.44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14.25" customHeight="1" x14ac:dyDescent="0.2">
      <c r="A17" s="74"/>
      <c r="B17" s="74"/>
      <c r="C17" s="74"/>
      <c r="D17" s="74"/>
      <c r="E17" s="74"/>
      <c r="F17" s="74"/>
      <c r="G17" s="256"/>
      <c r="H17" s="256"/>
      <c r="I17" s="256"/>
      <c r="J17" s="256"/>
      <c r="K17" s="69"/>
      <c r="L17" s="256"/>
      <c r="M17" s="69"/>
      <c r="N17" s="256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74" t="s">
        <v>64</v>
      </c>
      <c r="D18" s="74"/>
      <c r="E18" s="74"/>
      <c r="F18" s="74"/>
      <c r="G18" s="256"/>
      <c r="H18" s="256"/>
      <c r="I18" s="256"/>
      <c r="J18" s="256"/>
      <c r="K18" s="69"/>
      <c r="L18" s="256"/>
      <c r="M18" s="69"/>
      <c r="N18" s="256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8" customFormat="1" ht="20.25" x14ac:dyDescent="0.2">
      <c r="A19" s="76"/>
      <c r="B19" s="76"/>
      <c r="C19" s="80"/>
      <c r="D19" s="80" t="s">
        <v>165</v>
      </c>
      <c r="E19" s="80"/>
      <c r="F19" s="80"/>
      <c r="G19" s="307"/>
      <c r="H19" s="307">
        <f>'June''17 AR Aging '!G62</f>
        <v>256329.25</v>
      </c>
      <c r="I19" s="307"/>
      <c r="J19" s="307">
        <f>249839.51-32</f>
        <v>249807.51</v>
      </c>
      <c r="K19" s="270"/>
      <c r="L19" s="307">
        <v>384005.8</v>
      </c>
      <c r="M19" s="77"/>
      <c r="N19" s="256">
        <v>224005.57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</row>
    <row r="20" spans="1:63" s="78" customFormat="1" ht="20.25" x14ac:dyDescent="0.2">
      <c r="A20" s="444"/>
      <c r="B20" s="447"/>
      <c r="C20" s="80"/>
      <c r="D20" s="80" t="s">
        <v>183</v>
      </c>
      <c r="E20" s="80"/>
      <c r="F20" s="80"/>
      <c r="G20" s="307"/>
      <c r="H20" s="307"/>
      <c r="I20" s="307"/>
      <c r="J20" s="307">
        <v>189.97</v>
      </c>
      <c r="K20" s="270"/>
      <c r="L20" s="307">
        <v>721.2</v>
      </c>
      <c r="M20" s="77"/>
      <c r="N20" s="25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</row>
    <row r="21" spans="1:63" s="78" customFormat="1" ht="20.25" x14ac:dyDescent="0.2">
      <c r="A21" s="76"/>
      <c r="B21" s="447"/>
      <c r="C21" s="76"/>
      <c r="D21" s="76" t="s">
        <v>266</v>
      </c>
      <c r="E21" s="76"/>
      <c r="F21" s="76"/>
      <c r="G21" s="256"/>
      <c r="H21" s="256">
        <f>160443.22+0.75</f>
        <v>160443.97</v>
      </c>
      <c r="I21" s="256"/>
      <c r="J21" s="256">
        <v>154533.13</v>
      </c>
      <c r="K21" s="270"/>
      <c r="L21" s="256">
        <v>151336.94</v>
      </c>
      <c r="M21" s="77"/>
      <c r="N21" s="256">
        <v>31011.08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</row>
    <row r="22" spans="1:63" s="78" customFormat="1" ht="20.25" x14ac:dyDescent="0.2">
      <c r="A22" s="76"/>
      <c r="B22" s="447"/>
      <c r="C22" s="79"/>
      <c r="D22" s="79" t="s">
        <v>91</v>
      </c>
      <c r="E22" s="79"/>
      <c r="F22" s="79"/>
      <c r="G22" s="254"/>
      <c r="H22" s="257">
        <f>7769.78+1337.21-1000-0.75+8296.78+1139.7</f>
        <v>17542.72</v>
      </c>
      <c r="I22" s="254"/>
      <c r="J22" s="455">
        <f>5218.52+1485.69</f>
        <v>6704.2100000000009</v>
      </c>
      <c r="K22" s="270"/>
      <c r="L22" s="257">
        <f>6487.29+1485.69</f>
        <v>7972.98</v>
      </c>
      <c r="M22" s="77"/>
      <c r="N22" s="257">
        <f>5721.86+1124.15</f>
        <v>6846.01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</row>
    <row r="23" spans="1:63" s="75" customFormat="1" ht="20.25" x14ac:dyDescent="0.2">
      <c r="A23" s="74"/>
      <c r="B23" s="68"/>
      <c r="C23" s="68" t="s">
        <v>65</v>
      </c>
      <c r="D23" s="68"/>
      <c r="E23" s="68"/>
      <c r="F23" s="68"/>
      <c r="G23" s="259"/>
      <c r="H23" s="259">
        <f>SUM(H19:H22)</f>
        <v>434315.93999999994</v>
      </c>
      <c r="I23" s="259"/>
      <c r="J23" s="259">
        <f>SUM(J19:J22)</f>
        <v>411234.82</v>
      </c>
      <c r="K23" s="288"/>
      <c r="L23" s="259">
        <f>SUM(L19:L22)</f>
        <v>544036.91999999993</v>
      </c>
      <c r="M23" s="69"/>
      <c r="N23" s="259">
        <f>SUM(N19:N22)</f>
        <v>261862.66000000003</v>
      </c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75" customFormat="1" ht="20.25" x14ac:dyDescent="0.2">
      <c r="A24" s="74"/>
      <c r="B24" s="68"/>
      <c r="C24" s="68"/>
      <c r="D24" s="68"/>
      <c r="E24" s="68"/>
      <c r="F24" s="68"/>
      <c r="G24" s="254"/>
      <c r="H24" s="254"/>
      <c r="I24" s="254"/>
      <c r="J24" s="254"/>
      <c r="K24" s="69"/>
      <c r="L24" s="254"/>
      <c r="M24" s="69"/>
      <c r="N24" s="254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s="75" customFormat="1" ht="21" thickBot="1" x14ac:dyDescent="0.25">
      <c r="A25" s="74"/>
      <c r="B25" s="81" t="s">
        <v>66</v>
      </c>
      <c r="C25" s="81"/>
      <c r="D25" s="81"/>
      <c r="E25" s="81"/>
      <c r="F25" s="81"/>
      <c r="G25" s="259"/>
      <c r="H25" s="260">
        <f>H16+H23</f>
        <v>695495.58</v>
      </c>
      <c r="I25" s="259"/>
      <c r="J25" s="260">
        <f>J16+J23</f>
        <v>767209.44</v>
      </c>
      <c r="K25" s="69"/>
      <c r="L25" s="260">
        <f>L16+L23</f>
        <v>766015.65999999992</v>
      </c>
      <c r="M25" s="69"/>
      <c r="N25" s="260">
        <f>N16+N23</f>
        <v>686012.10000000009</v>
      </c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s="75" customFormat="1" ht="21" thickTop="1" x14ac:dyDescent="0.2">
      <c r="A26" s="74"/>
      <c r="B26" s="74"/>
      <c r="C26" s="74"/>
      <c r="D26" s="74"/>
      <c r="E26" s="74"/>
      <c r="F26" s="74"/>
      <c r="G26" s="259"/>
      <c r="H26" s="258"/>
      <c r="I26" s="259"/>
      <c r="J26" s="258"/>
      <c r="K26" s="69"/>
      <c r="L26" s="258"/>
      <c r="M26" s="69"/>
      <c r="N26" s="25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</row>
    <row r="27" spans="1:63" s="73" customFormat="1" ht="20.25" x14ac:dyDescent="0.3">
      <c r="A27" s="70"/>
      <c r="B27" s="71" t="s">
        <v>67</v>
      </c>
      <c r="C27" s="71"/>
      <c r="D27" s="71"/>
      <c r="E27" s="71"/>
      <c r="F27" s="71"/>
      <c r="G27" s="293"/>
      <c r="H27" s="261"/>
      <c r="I27" s="293"/>
      <c r="J27" s="261"/>
      <c r="K27" s="72"/>
      <c r="L27" s="261"/>
      <c r="M27" s="72"/>
      <c r="N27" s="26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</row>
    <row r="28" spans="1:63" s="78" customFormat="1" ht="20.25" x14ac:dyDescent="0.2">
      <c r="A28" s="76"/>
      <c r="B28" s="447"/>
      <c r="C28" s="76"/>
      <c r="D28" s="76" t="s">
        <v>92</v>
      </c>
      <c r="E28" s="76"/>
      <c r="F28" s="76"/>
      <c r="G28" s="254"/>
      <c r="H28" s="256">
        <v>192474.47</v>
      </c>
      <c r="I28" s="254"/>
      <c r="J28" s="256">
        <v>192474.47</v>
      </c>
      <c r="K28" s="270"/>
      <c r="L28" s="256">
        <v>186475.86</v>
      </c>
      <c r="M28" s="77"/>
      <c r="N28" s="256">
        <v>183923.03</v>
      </c>
      <c r="O28" s="77"/>
      <c r="P28" s="77"/>
      <c r="Q28" s="77"/>
      <c r="R28" s="270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</row>
    <row r="29" spans="1:63" s="78" customFormat="1" ht="20.25" x14ac:dyDescent="0.2">
      <c r="A29" s="76"/>
      <c r="B29" s="447"/>
      <c r="C29" s="76"/>
      <c r="D29" s="76" t="s">
        <v>93</v>
      </c>
      <c r="E29" s="76"/>
      <c r="F29" s="76"/>
      <c r="G29" s="254"/>
      <c r="H29" s="256">
        <v>49562</v>
      </c>
      <c r="I29" s="254"/>
      <c r="J29" s="256">
        <v>49562</v>
      </c>
      <c r="K29" s="270"/>
      <c r="L29" s="256">
        <v>49562</v>
      </c>
      <c r="M29" s="77"/>
      <c r="N29" s="256">
        <v>49562</v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</row>
    <row r="30" spans="1:63" s="78" customFormat="1" ht="20.25" x14ac:dyDescent="0.2">
      <c r="A30" s="76"/>
      <c r="B30" s="447"/>
      <c r="C30" s="76"/>
      <c r="D30" s="76" t="s">
        <v>94</v>
      </c>
      <c r="E30" s="76"/>
      <c r="F30" s="76"/>
      <c r="G30" s="254"/>
      <c r="H30" s="256">
        <v>191459.06</v>
      </c>
      <c r="I30" s="254"/>
      <c r="J30" s="256">
        <v>142411.66</v>
      </c>
      <c r="K30" s="270"/>
      <c r="L30" s="256">
        <f>170125.66-27714</f>
        <v>142411.66</v>
      </c>
      <c r="M30" s="77"/>
      <c r="N30" s="256">
        <v>142411.66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</row>
    <row r="31" spans="1:63" s="78" customFormat="1" ht="20.25" x14ac:dyDescent="0.2">
      <c r="A31" s="76"/>
      <c r="B31" s="80"/>
      <c r="C31" s="80"/>
      <c r="D31" s="80" t="s">
        <v>95</v>
      </c>
      <c r="E31" s="80"/>
      <c r="F31" s="80"/>
      <c r="G31" s="254"/>
      <c r="H31" s="254">
        <f>-297582.04-500</f>
        <v>-298082.03999999998</v>
      </c>
      <c r="I31" s="254"/>
      <c r="J31" s="254">
        <f>-280776.04</f>
        <v>-280776.03999999998</v>
      </c>
      <c r="K31" s="270"/>
      <c r="L31" s="254">
        <v>-260309.02</v>
      </c>
      <c r="M31" s="77"/>
      <c r="N31" s="254">
        <f>-234067</f>
        <v>-234067</v>
      </c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</row>
    <row r="32" spans="1:63" s="75" customFormat="1" ht="20.25" x14ac:dyDescent="0.2">
      <c r="A32" s="74"/>
      <c r="B32" s="81" t="s">
        <v>68</v>
      </c>
      <c r="C32" s="81"/>
      <c r="D32" s="81"/>
      <c r="E32" s="81"/>
      <c r="F32" s="81"/>
      <c r="G32" s="259"/>
      <c r="H32" s="262">
        <f>SUM(H28:H31)</f>
        <v>135413.49000000005</v>
      </c>
      <c r="I32" s="259"/>
      <c r="J32" s="262">
        <f>SUM(J28:J31)</f>
        <v>103672.09000000003</v>
      </c>
      <c r="K32" s="69"/>
      <c r="L32" s="262">
        <f>SUM(L28:L31)</f>
        <v>118140.50000000003</v>
      </c>
      <c r="M32" s="69"/>
      <c r="N32" s="262">
        <f>SUM(N28:N31)</f>
        <v>141829.69</v>
      </c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</row>
    <row r="33" spans="1:63" s="75" customFormat="1" ht="7.5" customHeight="1" x14ac:dyDescent="0.2">
      <c r="A33" s="74"/>
      <c r="B33" s="74"/>
      <c r="C33" s="74"/>
      <c r="D33" s="74"/>
      <c r="E33" s="74"/>
      <c r="F33" s="74"/>
      <c r="G33" s="259"/>
      <c r="H33" s="258"/>
      <c r="I33" s="259"/>
      <c r="J33" s="258"/>
      <c r="K33" s="69"/>
      <c r="L33" s="258"/>
      <c r="M33" s="69"/>
      <c r="N33" s="258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63" s="75" customFormat="1" ht="12.75" customHeight="1" thickBot="1" x14ac:dyDescent="0.25">
      <c r="A34" s="74"/>
      <c r="B34" s="74"/>
      <c r="C34" s="74"/>
      <c r="D34" s="74"/>
      <c r="E34" s="74"/>
      <c r="F34" s="74"/>
      <c r="G34" s="254"/>
      <c r="H34" s="254"/>
      <c r="I34" s="254"/>
      <c r="J34" s="254"/>
      <c r="K34" s="69"/>
      <c r="L34" s="254"/>
      <c r="M34" s="69"/>
      <c r="N34" s="25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63" s="84" customFormat="1" ht="27.75" thickTop="1" thickBot="1" x14ac:dyDescent="0.25">
      <c r="A35" s="82" t="s">
        <v>69</v>
      </c>
      <c r="B35" s="82"/>
      <c r="C35" s="82"/>
      <c r="D35" s="82"/>
      <c r="E35" s="82"/>
      <c r="F35" s="82"/>
      <c r="G35" s="295"/>
      <c r="H35" s="268">
        <f>H25+H32</f>
        <v>830909.07000000007</v>
      </c>
      <c r="I35" s="295"/>
      <c r="J35" s="268">
        <f>J25+J32</f>
        <v>870881.53</v>
      </c>
      <c r="K35" s="83"/>
      <c r="L35" s="268">
        <f>L25+L32</f>
        <v>884156.15999999992</v>
      </c>
      <c r="M35" s="83"/>
      <c r="N35" s="268">
        <f>N25+N32</f>
        <v>827841.79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</row>
    <row r="36" spans="1:63" s="86" customFormat="1" ht="33" customHeight="1" thickTop="1" thickBot="1" x14ac:dyDescent="0.25">
      <c r="A36" s="74"/>
      <c r="B36" s="74"/>
      <c r="C36" s="74"/>
      <c r="D36" s="74"/>
      <c r="E36" s="74"/>
      <c r="F36" s="74"/>
      <c r="G36" s="361"/>
      <c r="H36" s="259"/>
      <c r="I36" s="259"/>
      <c r="J36" s="259"/>
      <c r="K36" s="85"/>
      <c r="L36" s="259"/>
      <c r="M36" s="85"/>
      <c r="N36" s="361"/>
      <c r="O36" s="85"/>
      <c r="P36" s="85"/>
      <c r="Q36" s="85"/>
      <c r="R36" s="459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</row>
    <row r="37" spans="1:63" s="67" customFormat="1" ht="27.75" thickTop="1" thickBot="1" x14ac:dyDescent="0.25">
      <c r="A37" s="65" t="s">
        <v>70</v>
      </c>
      <c r="B37" s="65"/>
      <c r="C37" s="65"/>
      <c r="D37" s="65"/>
      <c r="E37" s="65"/>
      <c r="F37" s="65"/>
      <c r="G37" s="360"/>
      <c r="H37" s="263"/>
      <c r="I37" s="263"/>
      <c r="J37" s="263"/>
      <c r="K37" s="66"/>
      <c r="L37" s="263"/>
      <c r="M37" s="66"/>
      <c r="N37" s="263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</row>
    <row r="38" spans="1:63" s="75" customFormat="1" ht="12.75" customHeight="1" thickTop="1" x14ac:dyDescent="0.2">
      <c r="A38" s="74"/>
      <c r="B38" s="74"/>
      <c r="C38" s="74"/>
      <c r="D38" s="74"/>
      <c r="E38" s="74"/>
      <c r="F38" s="74"/>
      <c r="G38" s="256"/>
      <c r="H38" s="256"/>
      <c r="I38" s="254"/>
      <c r="J38" s="256"/>
      <c r="K38" s="69"/>
      <c r="L38" s="256"/>
      <c r="M38" s="69"/>
      <c r="N38" s="25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63" s="75" customFormat="1" ht="24" thickBot="1" x14ac:dyDescent="0.25">
      <c r="A39" s="74"/>
      <c r="B39" s="87" t="s">
        <v>71</v>
      </c>
      <c r="C39" s="88"/>
      <c r="D39" s="88"/>
      <c r="E39" s="88"/>
      <c r="F39" s="88"/>
      <c r="G39" s="264"/>
      <c r="H39" s="264"/>
      <c r="I39" s="264"/>
      <c r="J39" s="264"/>
      <c r="K39" s="69"/>
      <c r="L39" s="264"/>
      <c r="M39" s="69"/>
      <c r="N39" s="264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 s="75" customFormat="1" ht="9" customHeight="1" x14ac:dyDescent="0.2">
      <c r="A40" s="74"/>
      <c r="B40" s="74"/>
      <c r="C40" s="74"/>
      <c r="D40" s="74"/>
      <c r="E40" s="74"/>
      <c r="F40" s="74"/>
      <c r="G40" s="254"/>
      <c r="H40" s="256"/>
      <c r="I40" s="254"/>
      <c r="J40" s="256"/>
      <c r="K40" s="69"/>
      <c r="L40" s="256"/>
      <c r="M40" s="69"/>
      <c r="N40" s="256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</row>
    <row r="41" spans="1:63" s="73" customFormat="1" ht="21" thickBot="1" x14ac:dyDescent="0.35">
      <c r="A41" s="70"/>
      <c r="B41" s="155" t="s">
        <v>72</v>
      </c>
      <c r="C41" s="156"/>
      <c r="D41" s="155"/>
      <c r="E41" s="155"/>
      <c r="F41" s="155"/>
      <c r="G41" s="293"/>
      <c r="H41" s="255"/>
      <c r="I41" s="293"/>
      <c r="J41" s="255"/>
      <c r="K41" s="72"/>
      <c r="L41" s="255"/>
      <c r="M41" s="72"/>
      <c r="N41" s="255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</row>
    <row r="42" spans="1:63" s="78" customFormat="1" ht="20.25" x14ac:dyDescent="0.2">
      <c r="A42" s="76"/>
      <c r="B42" s="76"/>
      <c r="C42" s="76"/>
      <c r="D42" s="76" t="s">
        <v>166</v>
      </c>
      <c r="F42" s="76"/>
      <c r="G42" s="269"/>
      <c r="H42" s="269">
        <f>15123.91+2066.49+2685.42+4400.79+32+8296.78+1139.7</f>
        <v>33745.089999999997</v>
      </c>
      <c r="I42" s="269"/>
      <c r="J42" s="269">
        <f>19102.77+1920.21+10973.24+6624</f>
        <v>38620.22</v>
      </c>
      <c r="K42" s="431"/>
      <c r="L42" s="269">
        <f>30176.75+3420.21+4244.31+4965.17</f>
        <v>42806.439999999995</v>
      </c>
      <c r="M42" s="77"/>
      <c r="N42" s="269">
        <f>13465.67+4920.21+2843.14+3705.99</f>
        <v>24935.010000000002</v>
      </c>
      <c r="O42" s="77"/>
      <c r="P42" s="431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</row>
    <row r="43" spans="1:63" s="78" customFormat="1" ht="20.25" x14ac:dyDescent="0.2">
      <c r="A43" s="76"/>
      <c r="B43" s="76"/>
      <c r="C43" s="76"/>
      <c r="D43" s="76" t="s">
        <v>108</v>
      </c>
      <c r="F43" s="76"/>
      <c r="G43" s="254"/>
      <c r="H43" s="254">
        <v>826.65</v>
      </c>
      <c r="I43" s="254"/>
      <c r="J43" s="254">
        <v>205.55</v>
      </c>
      <c r="K43" s="77"/>
      <c r="L43" s="254">
        <v>430.99</v>
      </c>
      <c r="M43" s="77"/>
      <c r="N43" s="254">
        <v>91.58</v>
      </c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</row>
    <row r="44" spans="1:63" s="78" customFormat="1" ht="20.25" x14ac:dyDescent="0.2">
      <c r="A44" s="76"/>
      <c r="B44" s="76"/>
      <c r="C44" s="76"/>
      <c r="D44" s="80" t="s">
        <v>96</v>
      </c>
      <c r="F44" s="76"/>
      <c r="G44" s="254"/>
      <c r="H44" s="256">
        <v>5172</v>
      </c>
      <c r="I44" s="256"/>
      <c r="J44" s="256">
        <v>20672.88</v>
      </c>
      <c r="K44" s="77"/>
      <c r="L44" s="256">
        <v>2000</v>
      </c>
      <c r="M44" s="77"/>
      <c r="N44" s="256">
        <v>375</v>
      </c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</row>
    <row r="45" spans="1:63" s="78" customFormat="1" ht="20.25" hidden="1" x14ac:dyDescent="0.2">
      <c r="A45" s="76"/>
      <c r="B45" s="76"/>
      <c r="C45" s="76"/>
      <c r="D45" s="80" t="s">
        <v>175</v>
      </c>
      <c r="F45" s="76"/>
      <c r="G45" s="254"/>
      <c r="H45" s="256">
        <v>0</v>
      </c>
      <c r="I45" s="256"/>
      <c r="J45" s="256">
        <v>0</v>
      </c>
      <c r="K45" s="77"/>
      <c r="L45" s="256">
        <v>0</v>
      </c>
      <c r="M45" s="77"/>
      <c r="N45" s="256">
        <v>0</v>
      </c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</row>
    <row r="46" spans="1:63" s="78" customFormat="1" ht="20.25" x14ac:dyDescent="0.2">
      <c r="A46" s="76"/>
      <c r="B46" s="76"/>
      <c r="C46" s="76"/>
      <c r="D46" s="79" t="s">
        <v>107</v>
      </c>
      <c r="E46" s="154"/>
      <c r="F46" s="79"/>
      <c r="G46" s="254"/>
      <c r="H46" s="256">
        <f>'June''17 Revenues &amp; Expenses'!L43</f>
        <v>36178.199999999997</v>
      </c>
      <c r="I46" s="358"/>
      <c r="J46" s="256">
        <f>115023.48</f>
        <v>115023.48</v>
      </c>
      <c r="K46" s="270"/>
      <c r="L46" s="256">
        <v>141455.20000000001</v>
      </c>
      <c r="M46" s="77"/>
      <c r="N46" s="256">
        <v>124099.25</v>
      </c>
      <c r="O46" s="77"/>
      <c r="P46" s="77"/>
      <c r="Q46" s="77"/>
      <c r="R46" s="270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</row>
    <row r="47" spans="1:63" s="78" customFormat="1" ht="20.25" x14ac:dyDescent="0.2">
      <c r="A47" s="76"/>
      <c r="B47" s="76"/>
      <c r="C47" s="81" t="s">
        <v>83</v>
      </c>
      <c r="D47" s="76"/>
      <c r="F47" s="76"/>
      <c r="G47" s="254"/>
      <c r="H47" s="265">
        <f>SUM(H42:H46)</f>
        <v>75921.94</v>
      </c>
      <c r="I47" s="358"/>
      <c r="J47" s="265">
        <f>SUM(J42:J46)</f>
        <v>174522.13</v>
      </c>
      <c r="K47" s="77"/>
      <c r="L47" s="265">
        <f>SUM(L42:L46)</f>
        <v>186692.63</v>
      </c>
      <c r="M47" s="77"/>
      <c r="N47" s="265">
        <f>SUM(N42:N46)</f>
        <v>149500.84</v>
      </c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</row>
    <row r="48" spans="1:63" s="78" customFormat="1" ht="9.75" customHeight="1" x14ac:dyDescent="0.2">
      <c r="A48" s="76"/>
      <c r="B48" s="76"/>
      <c r="C48" s="76"/>
      <c r="D48" s="76"/>
      <c r="E48" s="76"/>
      <c r="F48" s="76"/>
      <c r="G48" s="254"/>
      <c r="H48" s="256"/>
      <c r="I48" s="358"/>
      <c r="J48" s="256"/>
      <c r="K48" s="77"/>
      <c r="L48" s="256"/>
      <c r="M48" s="77"/>
      <c r="N48" s="256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</row>
    <row r="49" spans="1:63" s="78" customFormat="1" ht="20.25" x14ac:dyDescent="0.2">
      <c r="A49" s="76"/>
      <c r="B49" s="76"/>
      <c r="C49" s="89" t="s">
        <v>85</v>
      </c>
      <c r="D49" s="89"/>
      <c r="E49" s="154"/>
      <c r="F49" s="154"/>
      <c r="G49" s="254"/>
      <c r="H49" s="257"/>
      <c r="I49" s="358"/>
      <c r="J49" s="257"/>
      <c r="K49" s="77"/>
      <c r="L49" s="257"/>
      <c r="M49" s="77"/>
      <c r="N49" s="25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</row>
    <row r="50" spans="1:63" s="78" customFormat="1" ht="20.25" x14ac:dyDescent="0.2">
      <c r="A50" s="76"/>
      <c r="B50" s="76"/>
      <c r="C50" s="76"/>
      <c r="D50" s="76" t="s">
        <v>99</v>
      </c>
      <c r="E50" s="76"/>
      <c r="F50" s="76"/>
      <c r="G50" s="254"/>
      <c r="H50" s="254">
        <f>18525.46+4596-H52-H53</f>
        <v>20397.219999999998</v>
      </c>
      <c r="I50" s="358"/>
      <c r="J50" s="254">
        <f>18326.9+4317.56-J52-J53</f>
        <v>20316.520000000004</v>
      </c>
      <c r="K50" s="77"/>
      <c r="L50" s="254">
        <f>14857.33+5057.72-L52-L53</f>
        <v>17787.009999999998</v>
      </c>
      <c r="M50" s="77"/>
      <c r="N50" s="254">
        <f>37974.5+3228.59-N52-N53</f>
        <v>38695.399999999994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</row>
    <row r="51" spans="1:63" s="78" customFormat="1" ht="20.25" x14ac:dyDescent="0.2">
      <c r="A51" s="76"/>
      <c r="B51" s="76"/>
      <c r="C51" s="76"/>
      <c r="D51" s="76" t="s">
        <v>100</v>
      </c>
      <c r="E51" s="76"/>
      <c r="F51" s="76"/>
      <c r="G51" s="254"/>
      <c r="H51" s="254">
        <v>26094.57</v>
      </c>
      <c r="I51" s="358"/>
      <c r="J51" s="254">
        <v>23272.95</v>
      </c>
      <c r="K51" s="77"/>
      <c r="L51" s="254">
        <v>25334.68</v>
      </c>
      <c r="M51" s="77"/>
      <c r="N51" s="254">
        <v>25383.93</v>
      </c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</row>
    <row r="52" spans="1:63" s="78" customFormat="1" ht="20.25" x14ac:dyDescent="0.2">
      <c r="A52" s="76"/>
      <c r="B52" s="76"/>
      <c r="C52" s="76"/>
      <c r="D52" s="76" t="s">
        <v>101</v>
      </c>
      <c r="E52" s="76"/>
      <c r="F52" s="76"/>
      <c r="G52" s="254"/>
      <c r="H52" s="256">
        <v>2428.9</v>
      </c>
      <c r="I52" s="358"/>
      <c r="J52" s="256">
        <v>2043.68</v>
      </c>
      <c r="K52" s="77"/>
      <c r="L52" s="256">
        <v>1853.7</v>
      </c>
      <c r="M52" s="77"/>
      <c r="N52" s="256">
        <v>2229.41</v>
      </c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</row>
    <row r="53" spans="1:63" s="78" customFormat="1" ht="20.25" x14ac:dyDescent="0.2">
      <c r="A53" s="76"/>
      <c r="B53" s="76"/>
      <c r="C53" s="76"/>
      <c r="D53" s="76" t="s">
        <v>102</v>
      </c>
      <c r="E53" s="76"/>
      <c r="F53" s="76"/>
      <c r="G53" s="254"/>
      <c r="H53" s="257">
        <v>295.33999999999997</v>
      </c>
      <c r="I53" s="358"/>
      <c r="J53" s="257">
        <v>284.26</v>
      </c>
      <c r="K53" s="77"/>
      <c r="L53" s="257">
        <v>274.33999999999997</v>
      </c>
      <c r="M53" s="77"/>
      <c r="N53" s="257">
        <v>278.27999999999997</v>
      </c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</row>
    <row r="54" spans="1:63" s="78" customFormat="1" ht="20.25" x14ac:dyDescent="0.2">
      <c r="A54" s="76"/>
      <c r="B54" s="76"/>
      <c r="C54" s="68" t="s">
        <v>84</v>
      </c>
      <c r="D54" s="76"/>
      <c r="F54" s="80"/>
      <c r="G54" s="254"/>
      <c r="H54" s="254">
        <f>ROUND(SUM(H49:H53),5)</f>
        <v>49216.03</v>
      </c>
      <c r="I54" s="358"/>
      <c r="J54" s="254">
        <f>ROUND(SUM(J49:J53),5)</f>
        <v>45917.41</v>
      </c>
      <c r="K54" s="77"/>
      <c r="L54" s="254">
        <f>ROUND(SUM(L49:L53),5)</f>
        <v>45249.73</v>
      </c>
      <c r="M54" s="77"/>
      <c r="N54" s="254">
        <f>ROUND(SUM(N49:N53),5)</f>
        <v>66587.02</v>
      </c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</row>
    <row r="55" spans="1:63" s="78" customFormat="1" ht="7.5" customHeight="1" x14ac:dyDescent="0.2">
      <c r="A55" s="76"/>
      <c r="B55" s="76"/>
      <c r="C55" s="79"/>
      <c r="D55" s="79"/>
      <c r="E55" s="79"/>
      <c r="F55" s="79"/>
      <c r="G55" s="254"/>
      <c r="H55" s="257"/>
      <c r="I55" s="358"/>
      <c r="J55" s="257"/>
      <c r="K55" s="77"/>
      <c r="L55" s="257"/>
      <c r="M55" s="77"/>
      <c r="N55" s="25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</row>
    <row r="56" spans="1:63" s="75" customFormat="1" ht="20.25" x14ac:dyDescent="0.2">
      <c r="A56" s="74"/>
      <c r="B56" s="74"/>
      <c r="C56" s="74" t="s">
        <v>86</v>
      </c>
      <c r="D56" s="74"/>
      <c r="E56" s="74"/>
      <c r="F56" s="74"/>
      <c r="G56" s="259"/>
      <c r="H56" s="258">
        <f>H47+H54</f>
        <v>125137.97</v>
      </c>
      <c r="I56" s="439"/>
      <c r="J56" s="258">
        <f>J47+J54</f>
        <v>220439.54</v>
      </c>
      <c r="K56" s="288"/>
      <c r="L56" s="258">
        <f>L47+L54</f>
        <v>231942.36000000002</v>
      </c>
      <c r="M56" s="69"/>
      <c r="N56" s="258">
        <f>N47+N54</f>
        <v>216087.86</v>
      </c>
      <c r="O56" s="69"/>
      <c r="P56" s="69"/>
      <c r="Q56" s="69"/>
      <c r="R56" s="37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</row>
    <row r="57" spans="1:63" s="75" customFormat="1" ht="18.75" customHeight="1" x14ac:dyDescent="0.2">
      <c r="A57" s="74"/>
      <c r="B57" s="74"/>
      <c r="C57" s="74"/>
      <c r="D57" s="74"/>
      <c r="E57" s="74"/>
      <c r="F57" s="74"/>
      <c r="G57" s="259"/>
      <c r="H57" s="258"/>
      <c r="I57" s="439"/>
      <c r="M57" s="69"/>
      <c r="N57" s="258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1:63" s="75" customFormat="1" ht="24" thickBot="1" x14ac:dyDescent="0.25">
      <c r="A58" s="74"/>
      <c r="B58" s="87" t="s">
        <v>73</v>
      </c>
      <c r="C58" s="88"/>
      <c r="D58" s="88"/>
      <c r="E58" s="88"/>
      <c r="F58" s="88"/>
      <c r="G58" s="254"/>
      <c r="H58" s="264"/>
      <c r="I58" s="358"/>
      <c r="J58" s="264"/>
      <c r="K58" s="69"/>
      <c r="L58" s="264"/>
      <c r="M58" s="69"/>
      <c r="N58" s="264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</row>
    <row r="59" spans="1:63" s="78" customFormat="1" ht="20.25" x14ac:dyDescent="0.2">
      <c r="A59" s="76"/>
      <c r="B59" s="76"/>
      <c r="D59" s="76" t="s">
        <v>97</v>
      </c>
      <c r="E59" s="76"/>
      <c r="F59" s="76"/>
      <c r="G59" s="254"/>
      <c r="H59" s="256">
        <f>J59+J61</f>
        <v>617788</v>
      </c>
      <c r="I59" s="358"/>
      <c r="J59" s="256">
        <f>617788-J61</f>
        <v>570399.89</v>
      </c>
      <c r="K59" s="270"/>
      <c r="L59" s="256">
        <f>J59</f>
        <v>570399.89</v>
      </c>
      <c r="M59" s="77"/>
      <c r="N59" s="256">
        <f>L59</f>
        <v>570399.89</v>
      </c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</row>
    <row r="60" spans="1:63" s="78" customFormat="1" ht="20.25" x14ac:dyDescent="0.2">
      <c r="A60" s="76"/>
      <c r="B60" s="76"/>
      <c r="D60" s="76" t="s">
        <v>103</v>
      </c>
      <c r="E60" s="76"/>
      <c r="F60" s="76"/>
      <c r="G60" s="254"/>
      <c r="H60" s="256">
        <f>'June''17 Revenues &amp; Expenses'!L62</f>
        <v>66492.72</v>
      </c>
      <c r="I60" s="358"/>
      <c r="J60" s="256">
        <v>32653.98</v>
      </c>
      <c r="K60" s="270"/>
      <c r="L60" s="256">
        <v>61138.3</v>
      </c>
      <c r="M60" s="77"/>
      <c r="N60" s="256">
        <v>52844.79</v>
      </c>
      <c r="O60" s="77"/>
      <c r="P60" s="77"/>
      <c r="Q60" s="270"/>
      <c r="R60" s="270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</row>
    <row r="61" spans="1:63" s="75" customFormat="1" ht="21" thickBot="1" x14ac:dyDescent="0.25">
      <c r="A61" s="74"/>
      <c r="B61" s="74"/>
      <c r="D61" s="76" t="s">
        <v>142</v>
      </c>
      <c r="E61" s="74"/>
      <c r="F61" s="88"/>
      <c r="G61" s="358"/>
      <c r="H61" s="264">
        <f>'Jun''17 State of Activities'!G57</f>
        <v>21490.549999999814</v>
      </c>
      <c r="I61" s="358"/>
      <c r="J61" s="264">
        <f>47420.11-32</f>
        <v>47388.11</v>
      </c>
      <c r="K61" s="69"/>
      <c r="L61" s="264">
        <f>'Jun''17 State of Activities'!J57</f>
        <v>20675.5</v>
      </c>
      <c r="M61" s="69"/>
      <c r="N61" s="264">
        <f>'Jun''17 State of Activities'!J57</f>
        <v>20675.5</v>
      </c>
      <c r="O61" s="69"/>
      <c r="P61" s="69"/>
      <c r="Q61" s="69"/>
      <c r="R61" s="443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63" s="75" customFormat="1" ht="23.25" x14ac:dyDescent="0.2">
      <c r="A62" s="74"/>
      <c r="B62" s="90" t="s">
        <v>74</v>
      </c>
      <c r="C62" s="91"/>
      <c r="D62" s="91"/>
      <c r="E62" s="91"/>
      <c r="F62" s="68"/>
      <c r="G62" s="439"/>
      <c r="H62" s="259">
        <f>ROUND(SUM(H58:H61),5)</f>
        <v>705771.27</v>
      </c>
      <c r="I62" s="439"/>
      <c r="J62" s="259">
        <f>ROUND(SUM(J58:J61),5)</f>
        <v>650441.98</v>
      </c>
      <c r="K62" s="69"/>
      <c r="L62" s="259">
        <f>ROUND(SUM(L58:L61),5)</f>
        <v>652213.68999999994</v>
      </c>
      <c r="M62" s="69"/>
      <c r="N62" s="259">
        <f>ROUND(SUM(N58:N61),5)</f>
        <v>643920.18000000005</v>
      </c>
      <c r="O62" s="69"/>
      <c r="P62" s="69"/>
      <c r="Q62" s="69"/>
      <c r="R62" s="443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63" s="75" customFormat="1" ht="12.75" customHeight="1" x14ac:dyDescent="0.2">
      <c r="A63" s="74"/>
      <c r="B63" s="74"/>
      <c r="C63" s="74"/>
      <c r="D63" s="74"/>
      <c r="E63" s="74"/>
      <c r="F63" s="74"/>
      <c r="G63" s="358"/>
      <c r="H63" s="257"/>
      <c r="I63" s="358"/>
      <c r="J63" s="257"/>
      <c r="K63" s="69"/>
      <c r="L63" s="257"/>
      <c r="M63" s="69"/>
      <c r="N63" s="257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63" s="92" customFormat="1" ht="27" thickBot="1" x14ac:dyDescent="0.25">
      <c r="A64" s="82" t="s">
        <v>75</v>
      </c>
      <c r="B64" s="82"/>
      <c r="C64" s="82"/>
      <c r="D64" s="82"/>
      <c r="E64" s="82"/>
      <c r="F64" s="82"/>
      <c r="G64" s="440"/>
      <c r="H64" s="395">
        <f>SUM(H56+H62)</f>
        <v>830909.24</v>
      </c>
      <c r="I64" s="440"/>
      <c r="J64" s="395">
        <f>SUM(J56+J62)</f>
        <v>870881.52</v>
      </c>
      <c r="K64" s="83"/>
      <c r="L64" s="395">
        <f>SUM(L56+L62)</f>
        <v>884156.04999999993</v>
      </c>
      <c r="M64" s="83"/>
      <c r="N64" s="395">
        <f>SUM(N56+N62)</f>
        <v>860008.04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</row>
    <row r="65" spans="3:14" ht="15" thickTop="1" x14ac:dyDescent="0.2">
      <c r="D65" s="380"/>
      <c r="G65" s="1"/>
      <c r="I65" s="1"/>
    </row>
    <row r="66" spans="3:14" hidden="1" x14ac:dyDescent="0.2">
      <c r="G66" s="441"/>
      <c r="H66" s="273"/>
      <c r="I66" s="273"/>
      <c r="J66" s="273"/>
      <c r="L66" s="273"/>
      <c r="N66" s="273"/>
    </row>
    <row r="67" spans="3:14" ht="14.25" customHeight="1" x14ac:dyDescent="0.2">
      <c r="C67" s="709" t="s">
        <v>237</v>
      </c>
      <c r="D67" s="709"/>
      <c r="E67" s="709"/>
      <c r="F67" s="709"/>
      <c r="G67" s="1"/>
      <c r="H67" s="509">
        <f>(H19+H16)/H56</f>
        <v>4.1355065133308457</v>
      </c>
      <c r="J67" s="509">
        <f>(J19+J16)/J56</f>
        <v>2.7480647528115871</v>
      </c>
      <c r="K67" s="288"/>
      <c r="L67" s="509">
        <f>(L19+L16)/L56</f>
        <v>2.6126514363309918</v>
      </c>
      <c r="N67" s="509">
        <f>(N19+N16)/N56</f>
        <v>2.9994975654810041</v>
      </c>
    </row>
    <row r="70" spans="3:14" x14ac:dyDescent="0.2">
      <c r="G70" s="298"/>
      <c r="H70" s="273">
        <f>H64-H35</f>
        <v>0.16999999992549419</v>
      </c>
      <c r="I70" s="298"/>
      <c r="J70" s="273">
        <f>J64-J35</f>
        <v>-1.0000000009313226E-2</v>
      </c>
    </row>
    <row r="75" spans="3:14" x14ac:dyDescent="0.2">
      <c r="H75" s="298"/>
    </row>
  </sheetData>
  <mergeCells count="2">
    <mergeCell ref="I6:M6"/>
    <mergeCell ref="C67:F67"/>
  </mergeCells>
  <pageMargins left="0.7" right="0.45" top="0.25" bottom="0" header="0.3" footer="0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I102"/>
  <sheetViews>
    <sheetView zoomScale="75" zoomScaleNormal="75" workbookViewId="0">
      <selection activeCell="N39" sqref="N39"/>
    </sheetView>
  </sheetViews>
  <sheetFormatPr defaultRowHeight="18" x14ac:dyDescent="0.25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23.125" style="18" customWidth="1"/>
    <col min="9" max="9" width="1.625" style="18" customWidth="1"/>
    <col min="10" max="10" width="23" style="18" customWidth="1"/>
    <col min="11" max="11" width="1.875" style="416" customWidth="1"/>
    <col min="12" max="12" width="17.25" style="18" customWidth="1"/>
    <col min="13" max="13" width="10" style="18" customWidth="1"/>
    <col min="14" max="14" width="26.75" style="642" customWidth="1"/>
    <col min="15" max="16" width="9" style="18"/>
    <col min="17" max="17" width="13" style="18" bestFit="1" customWidth="1"/>
    <col min="18" max="46" width="9" style="18"/>
    <col min="240" max="240" width="2.875" customWidth="1"/>
    <col min="241" max="241" width="8.125" customWidth="1"/>
    <col min="242" max="242" width="8.75" customWidth="1"/>
    <col min="243" max="243" width="11" customWidth="1"/>
    <col min="244" max="244" width="2.875" customWidth="1"/>
    <col min="245" max="245" width="77.625" customWidth="1"/>
    <col min="246" max="246" width="20.875" customWidth="1"/>
    <col min="496" max="496" width="2.875" customWidth="1"/>
    <col min="497" max="497" width="8.125" customWidth="1"/>
    <col min="498" max="498" width="8.75" customWidth="1"/>
    <col min="499" max="499" width="11" customWidth="1"/>
    <col min="500" max="500" width="2.875" customWidth="1"/>
    <col min="501" max="501" width="77.625" customWidth="1"/>
    <col min="502" max="502" width="20.875" customWidth="1"/>
    <col min="752" max="752" width="2.875" customWidth="1"/>
    <col min="753" max="753" width="8.125" customWidth="1"/>
    <col min="754" max="754" width="8.75" customWidth="1"/>
    <col min="755" max="755" width="11" customWidth="1"/>
    <col min="756" max="756" width="2.875" customWidth="1"/>
    <col min="757" max="757" width="77.625" customWidth="1"/>
    <col min="758" max="758" width="20.875" customWidth="1"/>
    <col min="1008" max="1008" width="2.875" customWidth="1"/>
    <col min="1009" max="1009" width="8.125" customWidth="1"/>
    <col min="1010" max="1010" width="8.75" customWidth="1"/>
    <col min="1011" max="1011" width="11" customWidth="1"/>
    <col min="1012" max="1012" width="2.875" customWidth="1"/>
    <col min="1013" max="1013" width="77.625" customWidth="1"/>
    <col min="1014" max="1014" width="20.875" customWidth="1"/>
    <col min="1264" max="1264" width="2.875" customWidth="1"/>
    <col min="1265" max="1265" width="8.125" customWidth="1"/>
    <col min="1266" max="1266" width="8.75" customWidth="1"/>
    <col min="1267" max="1267" width="11" customWidth="1"/>
    <col min="1268" max="1268" width="2.875" customWidth="1"/>
    <col min="1269" max="1269" width="77.625" customWidth="1"/>
    <col min="1270" max="1270" width="20.875" customWidth="1"/>
    <col min="1520" max="1520" width="2.875" customWidth="1"/>
    <col min="1521" max="1521" width="8.125" customWidth="1"/>
    <col min="1522" max="1522" width="8.75" customWidth="1"/>
    <col min="1523" max="1523" width="11" customWidth="1"/>
    <col min="1524" max="1524" width="2.875" customWidth="1"/>
    <col min="1525" max="1525" width="77.625" customWidth="1"/>
    <col min="1526" max="1526" width="20.875" customWidth="1"/>
    <col min="1776" max="1776" width="2.875" customWidth="1"/>
    <col min="1777" max="1777" width="8.125" customWidth="1"/>
    <col min="1778" max="1778" width="8.75" customWidth="1"/>
    <col min="1779" max="1779" width="11" customWidth="1"/>
    <col min="1780" max="1780" width="2.875" customWidth="1"/>
    <col min="1781" max="1781" width="77.625" customWidth="1"/>
    <col min="1782" max="1782" width="20.875" customWidth="1"/>
    <col min="2032" max="2032" width="2.875" customWidth="1"/>
    <col min="2033" max="2033" width="8.125" customWidth="1"/>
    <col min="2034" max="2034" width="8.75" customWidth="1"/>
    <col min="2035" max="2035" width="11" customWidth="1"/>
    <col min="2036" max="2036" width="2.875" customWidth="1"/>
    <col min="2037" max="2037" width="77.625" customWidth="1"/>
    <col min="2038" max="2038" width="20.875" customWidth="1"/>
    <col min="2288" max="2288" width="2.875" customWidth="1"/>
    <col min="2289" max="2289" width="8.125" customWidth="1"/>
    <col min="2290" max="2290" width="8.75" customWidth="1"/>
    <col min="2291" max="2291" width="11" customWidth="1"/>
    <col min="2292" max="2292" width="2.875" customWidth="1"/>
    <col min="2293" max="2293" width="77.625" customWidth="1"/>
    <col min="2294" max="2294" width="20.875" customWidth="1"/>
    <col min="2544" max="2544" width="2.875" customWidth="1"/>
    <col min="2545" max="2545" width="8.125" customWidth="1"/>
    <col min="2546" max="2546" width="8.75" customWidth="1"/>
    <col min="2547" max="2547" width="11" customWidth="1"/>
    <col min="2548" max="2548" width="2.875" customWidth="1"/>
    <col min="2549" max="2549" width="77.625" customWidth="1"/>
    <col min="2550" max="2550" width="20.875" customWidth="1"/>
    <col min="2800" max="2800" width="2.875" customWidth="1"/>
    <col min="2801" max="2801" width="8.125" customWidth="1"/>
    <col min="2802" max="2802" width="8.75" customWidth="1"/>
    <col min="2803" max="2803" width="11" customWidth="1"/>
    <col min="2804" max="2804" width="2.875" customWidth="1"/>
    <col min="2805" max="2805" width="77.625" customWidth="1"/>
    <col min="2806" max="2806" width="20.875" customWidth="1"/>
    <col min="3056" max="3056" width="2.875" customWidth="1"/>
    <col min="3057" max="3057" width="8.125" customWidth="1"/>
    <col min="3058" max="3058" width="8.75" customWidth="1"/>
    <col min="3059" max="3059" width="11" customWidth="1"/>
    <col min="3060" max="3060" width="2.875" customWidth="1"/>
    <col min="3061" max="3061" width="77.625" customWidth="1"/>
    <col min="3062" max="3062" width="20.875" customWidth="1"/>
    <col min="3312" max="3312" width="2.875" customWidth="1"/>
    <col min="3313" max="3313" width="8.125" customWidth="1"/>
    <col min="3314" max="3314" width="8.75" customWidth="1"/>
    <col min="3315" max="3315" width="11" customWidth="1"/>
    <col min="3316" max="3316" width="2.875" customWidth="1"/>
    <col min="3317" max="3317" width="77.625" customWidth="1"/>
    <col min="3318" max="3318" width="20.875" customWidth="1"/>
    <col min="3568" max="3568" width="2.875" customWidth="1"/>
    <col min="3569" max="3569" width="8.125" customWidth="1"/>
    <col min="3570" max="3570" width="8.75" customWidth="1"/>
    <col min="3571" max="3571" width="11" customWidth="1"/>
    <col min="3572" max="3572" width="2.875" customWidth="1"/>
    <col min="3573" max="3573" width="77.625" customWidth="1"/>
    <col min="3574" max="3574" width="20.875" customWidth="1"/>
    <col min="3824" max="3824" width="2.875" customWidth="1"/>
    <col min="3825" max="3825" width="8.125" customWidth="1"/>
    <col min="3826" max="3826" width="8.75" customWidth="1"/>
    <col min="3827" max="3827" width="11" customWidth="1"/>
    <col min="3828" max="3828" width="2.875" customWidth="1"/>
    <col min="3829" max="3829" width="77.625" customWidth="1"/>
    <col min="3830" max="3830" width="20.875" customWidth="1"/>
    <col min="4080" max="4080" width="2.875" customWidth="1"/>
    <col min="4081" max="4081" width="8.125" customWidth="1"/>
    <col min="4082" max="4082" width="8.75" customWidth="1"/>
    <col min="4083" max="4083" width="11" customWidth="1"/>
    <col min="4084" max="4084" width="2.875" customWidth="1"/>
    <col min="4085" max="4085" width="77.625" customWidth="1"/>
    <col min="4086" max="4086" width="20.875" customWidth="1"/>
    <col min="4336" max="4336" width="2.875" customWidth="1"/>
    <col min="4337" max="4337" width="8.125" customWidth="1"/>
    <col min="4338" max="4338" width="8.75" customWidth="1"/>
    <col min="4339" max="4339" width="11" customWidth="1"/>
    <col min="4340" max="4340" width="2.875" customWidth="1"/>
    <col min="4341" max="4341" width="77.625" customWidth="1"/>
    <col min="4342" max="4342" width="20.875" customWidth="1"/>
    <col min="4592" max="4592" width="2.875" customWidth="1"/>
    <col min="4593" max="4593" width="8.125" customWidth="1"/>
    <col min="4594" max="4594" width="8.75" customWidth="1"/>
    <col min="4595" max="4595" width="11" customWidth="1"/>
    <col min="4596" max="4596" width="2.875" customWidth="1"/>
    <col min="4597" max="4597" width="77.625" customWidth="1"/>
    <col min="4598" max="4598" width="20.875" customWidth="1"/>
    <col min="4848" max="4848" width="2.875" customWidth="1"/>
    <col min="4849" max="4849" width="8.125" customWidth="1"/>
    <col min="4850" max="4850" width="8.75" customWidth="1"/>
    <col min="4851" max="4851" width="11" customWidth="1"/>
    <col min="4852" max="4852" width="2.875" customWidth="1"/>
    <col min="4853" max="4853" width="77.625" customWidth="1"/>
    <col min="4854" max="4854" width="20.875" customWidth="1"/>
    <col min="5104" max="5104" width="2.875" customWidth="1"/>
    <col min="5105" max="5105" width="8.125" customWidth="1"/>
    <col min="5106" max="5106" width="8.75" customWidth="1"/>
    <col min="5107" max="5107" width="11" customWidth="1"/>
    <col min="5108" max="5108" width="2.875" customWidth="1"/>
    <col min="5109" max="5109" width="77.625" customWidth="1"/>
    <col min="5110" max="5110" width="20.875" customWidth="1"/>
    <col min="5360" max="5360" width="2.875" customWidth="1"/>
    <col min="5361" max="5361" width="8.125" customWidth="1"/>
    <col min="5362" max="5362" width="8.75" customWidth="1"/>
    <col min="5363" max="5363" width="11" customWidth="1"/>
    <col min="5364" max="5364" width="2.875" customWidth="1"/>
    <col min="5365" max="5365" width="77.625" customWidth="1"/>
    <col min="5366" max="5366" width="20.875" customWidth="1"/>
    <col min="5616" max="5616" width="2.875" customWidth="1"/>
    <col min="5617" max="5617" width="8.125" customWidth="1"/>
    <col min="5618" max="5618" width="8.75" customWidth="1"/>
    <col min="5619" max="5619" width="11" customWidth="1"/>
    <col min="5620" max="5620" width="2.875" customWidth="1"/>
    <col min="5621" max="5621" width="77.625" customWidth="1"/>
    <col min="5622" max="5622" width="20.875" customWidth="1"/>
    <col min="5872" max="5872" width="2.875" customWidth="1"/>
    <col min="5873" max="5873" width="8.125" customWidth="1"/>
    <col min="5874" max="5874" width="8.75" customWidth="1"/>
    <col min="5875" max="5875" width="11" customWidth="1"/>
    <col min="5876" max="5876" width="2.875" customWidth="1"/>
    <col min="5877" max="5877" width="77.625" customWidth="1"/>
    <col min="5878" max="5878" width="20.875" customWidth="1"/>
    <col min="6128" max="6128" width="2.875" customWidth="1"/>
    <col min="6129" max="6129" width="8.125" customWidth="1"/>
    <col min="6130" max="6130" width="8.75" customWidth="1"/>
    <col min="6131" max="6131" width="11" customWidth="1"/>
    <col min="6132" max="6132" width="2.875" customWidth="1"/>
    <col min="6133" max="6133" width="77.625" customWidth="1"/>
    <col min="6134" max="6134" width="20.875" customWidth="1"/>
    <col min="6384" max="6384" width="2.875" customWidth="1"/>
    <col min="6385" max="6385" width="8.125" customWidth="1"/>
    <col min="6386" max="6386" width="8.75" customWidth="1"/>
    <col min="6387" max="6387" width="11" customWidth="1"/>
    <col min="6388" max="6388" width="2.875" customWidth="1"/>
    <col min="6389" max="6389" width="77.625" customWidth="1"/>
    <col min="6390" max="6390" width="20.875" customWidth="1"/>
    <col min="6640" max="6640" width="2.875" customWidth="1"/>
    <col min="6641" max="6641" width="8.125" customWidth="1"/>
    <col min="6642" max="6642" width="8.75" customWidth="1"/>
    <col min="6643" max="6643" width="11" customWidth="1"/>
    <col min="6644" max="6644" width="2.875" customWidth="1"/>
    <col min="6645" max="6645" width="77.625" customWidth="1"/>
    <col min="6646" max="6646" width="20.875" customWidth="1"/>
    <col min="6896" max="6896" width="2.875" customWidth="1"/>
    <col min="6897" max="6897" width="8.125" customWidth="1"/>
    <col min="6898" max="6898" width="8.75" customWidth="1"/>
    <col min="6899" max="6899" width="11" customWidth="1"/>
    <col min="6900" max="6900" width="2.875" customWidth="1"/>
    <col min="6901" max="6901" width="77.625" customWidth="1"/>
    <col min="6902" max="6902" width="20.875" customWidth="1"/>
    <col min="7152" max="7152" width="2.875" customWidth="1"/>
    <col min="7153" max="7153" width="8.125" customWidth="1"/>
    <col min="7154" max="7154" width="8.75" customWidth="1"/>
    <col min="7155" max="7155" width="11" customWidth="1"/>
    <col min="7156" max="7156" width="2.875" customWidth="1"/>
    <col min="7157" max="7157" width="77.625" customWidth="1"/>
    <col min="7158" max="7158" width="20.875" customWidth="1"/>
    <col min="7408" max="7408" width="2.875" customWidth="1"/>
    <col min="7409" max="7409" width="8.125" customWidth="1"/>
    <col min="7410" max="7410" width="8.75" customWidth="1"/>
    <col min="7411" max="7411" width="11" customWidth="1"/>
    <col min="7412" max="7412" width="2.875" customWidth="1"/>
    <col min="7413" max="7413" width="77.625" customWidth="1"/>
    <col min="7414" max="7414" width="20.875" customWidth="1"/>
    <col min="7664" max="7664" width="2.875" customWidth="1"/>
    <col min="7665" max="7665" width="8.125" customWidth="1"/>
    <col min="7666" max="7666" width="8.75" customWidth="1"/>
    <col min="7667" max="7667" width="11" customWidth="1"/>
    <col min="7668" max="7668" width="2.875" customWidth="1"/>
    <col min="7669" max="7669" width="77.625" customWidth="1"/>
    <col min="7670" max="7670" width="20.875" customWidth="1"/>
    <col min="7920" max="7920" width="2.875" customWidth="1"/>
    <col min="7921" max="7921" width="8.125" customWidth="1"/>
    <col min="7922" max="7922" width="8.75" customWidth="1"/>
    <col min="7923" max="7923" width="11" customWidth="1"/>
    <col min="7924" max="7924" width="2.875" customWidth="1"/>
    <col min="7925" max="7925" width="77.625" customWidth="1"/>
    <col min="7926" max="7926" width="20.875" customWidth="1"/>
    <col min="8176" max="8176" width="2.875" customWidth="1"/>
    <col min="8177" max="8177" width="8.125" customWidth="1"/>
    <col min="8178" max="8178" width="8.75" customWidth="1"/>
    <col min="8179" max="8179" width="11" customWidth="1"/>
    <col min="8180" max="8180" width="2.875" customWidth="1"/>
    <col min="8181" max="8181" width="77.625" customWidth="1"/>
    <col min="8182" max="8182" width="20.875" customWidth="1"/>
    <col min="8432" max="8432" width="2.875" customWidth="1"/>
    <col min="8433" max="8433" width="8.125" customWidth="1"/>
    <col min="8434" max="8434" width="8.75" customWidth="1"/>
    <col min="8435" max="8435" width="11" customWidth="1"/>
    <col min="8436" max="8436" width="2.875" customWidth="1"/>
    <col min="8437" max="8437" width="77.625" customWidth="1"/>
    <col min="8438" max="8438" width="20.875" customWidth="1"/>
    <col min="8688" max="8688" width="2.875" customWidth="1"/>
    <col min="8689" max="8689" width="8.125" customWidth="1"/>
    <col min="8690" max="8690" width="8.75" customWidth="1"/>
    <col min="8691" max="8691" width="11" customWidth="1"/>
    <col min="8692" max="8692" width="2.875" customWidth="1"/>
    <col min="8693" max="8693" width="77.625" customWidth="1"/>
    <col min="8694" max="8694" width="20.875" customWidth="1"/>
    <col min="8944" max="8944" width="2.875" customWidth="1"/>
    <col min="8945" max="8945" width="8.125" customWidth="1"/>
    <col min="8946" max="8946" width="8.75" customWidth="1"/>
    <col min="8947" max="8947" width="11" customWidth="1"/>
    <col min="8948" max="8948" width="2.875" customWidth="1"/>
    <col min="8949" max="8949" width="77.625" customWidth="1"/>
    <col min="8950" max="8950" width="20.875" customWidth="1"/>
    <col min="9200" max="9200" width="2.875" customWidth="1"/>
    <col min="9201" max="9201" width="8.125" customWidth="1"/>
    <col min="9202" max="9202" width="8.75" customWidth="1"/>
    <col min="9203" max="9203" width="11" customWidth="1"/>
    <col min="9204" max="9204" width="2.875" customWidth="1"/>
    <col min="9205" max="9205" width="77.625" customWidth="1"/>
    <col min="9206" max="9206" width="20.875" customWidth="1"/>
    <col min="9456" max="9456" width="2.875" customWidth="1"/>
    <col min="9457" max="9457" width="8.125" customWidth="1"/>
    <col min="9458" max="9458" width="8.75" customWidth="1"/>
    <col min="9459" max="9459" width="11" customWidth="1"/>
    <col min="9460" max="9460" width="2.875" customWidth="1"/>
    <col min="9461" max="9461" width="77.625" customWidth="1"/>
    <col min="9462" max="9462" width="20.875" customWidth="1"/>
    <col min="9712" max="9712" width="2.875" customWidth="1"/>
    <col min="9713" max="9713" width="8.125" customWidth="1"/>
    <col min="9714" max="9714" width="8.75" customWidth="1"/>
    <col min="9715" max="9715" width="11" customWidth="1"/>
    <col min="9716" max="9716" width="2.875" customWidth="1"/>
    <col min="9717" max="9717" width="77.625" customWidth="1"/>
    <col min="9718" max="9718" width="20.875" customWidth="1"/>
    <col min="9968" max="9968" width="2.875" customWidth="1"/>
    <col min="9969" max="9969" width="8.125" customWidth="1"/>
    <col min="9970" max="9970" width="8.75" customWidth="1"/>
    <col min="9971" max="9971" width="11" customWidth="1"/>
    <col min="9972" max="9972" width="2.875" customWidth="1"/>
    <col min="9973" max="9973" width="77.625" customWidth="1"/>
    <col min="9974" max="9974" width="20.875" customWidth="1"/>
    <col min="10224" max="10224" width="2.875" customWidth="1"/>
    <col min="10225" max="10225" width="8.125" customWidth="1"/>
    <col min="10226" max="10226" width="8.75" customWidth="1"/>
    <col min="10227" max="10227" width="11" customWidth="1"/>
    <col min="10228" max="10228" width="2.875" customWidth="1"/>
    <col min="10229" max="10229" width="77.625" customWidth="1"/>
    <col min="10230" max="10230" width="20.875" customWidth="1"/>
    <col min="10480" max="10480" width="2.875" customWidth="1"/>
    <col min="10481" max="10481" width="8.125" customWidth="1"/>
    <col min="10482" max="10482" width="8.75" customWidth="1"/>
    <col min="10483" max="10483" width="11" customWidth="1"/>
    <col min="10484" max="10484" width="2.875" customWidth="1"/>
    <col min="10485" max="10485" width="77.625" customWidth="1"/>
    <col min="10486" max="10486" width="20.875" customWidth="1"/>
    <col min="10736" max="10736" width="2.875" customWidth="1"/>
    <col min="10737" max="10737" width="8.125" customWidth="1"/>
    <col min="10738" max="10738" width="8.75" customWidth="1"/>
    <col min="10739" max="10739" width="11" customWidth="1"/>
    <col min="10740" max="10740" width="2.875" customWidth="1"/>
    <col min="10741" max="10741" width="77.625" customWidth="1"/>
    <col min="10742" max="10742" width="20.875" customWidth="1"/>
    <col min="10992" max="10992" width="2.875" customWidth="1"/>
    <col min="10993" max="10993" width="8.125" customWidth="1"/>
    <col min="10994" max="10994" width="8.75" customWidth="1"/>
    <col min="10995" max="10995" width="11" customWidth="1"/>
    <col min="10996" max="10996" width="2.875" customWidth="1"/>
    <col min="10997" max="10997" width="77.625" customWidth="1"/>
    <col min="10998" max="10998" width="20.875" customWidth="1"/>
    <col min="11248" max="11248" width="2.875" customWidth="1"/>
    <col min="11249" max="11249" width="8.125" customWidth="1"/>
    <col min="11250" max="11250" width="8.75" customWidth="1"/>
    <col min="11251" max="11251" width="11" customWidth="1"/>
    <col min="11252" max="11252" width="2.875" customWidth="1"/>
    <col min="11253" max="11253" width="77.625" customWidth="1"/>
    <col min="11254" max="11254" width="20.875" customWidth="1"/>
    <col min="11504" max="11504" width="2.875" customWidth="1"/>
    <col min="11505" max="11505" width="8.125" customWidth="1"/>
    <col min="11506" max="11506" width="8.75" customWidth="1"/>
    <col min="11507" max="11507" width="11" customWidth="1"/>
    <col min="11508" max="11508" width="2.875" customWidth="1"/>
    <col min="11509" max="11509" width="77.625" customWidth="1"/>
    <col min="11510" max="11510" width="20.875" customWidth="1"/>
    <col min="11760" max="11760" width="2.875" customWidth="1"/>
    <col min="11761" max="11761" width="8.125" customWidth="1"/>
    <col min="11762" max="11762" width="8.75" customWidth="1"/>
    <col min="11763" max="11763" width="11" customWidth="1"/>
    <col min="11764" max="11764" width="2.875" customWidth="1"/>
    <col min="11765" max="11765" width="77.625" customWidth="1"/>
    <col min="11766" max="11766" width="20.875" customWidth="1"/>
    <col min="12016" max="12016" width="2.875" customWidth="1"/>
    <col min="12017" max="12017" width="8.125" customWidth="1"/>
    <col min="12018" max="12018" width="8.75" customWidth="1"/>
    <col min="12019" max="12019" width="11" customWidth="1"/>
    <col min="12020" max="12020" width="2.875" customWidth="1"/>
    <col min="12021" max="12021" width="77.625" customWidth="1"/>
    <col min="12022" max="12022" width="20.875" customWidth="1"/>
    <col min="12272" max="12272" width="2.875" customWidth="1"/>
    <col min="12273" max="12273" width="8.125" customWidth="1"/>
    <col min="12274" max="12274" width="8.75" customWidth="1"/>
    <col min="12275" max="12275" width="11" customWidth="1"/>
    <col min="12276" max="12276" width="2.875" customWidth="1"/>
    <col min="12277" max="12277" width="77.625" customWidth="1"/>
    <col min="12278" max="12278" width="20.875" customWidth="1"/>
    <col min="12528" max="12528" width="2.875" customWidth="1"/>
    <col min="12529" max="12529" width="8.125" customWidth="1"/>
    <col min="12530" max="12530" width="8.75" customWidth="1"/>
    <col min="12531" max="12531" width="11" customWidth="1"/>
    <col min="12532" max="12532" width="2.875" customWidth="1"/>
    <col min="12533" max="12533" width="77.625" customWidth="1"/>
    <col min="12534" max="12534" width="20.875" customWidth="1"/>
    <col min="12784" max="12784" width="2.875" customWidth="1"/>
    <col min="12785" max="12785" width="8.125" customWidth="1"/>
    <col min="12786" max="12786" width="8.75" customWidth="1"/>
    <col min="12787" max="12787" width="11" customWidth="1"/>
    <col min="12788" max="12788" width="2.875" customWidth="1"/>
    <col min="12789" max="12789" width="77.625" customWidth="1"/>
    <col min="12790" max="12790" width="20.875" customWidth="1"/>
    <col min="13040" max="13040" width="2.875" customWidth="1"/>
    <col min="13041" max="13041" width="8.125" customWidth="1"/>
    <col min="13042" max="13042" width="8.75" customWidth="1"/>
    <col min="13043" max="13043" width="11" customWidth="1"/>
    <col min="13044" max="13044" width="2.875" customWidth="1"/>
    <col min="13045" max="13045" width="77.625" customWidth="1"/>
    <col min="13046" max="13046" width="20.875" customWidth="1"/>
    <col min="13296" max="13296" width="2.875" customWidth="1"/>
    <col min="13297" max="13297" width="8.125" customWidth="1"/>
    <col min="13298" max="13298" width="8.75" customWidth="1"/>
    <col min="13299" max="13299" width="11" customWidth="1"/>
    <col min="13300" max="13300" width="2.875" customWidth="1"/>
    <col min="13301" max="13301" width="77.625" customWidth="1"/>
    <col min="13302" max="13302" width="20.875" customWidth="1"/>
    <col min="13552" max="13552" width="2.875" customWidth="1"/>
    <col min="13553" max="13553" width="8.125" customWidth="1"/>
    <col min="13554" max="13554" width="8.75" customWidth="1"/>
    <col min="13555" max="13555" width="11" customWidth="1"/>
    <col min="13556" max="13556" width="2.875" customWidth="1"/>
    <col min="13557" max="13557" width="77.625" customWidth="1"/>
    <col min="13558" max="13558" width="20.875" customWidth="1"/>
    <col min="13808" max="13808" width="2.875" customWidth="1"/>
    <col min="13809" max="13809" width="8.125" customWidth="1"/>
    <col min="13810" max="13810" width="8.75" customWidth="1"/>
    <col min="13811" max="13811" width="11" customWidth="1"/>
    <col min="13812" max="13812" width="2.875" customWidth="1"/>
    <col min="13813" max="13813" width="77.625" customWidth="1"/>
    <col min="13814" max="13814" width="20.875" customWidth="1"/>
    <col min="14064" max="14064" width="2.875" customWidth="1"/>
    <col min="14065" max="14065" width="8.125" customWidth="1"/>
    <col min="14066" max="14066" width="8.75" customWidth="1"/>
    <col min="14067" max="14067" width="11" customWidth="1"/>
    <col min="14068" max="14068" width="2.875" customWidth="1"/>
    <col min="14069" max="14069" width="77.625" customWidth="1"/>
    <col min="14070" max="14070" width="20.875" customWidth="1"/>
    <col min="14320" max="14320" width="2.875" customWidth="1"/>
    <col min="14321" max="14321" width="8.125" customWidth="1"/>
    <col min="14322" max="14322" width="8.75" customWidth="1"/>
    <col min="14323" max="14323" width="11" customWidth="1"/>
    <col min="14324" max="14324" width="2.875" customWidth="1"/>
    <col min="14325" max="14325" width="77.625" customWidth="1"/>
    <col min="14326" max="14326" width="20.875" customWidth="1"/>
    <col min="14576" max="14576" width="2.875" customWidth="1"/>
    <col min="14577" max="14577" width="8.125" customWidth="1"/>
    <col min="14578" max="14578" width="8.75" customWidth="1"/>
    <col min="14579" max="14579" width="11" customWidth="1"/>
    <col min="14580" max="14580" width="2.875" customWidth="1"/>
    <col min="14581" max="14581" width="77.625" customWidth="1"/>
    <col min="14582" max="14582" width="20.875" customWidth="1"/>
    <col min="14832" max="14832" width="2.875" customWidth="1"/>
    <col min="14833" max="14833" width="8.125" customWidth="1"/>
    <col min="14834" max="14834" width="8.75" customWidth="1"/>
    <col min="14835" max="14835" width="11" customWidth="1"/>
    <col min="14836" max="14836" width="2.875" customWidth="1"/>
    <col min="14837" max="14837" width="77.625" customWidth="1"/>
    <col min="14838" max="14838" width="20.875" customWidth="1"/>
    <col min="15088" max="15088" width="2.875" customWidth="1"/>
    <col min="15089" max="15089" width="8.125" customWidth="1"/>
    <col min="15090" max="15090" width="8.75" customWidth="1"/>
    <col min="15091" max="15091" width="11" customWidth="1"/>
    <col min="15092" max="15092" width="2.875" customWidth="1"/>
    <col min="15093" max="15093" width="77.625" customWidth="1"/>
    <col min="15094" max="15094" width="20.875" customWidth="1"/>
    <col min="15344" max="15344" width="2.875" customWidth="1"/>
    <col min="15345" max="15345" width="8.125" customWidth="1"/>
    <col min="15346" max="15346" width="8.75" customWidth="1"/>
    <col min="15347" max="15347" width="11" customWidth="1"/>
    <col min="15348" max="15348" width="2.875" customWidth="1"/>
    <col min="15349" max="15349" width="77.625" customWidth="1"/>
    <col min="15350" max="15350" width="20.875" customWidth="1"/>
    <col min="15600" max="15600" width="2.875" customWidth="1"/>
    <col min="15601" max="15601" width="8.125" customWidth="1"/>
    <col min="15602" max="15602" width="8.75" customWidth="1"/>
    <col min="15603" max="15603" width="11" customWidth="1"/>
    <col min="15604" max="15604" width="2.875" customWidth="1"/>
    <col min="15605" max="15605" width="77.625" customWidth="1"/>
    <col min="15606" max="15606" width="20.875" customWidth="1"/>
    <col min="15856" max="15856" width="2.875" customWidth="1"/>
    <col min="15857" max="15857" width="8.125" customWidth="1"/>
    <col min="15858" max="15858" width="8.75" customWidth="1"/>
    <col min="15859" max="15859" width="11" customWidth="1"/>
    <col min="15860" max="15860" width="2.875" customWidth="1"/>
    <col min="15861" max="15861" width="77.625" customWidth="1"/>
    <col min="15862" max="15862" width="20.875" customWidth="1"/>
    <col min="16112" max="16112" width="2.875" customWidth="1"/>
    <col min="16113" max="16113" width="8.125" customWidth="1"/>
    <col min="16114" max="16114" width="8.75" customWidth="1"/>
    <col min="16115" max="16115" width="11" customWidth="1"/>
    <col min="16116" max="16116" width="2.875" customWidth="1"/>
    <col min="16117" max="16117" width="77.625" customWidth="1"/>
    <col min="16118" max="16118" width="20.875" customWidth="1"/>
  </cols>
  <sheetData>
    <row r="1" spans="1:11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408"/>
      <c r="L1" s="60"/>
      <c r="M1" s="60"/>
      <c r="N1" s="634"/>
      <c r="O1" s="60"/>
      <c r="P1" s="60"/>
      <c r="Q1" s="60"/>
      <c r="R1" s="60"/>
      <c r="S1" s="60"/>
      <c r="T1" s="60"/>
      <c r="U1" s="60"/>
      <c r="V1" s="60"/>
      <c r="W1" s="60"/>
      <c r="X1" s="60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</row>
    <row r="2" spans="1:113" ht="22.5" customHeight="1" x14ac:dyDescent="0.4">
      <c r="A2" s="59" t="s">
        <v>193</v>
      </c>
      <c r="B2" s="60"/>
      <c r="C2" s="61"/>
      <c r="D2" s="61"/>
      <c r="E2" s="61"/>
      <c r="F2" s="60"/>
      <c r="G2" s="252"/>
      <c r="H2" s="60"/>
      <c r="I2" s="60"/>
      <c r="J2" s="60"/>
      <c r="K2" s="408"/>
      <c r="L2" s="60"/>
      <c r="M2" s="60"/>
      <c r="N2" s="634"/>
      <c r="O2" s="60"/>
      <c r="P2" s="60"/>
      <c r="Q2" s="60"/>
      <c r="R2" s="60"/>
      <c r="S2" s="60"/>
      <c r="T2" s="60"/>
      <c r="U2" s="60"/>
      <c r="V2" s="60"/>
      <c r="W2" s="60"/>
      <c r="X2" s="60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 ht="22.5" customHeight="1" x14ac:dyDescent="0.4">
      <c r="A3" s="59" t="s">
        <v>364</v>
      </c>
      <c r="B3" s="60"/>
      <c r="C3" s="61"/>
      <c r="D3" s="61"/>
      <c r="E3" s="61"/>
      <c r="F3" s="60"/>
      <c r="G3" s="252"/>
      <c r="H3" s="60"/>
      <c r="I3" s="60"/>
      <c r="J3" s="60"/>
      <c r="K3" s="408"/>
      <c r="L3" s="60"/>
      <c r="M3" s="60"/>
      <c r="N3" s="634"/>
      <c r="O3" s="60"/>
      <c r="P3" s="60"/>
      <c r="Q3" s="60"/>
      <c r="R3" s="60"/>
      <c r="S3" s="60"/>
      <c r="T3" s="60"/>
      <c r="U3" s="60"/>
      <c r="V3" s="60"/>
      <c r="W3" s="60"/>
      <c r="X3" s="6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</row>
    <row r="4" spans="1:113" ht="22.5" customHeight="1" x14ac:dyDescent="0.4">
      <c r="A4" s="59" t="s">
        <v>414</v>
      </c>
      <c r="B4" s="60"/>
      <c r="C4" s="61"/>
      <c r="D4" s="61"/>
      <c r="E4" s="61"/>
      <c r="F4" s="60"/>
      <c r="G4" s="252"/>
      <c r="H4" s="60"/>
      <c r="I4" s="60"/>
      <c r="J4" s="60"/>
      <c r="K4" s="408"/>
      <c r="L4" s="60"/>
      <c r="M4" s="60"/>
      <c r="N4" s="634"/>
      <c r="O4" s="60"/>
      <c r="P4" s="60"/>
      <c r="Q4" s="60"/>
      <c r="R4" s="60"/>
      <c r="S4" s="60"/>
      <c r="T4" s="60"/>
      <c r="U4" s="60"/>
      <c r="V4" s="60"/>
      <c r="W4" s="60"/>
      <c r="X4" s="60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</row>
    <row r="5" spans="1:113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409"/>
      <c r="L5" s="63"/>
      <c r="M5" s="63"/>
      <c r="N5" s="635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</row>
    <row r="6" spans="1:113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708" t="s">
        <v>59</v>
      </c>
      <c r="H6" s="708"/>
      <c r="I6" s="708"/>
      <c r="J6" s="708"/>
      <c r="K6" s="410"/>
      <c r="L6" s="475" t="s">
        <v>214</v>
      </c>
      <c r="M6" s="472" t="s">
        <v>227</v>
      </c>
      <c r="N6" s="63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</row>
    <row r="7" spans="1:113" s="69" customFormat="1" ht="8.25" customHeight="1" thickTop="1" x14ac:dyDescent="0.2">
      <c r="A7" s="68"/>
      <c r="B7" s="68"/>
      <c r="C7" s="68"/>
      <c r="D7" s="68"/>
      <c r="E7" s="68"/>
      <c r="F7" s="68"/>
      <c r="G7" s="254"/>
      <c r="K7" s="411"/>
      <c r="N7" s="636"/>
    </row>
    <row r="8" spans="1:113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f>'Jun''17 Financial Position'!H8</f>
        <v>42916</v>
      </c>
      <c r="H8" s="308">
        <v>42735</v>
      </c>
      <c r="I8" s="359"/>
      <c r="J8" s="308">
        <f>G8-365</f>
        <v>42551</v>
      </c>
      <c r="K8" s="412"/>
      <c r="L8" s="710" t="s">
        <v>417</v>
      </c>
      <c r="M8" s="710"/>
      <c r="N8" s="637" t="s">
        <v>213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</row>
    <row r="9" spans="1:113" s="75" customFormat="1" ht="20.25" x14ac:dyDescent="0.2">
      <c r="A9" s="74"/>
      <c r="B9" s="74"/>
      <c r="C9" s="76" t="s">
        <v>114</v>
      </c>
      <c r="D9" s="76"/>
      <c r="E9" s="76"/>
      <c r="F9" s="74"/>
      <c r="G9" s="289">
        <v>537985.07999999996</v>
      </c>
      <c r="H9" s="289">
        <v>1033661.42</v>
      </c>
      <c r="I9" s="362"/>
      <c r="J9" s="289">
        <v>548119.88</v>
      </c>
      <c r="K9" s="411"/>
      <c r="L9" s="430">
        <f>G9-J9</f>
        <v>-10134.800000000047</v>
      </c>
      <c r="M9" s="510">
        <f>L9/J9</f>
        <v>-1.8490115702426351E-2</v>
      </c>
      <c r="N9" s="636" t="s">
        <v>420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</row>
    <row r="10" spans="1:113" s="75" customFormat="1" ht="20.25" x14ac:dyDescent="0.2">
      <c r="A10" s="74"/>
      <c r="B10" s="74"/>
      <c r="C10" s="76" t="s">
        <v>199</v>
      </c>
      <c r="D10" s="76"/>
      <c r="E10" s="76"/>
      <c r="F10" s="74"/>
      <c r="G10" s="290">
        <v>6156.67</v>
      </c>
      <c r="H10" s="290">
        <v>14248.21</v>
      </c>
      <c r="I10" s="358"/>
      <c r="J10" s="290">
        <v>7847.7</v>
      </c>
      <c r="K10" s="411"/>
      <c r="L10" s="301">
        <f>G10-J10</f>
        <v>-1691.0299999999997</v>
      </c>
      <c r="M10" s="510">
        <v>1</v>
      </c>
      <c r="N10" s="636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113" s="75" customFormat="1" ht="20.25" x14ac:dyDescent="0.2">
      <c r="A11" s="74"/>
      <c r="B11" s="448"/>
      <c r="C11" s="76" t="s">
        <v>168</v>
      </c>
      <c r="D11" s="76"/>
      <c r="E11" s="76"/>
      <c r="F11" s="74"/>
      <c r="G11" s="290">
        <v>83864.039999999994</v>
      </c>
      <c r="H11" s="290">
        <f>191128.4-32</f>
        <v>191096.4</v>
      </c>
      <c r="I11" s="358"/>
      <c r="J11" s="290">
        <v>100444.79</v>
      </c>
      <c r="K11" s="411"/>
      <c r="L11" s="301">
        <f t="shared" ref="L11:L24" si="0">G11-J11</f>
        <v>-16580.75</v>
      </c>
      <c r="M11" s="510">
        <f t="shared" ref="M11:M26" si="1">L11/J11</f>
        <v>-0.16507327059969962</v>
      </c>
      <c r="N11" s="636" t="s">
        <v>419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</row>
    <row r="12" spans="1:113" s="75" customFormat="1" ht="20.25" x14ac:dyDescent="0.2">
      <c r="A12" s="74"/>
      <c r="B12" s="448"/>
      <c r="C12" s="76" t="s">
        <v>212</v>
      </c>
      <c r="D12" s="76"/>
      <c r="E12" s="76"/>
      <c r="F12" s="74"/>
      <c r="G12" s="290">
        <v>19541.18</v>
      </c>
      <c r="H12" s="290">
        <v>41517.599999999999</v>
      </c>
      <c r="I12" s="358"/>
      <c r="J12" s="290">
        <v>21598.32</v>
      </c>
      <c r="K12" s="411"/>
      <c r="L12" s="301">
        <f t="shared" si="0"/>
        <v>-2057.1399999999994</v>
      </c>
      <c r="M12" s="510">
        <f t="shared" si="1"/>
        <v>-9.5245370936257984E-2</v>
      </c>
      <c r="N12" s="636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</row>
    <row r="13" spans="1:113" s="75" customFormat="1" ht="20.25" x14ac:dyDescent="0.2">
      <c r="A13" s="74"/>
      <c r="B13" s="448"/>
      <c r="C13" s="76" t="s">
        <v>115</v>
      </c>
      <c r="D13" s="76"/>
      <c r="E13" s="76"/>
      <c r="F13" s="74"/>
      <c r="G13" s="290"/>
      <c r="H13" s="290"/>
      <c r="I13" s="358"/>
      <c r="J13" s="290"/>
      <c r="K13" s="411"/>
      <c r="L13" s="301">
        <f t="shared" si="0"/>
        <v>0</v>
      </c>
      <c r="M13" s="510"/>
      <c r="N13" s="636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</row>
    <row r="14" spans="1:113" s="75" customFormat="1" ht="20.25" x14ac:dyDescent="0.2">
      <c r="A14" s="74"/>
      <c r="B14" s="448"/>
      <c r="C14" s="78"/>
      <c r="D14" s="76" t="s">
        <v>156</v>
      </c>
      <c r="E14" s="76"/>
      <c r="F14" s="74"/>
      <c r="G14" s="290">
        <v>76517.460000000006</v>
      </c>
      <c r="H14" s="290">
        <v>136318.39000000001</v>
      </c>
      <c r="I14" s="358"/>
      <c r="J14" s="290">
        <v>55274.5</v>
      </c>
      <c r="K14" s="411"/>
      <c r="L14" s="301">
        <f t="shared" si="0"/>
        <v>21242.960000000006</v>
      </c>
      <c r="M14" s="510">
        <f t="shared" si="1"/>
        <v>0.3843175424472407</v>
      </c>
      <c r="N14" s="636" t="s">
        <v>415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</row>
    <row r="15" spans="1:113" s="75" customFormat="1" ht="20.25" x14ac:dyDescent="0.2">
      <c r="A15" s="74"/>
      <c r="B15" s="448"/>
      <c r="C15" s="78"/>
      <c r="D15" s="76" t="s">
        <v>179</v>
      </c>
      <c r="E15" s="76"/>
      <c r="F15" s="74"/>
      <c r="G15" s="290">
        <v>5105</v>
      </c>
      <c r="H15" s="290">
        <v>10920.9</v>
      </c>
      <c r="I15" s="358"/>
      <c r="J15" s="290">
        <v>5360.9</v>
      </c>
      <c r="K15" s="411"/>
      <c r="L15" s="301">
        <f t="shared" si="0"/>
        <v>-255.89999999999964</v>
      </c>
      <c r="M15" s="510">
        <f>L15/J15</f>
        <v>-4.7734522188438447E-2</v>
      </c>
      <c r="N15" s="636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</row>
    <row r="16" spans="1:113" s="75" customFormat="1" ht="20.25" x14ac:dyDescent="0.2">
      <c r="A16" s="74"/>
      <c r="B16" s="448"/>
      <c r="C16" s="78"/>
      <c r="D16" s="711" t="s">
        <v>267</v>
      </c>
      <c r="E16" s="711"/>
      <c r="F16" s="711"/>
      <c r="G16" s="290">
        <v>0</v>
      </c>
      <c r="H16" s="290">
        <v>633.91999999999996</v>
      </c>
      <c r="I16" s="358"/>
      <c r="J16" s="290">
        <v>633.91999999999996</v>
      </c>
      <c r="K16" s="411"/>
      <c r="L16" s="301">
        <f t="shared" si="0"/>
        <v>-633.91999999999996</v>
      </c>
      <c r="M16" s="510">
        <f>L16/J16</f>
        <v>-1</v>
      </c>
      <c r="N16" s="636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</row>
    <row r="17" spans="1:46" s="75" customFormat="1" ht="20.25" x14ac:dyDescent="0.2">
      <c r="A17" s="74"/>
      <c r="B17" s="448"/>
      <c r="C17" s="484" t="s">
        <v>346</v>
      </c>
      <c r="D17" s="581"/>
      <c r="E17" s="581"/>
      <c r="F17" s="581"/>
      <c r="G17" s="290">
        <v>2020</v>
      </c>
      <c r="H17" s="290">
        <f>6000+1400</f>
        <v>7400</v>
      </c>
      <c r="I17" s="358"/>
      <c r="J17" s="290">
        <v>6000</v>
      </c>
      <c r="K17" s="411"/>
      <c r="L17" s="301">
        <f t="shared" si="0"/>
        <v>-3980</v>
      </c>
      <c r="M17" s="510">
        <v>1</v>
      </c>
      <c r="N17" s="636" t="s">
        <v>416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</row>
    <row r="18" spans="1:46" s="75" customFormat="1" ht="20.25" x14ac:dyDescent="0.2">
      <c r="A18" s="74"/>
      <c r="B18" s="448"/>
      <c r="C18" s="76" t="s">
        <v>116</v>
      </c>
      <c r="D18" s="76"/>
      <c r="E18" s="76"/>
      <c r="F18" s="74"/>
      <c r="G18" s="290">
        <f>'June''17 Revenues &amp; Expenses'!J53</f>
        <v>5409.25</v>
      </c>
      <c r="H18" s="290">
        <v>9721.94</v>
      </c>
      <c r="I18" s="358"/>
      <c r="J18" s="290">
        <v>4324</v>
      </c>
      <c r="K18" s="411"/>
      <c r="L18" s="301">
        <f t="shared" si="0"/>
        <v>1085.25</v>
      </c>
      <c r="M18" s="510">
        <f t="shared" si="1"/>
        <v>0.25098288621646625</v>
      </c>
      <c r="N18" s="636"/>
      <c r="O18" s="69"/>
      <c r="P18" s="69"/>
      <c r="Q18" s="288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</row>
    <row r="19" spans="1:46" s="75" customFormat="1" ht="20.25" x14ac:dyDescent="0.2">
      <c r="A19" s="74"/>
      <c r="B19" s="448"/>
      <c r="C19" s="444" t="s">
        <v>184</v>
      </c>
      <c r="D19" s="444"/>
      <c r="E19" s="444"/>
      <c r="F19" s="74"/>
      <c r="G19" s="290">
        <v>100</v>
      </c>
      <c r="H19" s="290">
        <v>150</v>
      </c>
      <c r="I19" s="358"/>
      <c r="J19" s="290">
        <v>150</v>
      </c>
      <c r="K19" s="411"/>
      <c r="L19" s="301">
        <f t="shared" si="0"/>
        <v>-50</v>
      </c>
      <c r="M19" s="510">
        <f t="shared" si="1"/>
        <v>-0.33333333333333331</v>
      </c>
      <c r="N19" s="636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</row>
    <row r="20" spans="1:46" s="75" customFormat="1" ht="20.25" x14ac:dyDescent="0.2">
      <c r="A20" s="74"/>
      <c r="B20" s="448"/>
      <c r="C20" s="76" t="s">
        <v>123</v>
      </c>
      <c r="D20" s="76"/>
      <c r="E20" s="76"/>
      <c r="F20" s="74"/>
      <c r="G20" s="290">
        <v>599.29</v>
      </c>
      <c r="H20" s="290">
        <v>1251.8699999999999</v>
      </c>
      <c r="I20" s="358"/>
      <c r="J20" s="290">
        <v>595.36</v>
      </c>
      <c r="K20" s="411"/>
      <c r="L20" s="301">
        <f t="shared" si="0"/>
        <v>3.92999999999995</v>
      </c>
      <c r="M20" s="510">
        <f t="shared" si="1"/>
        <v>6.6010481053479404E-3</v>
      </c>
      <c r="N20" s="636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</row>
    <row r="21" spans="1:46" s="75" customFormat="1" ht="20.25" x14ac:dyDescent="0.2">
      <c r="A21" s="74"/>
      <c r="B21" s="448"/>
      <c r="C21" s="444" t="s">
        <v>302</v>
      </c>
      <c r="D21" s="444"/>
      <c r="E21" s="444"/>
      <c r="F21" s="74"/>
      <c r="G21" s="290">
        <v>1514.86</v>
      </c>
      <c r="H21" s="290">
        <f>365.07+9.54-4+35.57+53.88+113.52-10+142.31+163.2+182.91-10+1188.99</f>
        <v>2230.9900000000002</v>
      </c>
      <c r="I21" s="358"/>
      <c r="J21" s="290">
        <v>406.18</v>
      </c>
      <c r="K21" s="411"/>
      <c r="L21" s="301">
        <f t="shared" si="0"/>
        <v>1108.6799999999998</v>
      </c>
      <c r="M21" s="510">
        <f t="shared" si="1"/>
        <v>2.7295287803436894</v>
      </c>
      <c r="N21" s="636"/>
      <c r="O21" s="69"/>
      <c r="P21" s="69"/>
      <c r="Q21" s="288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</row>
    <row r="22" spans="1:46" s="75" customFormat="1" ht="20.25" x14ac:dyDescent="0.2">
      <c r="A22" s="74"/>
      <c r="B22" s="448"/>
      <c r="C22" s="76" t="s">
        <v>268</v>
      </c>
      <c r="D22" s="76"/>
      <c r="E22" s="76"/>
      <c r="F22" s="74"/>
      <c r="G22" s="290">
        <v>4395.2299999999996</v>
      </c>
      <c r="H22" s="290">
        <v>1631.49</v>
      </c>
      <c r="I22" s="358"/>
      <c r="J22" s="290">
        <v>260.01</v>
      </c>
      <c r="K22" s="411"/>
      <c r="L22" s="301">
        <f t="shared" si="0"/>
        <v>4135.2199999999993</v>
      </c>
      <c r="M22" s="510">
        <v>1</v>
      </c>
      <c r="N22" s="636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</row>
    <row r="23" spans="1:46" s="75" customFormat="1" ht="20.25" x14ac:dyDescent="0.2">
      <c r="A23" s="74"/>
      <c r="B23" s="448"/>
      <c r="C23" s="76" t="s">
        <v>303</v>
      </c>
      <c r="D23" s="76"/>
      <c r="E23" s="76"/>
      <c r="F23" s="74"/>
      <c r="G23" s="290">
        <v>24680.95</v>
      </c>
      <c r="H23" s="290">
        <v>73212.7</v>
      </c>
      <c r="I23" s="358"/>
      <c r="J23" s="290">
        <v>29082.49</v>
      </c>
      <c r="K23" s="411"/>
      <c r="L23" s="301">
        <f t="shared" si="0"/>
        <v>-4401.5400000000009</v>
      </c>
      <c r="M23" s="510">
        <f t="shared" si="1"/>
        <v>-0.15134673819194988</v>
      </c>
      <c r="N23" s="636" t="s">
        <v>421</v>
      </c>
      <c r="O23" s="69"/>
      <c r="P23" s="69"/>
      <c r="Q23" s="288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</row>
    <row r="24" spans="1:46" s="75" customFormat="1" ht="20.25" x14ac:dyDescent="0.2">
      <c r="A24" s="74"/>
      <c r="B24" s="448"/>
      <c r="C24" s="76" t="s">
        <v>162</v>
      </c>
      <c r="D24" s="76"/>
      <c r="E24" s="76"/>
      <c r="F24" s="74"/>
      <c r="G24" s="290">
        <f>2491.16-G17</f>
        <v>471.15999999999985</v>
      </c>
      <c r="H24" s="290">
        <f>11519.02-7400-1793.77</f>
        <v>2325.2500000000005</v>
      </c>
      <c r="I24" s="358"/>
      <c r="J24" s="290">
        <v>102.51</v>
      </c>
      <c r="K24" s="411"/>
      <c r="L24" s="301">
        <f t="shared" si="0"/>
        <v>368.64999999999986</v>
      </c>
      <c r="M24" s="510">
        <f t="shared" si="1"/>
        <v>3.5962345137059786</v>
      </c>
      <c r="N24" s="63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</row>
    <row r="25" spans="1:46" s="75" customFormat="1" ht="20.25" hidden="1" x14ac:dyDescent="0.2">
      <c r="A25" s="74"/>
      <c r="B25" s="448"/>
      <c r="C25" s="76" t="s">
        <v>188</v>
      </c>
      <c r="D25" s="76"/>
      <c r="E25" s="76"/>
      <c r="F25" s="74"/>
      <c r="G25" s="290"/>
      <c r="H25" s="290"/>
      <c r="I25" s="358"/>
      <c r="J25" s="290"/>
      <c r="K25" s="411"/>
      <c r="L25" s="301">
        <f>G25-J25</f>
        <v>0</v>
      </c>
      <c r="M25" s="510" t="e">
        <f t="shared" si="1"/>
        <v>#DIV/0!</v>
      </c>
      <c r="N25" s="636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</row>
    <row r="26" spans="1:46" s="75" customFormat="1" ht="21" thickBot="1" x14ac:dyDescent="0.25">
      <c r="A26" s="74"/>
      <c r="B26" s="448"/>
      <c r="C26" s="76" t="s">
        <v>122</v>
      </c>
      <c r="D26" s="76"/>
      <c r="E26" s="76"/>
      <c r="F26" s="74"/>
      <c r="G26" s="291">
        <v>23287.5</v>
      </c>
      <c r="H26" s="291">
        <v>46575</v>
      </c>
      <c r="I26" s="358"/>
      <c r="J26" s="291">
        <f>G26</f>
        <v>23287.5</v>
      </c>
      <c r="K26" s="411"/>
      <c r="L26" s="429">
        <f>G26-J26</f>
        <v>0</v>
      </c>
      <c r="M26" s="544">
        <f t="shared" si="1"/>
        <v>0</v>
      </c>
      <c r="N26" s="636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</row>
    <row r="27" spans="1:46" s="75" customFormat="1" ht="20.25" x14ac:dyDescent="0.2">
      <c r="A27" s="74"/>
      <c r="B27" s="448"/>
      <c r="C27" s="76"/>
      <c r="D27" s="74" t="s">
        <v>118</v>
      </c>
      <c r="E27" s="76"/>
      <c r="F27" s="74"/>
      <c r="G27" s="256">
        <f>SUM(G9:G26)</f>
        <v>791647.67</v>
      </c>
      <c r="H27" s="256">
        <f>SUM(H9:H26)</f>
        <v>1572896.0799999998</v>
      </c>
      <c r="I27" s="254"/>
      <c r="J27" s="256">
        <f>SUM(J9:J26)</f>
        <v>803488.06</v>
      </c>
      <c r="K27" s="411"/>
      <c r="L27" s="256">
        <f>G27-J27</f>
        <v>-11840.390000000014</v>
      </c>
      <c r="M27" s="510">
        <f>L27/J27</f>
        <v>-1.4736236404060582E-2</v>
      </c>
      <c r="N27" s="636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</row>
    <row r="28" spans="1:46" s="75" customFormat="1" ht="21" thickBot="1" x14ac:dyDescent="0.25">
      <c r="A28" s="74"/>
      <c r="B28" s="448"/>
      <c r="C28" s="74" t="s">
        <v>119</v>
      </c>
      <c r="D28" s="76"/>
      <c r="E28" s="76"/>
      <c r="F28" s="74"/>
      <c r="G28" s="264">
        <v>41095.61</v>
      </c>
      <c r="H28" s="264">
        <v>95122.27</v>
      </c>
      <c r="I28" s="254"/>
      <c r="J28" s="264">
        <v>46278.1</v>
      </c>
      <c r="K28" s="411"/>
      <c r="L28" s="264">
        <f>G28-J28</f>
        <v>-5182.489999999998</v>
      </c>
      <c r="M28" s="544">
        <f>L28/J28</f>
        <v>-0.11198579889839899</v>
      </c>
      <c r="N28" s="638"/>
      <c r="O28" s="69"/>
      <c r="P28" s="69"/>
      <c r="Q28" s="37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</row>
    <row r="29" spans="1:46" s="75" customFormat="1" ht="20.25" x14ac:dyDescent="0.2">
      <c r="A29" s="74"/>
      <c r="B29" s="448"/>
      <c r="C29" s="76"/>
      <c r="D29" s="74" t="s">
        <v>120</v>
      </c>
      <c r="E29" s="76"/>
      <c r="F29" s="74"/>
      <c r="G29" s="256">
        <f>SUM(G27:G28)</f>
        <v>832743.28</v>
      </c>
      <c r="H29" s="256">
        <f>SUM(H27:H28)</f>
        <v>1668018.3499999999</v>
      </c>
      <c r="I29" s="254"/>
      <c r="J29" s="256">
        <f>SUM(J27:J28)</f>
        <v>849766.16</v>
      </c>
      <c r="K29" s="288"/>
      <c r="L29" s="256">
        <f>SUM(L27:L28)</f>
        <v>-17022.880000000012</v>
      </c>
      <c r="M29" s="510">
        <f>L29/J29</f>
        <v>-2.003242868602818E-2</v>
      </c>
      <c r="N29" s="638"/>
      <c r="O29" s="288"/>
      <c r="P29" s="69"/>
      <c r="Q29" s="37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</row>
    <row r="30" spans="1:46" s="75" customFormat="1" ht="6" customHeight="1" x14ac:dyDescent="0.2">
      <c r="A30" s="74"/>
      <c r="B30" s="448"/>
      <c r="C30" s="76"/>
      <c r="D30" s="74"/>
      <c r="E30" s="76"/>
      <c r="F30" s="74"/>
      <c r="G30" s="256"/>
      <c r="H30" s="256"/>
      <c r="I30" s="254"/>
      <c r="J30" s="256"/>
      <c r="K30" s="411"/>
      <c r="L30" s="461"/>
      <c r="M30" s="616"/>
      <c r="N30" s="636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</row>
    <row r="31" spans="1:46" s="75" customFormat="1" ht="21" thickBot="1" x14ac:dyDescent="0.25">
      <c r="A31" s="74"/>
      <c r="B31" s="449" t="s">
        <v>124</v>
      </c>
      <c r="C31" s="88"/>
      <c r="D31" s="88"/>
      <c r="E31" s="88"/>
      <c r="F31" s="88"/>
      <c r="G31" s="264"/>
      <c r="H31" s="264"/>
      <c r="I31" s="69"/>
      <c r="J31" s="69"/>
      <c r="K31" s="411"/>
      <c r="L31" s="461"/>
      <c r="M31" s="616"/>
      <c r="N31" s="638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</row>
    <row r="32" spans="1:46" s="69" customFormat="1" ht="20.25" x14ac:dyDescent="0.2">
      <c r="A32" s="68"/>
      <c r="B32" s="450"/>
      <c r="C32" s="80" t="s">
        <v>125</v>
      </c>
      <c r="D32" s="80"/>
      <c r="E32" s="80"/>
      <c r="F32" s="80"/>
      <c r="G32" s="254">
        <v>438941.81</v>
      </c>
      <c r="H32" s="254">
        <v>898643.55</v>
      </c>
      <c r="I32" s="301"/>
      <c r="J32" s="456">
        <v>440052.29</v>
      </c>
      <c r="K32" s="411"/>
      <c r="L32" s="301">
        <f t="shared" ref="L32:L53" si="2">G32-J32</f>
        <v>-1110.4799999999814</v>
      </c>
      <c r="M32" s="510">
        <f t="shared" ref="M32:M53" si="3">L32/J32</f>
        <v>-2.5235182846110888E-3</v>
      </c>
      <c r="N32" s="638" t="s">
        <v>393</v>
      </c>
    </row>
    <row r="33" spans="1:16" s="69" customFormat="1" ht="20.25" x14ac:dyDescent="0.2">
      <c r="A33" s="68"/>
      <c r="B33" s="450"/>
      <c r="C33" s="80" t="s">
        <v>126</v>
      </c>
      <c r="D33" s="80"/>
      <c r="E33" s="80"/>
      <c r="F33" s="80"/>
      <c r="G33" s="254">
        <v>82008.27</v>
      </c>
      <c r="H33" s="254">
        <v>186308.17</v>
      </c>
      <c r="I33" s="301"/>
      <c r="J33" s="456">
        <v>87999.18</v>
      </c>
      <c r="K33" s="411"/>
      <c r="L33" s="301">
        <f t="shared" si="2"/>
        <v>-5990.9099999999889</v>
      </c>
      <c r="M33" s="510">
        <f t="shared" si="3"/>
        <v>-6.8079157101236507E-2</v>
      </c>
      <c r="N33" s="638" t="s">
        <v>422</v>
      </c>
    </row>
    <row r="34" spans="1:16" s="69" customFormat="1" ht="20.25" x14ac:dyDescent="0.2">
      <c r="A34" s="68"/>
      <c r="B34" s="450"/>
      <c r="C34" s="80" t="s">
        <v>127</v>
      </c>
      <c r="D34" s="80"/>
      <c r="E34" s="80"/>
      <c r="F34" s="80"/>
      <c r="G34" s="254">
        <f>24187.5-G26</f>
        <v>900</v>
      </c>
      <c r="H34" s="254">
        <f>49061-H26</f>
        <v>2486</v>
      </c>
      <c r="I34" s="301"/>
      <c r="J34" s="301">
        <f>24187.5-J35</f>
        <v>900</v>
      </c>
      <c r="K34" s="411"/>
      <c r="L34" s="301">
        <f t="shared" si="2"/>
        <v>0</v>
      </c>
      <c r="M34" s="510">
        <f t="shared" si="3"/>
        <v>0</v>
      </c>
      <c r="N34" s="636"/>
    </row>
    <row r="35" spans="1:16" s="69" customFormat="1" ht="20.25" x14ac:dyDescent="0.2">
      <c r="A35" s="68"/>
      <c r="B35" s="450"/>
      <c r="C35" s="80" t="s">
        <v>117</v>
      </c>
      <c r="D35" s="80"/>
      <c r="E35" s="80"/>
      <c r="F35" s="80"/>
      <c r="G35" s="254">
        <f>G26</f>
        <v>23287.5</v>
      </c>
      <c r="H35" s="254">
        <f>H26</f>
        <v>46575</v>
      </c>
      <c r="I35" s="301"/>
      <c r="J35" s="301">
        <f>J26</f>
        <v>23287.5</v>
      </c>
      <c r="K35" s="411"/>
      <c r="L35" s="301">
        <f t="shared" si="2"/>
        <v>0</v>
      </c>
      <c r="M35" s="510">
        <f t="shared" si="3"/>
        <v>0</v>
      </c>
      <c r="N35" s="636"/>
    </row>
    <row r="36" spans="1:16" s="69" customFormat="1" ht="20.25" x14ac:dyDescent="0.2">
      <c r="A36" s="68"/>
      <c r="B36" s="450"/>
      <c r="C36" s="80" t="s">
        <v>128</v>
      </c>
      <c r="D36" s="80"/>
      <c r="E36" s="80"/>
      <c r="F36" s="80"/>
      <c r="G36" s="254">
        <v>8174.64</v>
      </c>
      <c r="H36" s="254">
        <v>13855.69</v>
      </c>
      <c r="I36" s="301"/>
      <c r="J36" s="301">
        <v>6972.45</v>
      </c>
      <c r="K36" s="411"/>
      <c r="L36" s="301">
        <f t="shared" si="2"/>
        <v>1202.1900000000005</v>
      </c>
      <c r="M36" s="510">
        <f t="shared" si="3"/>
        <v>0.17242002452509528</v>
      </c>
      <c r="N36" s="636" t="s">
        <v>418</v>
      </c>
    </row>
    <row r="37" spans="1:16" s="69" customFormat="1" ht="20.25" x14ac:dyDescent="0.2">
      <c r="A37" s="68"/>
      <c r="B37" s="450"/>
      <c r="C37" s="80" t="s">
        <v>129</v>
      </c>
      <c r="D37" s="80"/>
      <c r="E37" s="80"/>
      <c r="F37" s="80"/>
      <c r="G37" s="254">
        <v>1834.42</v>
      </c>
      <c r="H37" s="254">
        <v>3281.1</v>
      </c>
      <c r="I37" s="301"/>
      <c r="J37" s="301">
        <v>1807.81</v>
      </c>
      <c r="K37" s="411"/>
      <c r="L37" s="301">
        <f t="shared" si="2"/>
        <v>26.610000000000127</v>
      </c>
      <c r="M37" s="510">
        <f t="shared" si="3"/>
        <v>1.4719467200646156E-2</v>
      </c>
      <c r="N37" s="636"/>
    </row>
    <row r="38" spans="1:16" s="69" customFormat="1" ht="20.25" x14ac:dyDescent="0.2">
      <c r="A38" s="68"/>
      <c r="B38" s="450"/>
      <c r="C38" s="80" t="s">
        <v>130</v>
      </c>
      <c r="D38" s="80"/>
      <c r="E38" s="80"/>
      <c r="F38" s="80"/>
      <c r="G38" s="254">
        <v>3170.42</v>
      </c>
      <c r="H38" s="254">
        <v>6781.22</v>
      </c>
      <c r="I38" s="301"/>
      <c r="J38" s="301">
        <v>3716.85</v>
      </c>
      <c r="K38" s="411"/>
      <c r="L38" s="301">
        <f t="shared" si="2"/>
        <v>-546.42999999999984</v>
      </c>
      <c r="M38" s="510">
        <f t="shared" si="3"/>
        <v>-0.1470142728385595</v>
      </c>
      <c r="N38" s="636"/>
    </row>
    <row r="39" spans="1:16" s="69" customFormat="1" ht="20.25" x14ac:dyDescent="0.2">
      <c r="A39" s="68"/>
      <c r="B39" s="450"/>
      <c r="C39" s="80" t="s">
        <v>131</v>
      </c>
      <c r="D39" s="80"/>
      <c r="E39" s="80"/>
      <c r="F39" s="80"/>
      <c r="G39" s="254">
        <v>2904.37</v>
      </c>
      <c r="H39" s="254">
        <v>12515.18</v>
      </c>
      <c r="I39" s="301"/>
      <c r="J39" s="301">
        <v>6839.96</v>
      </c>
      <c r="K39" s="411"/>
      <c r="L39" s="301">
        <f t="shared" si="2"/>
        <v>-3935.59</v>
      </c>
      <c r="M39" s="510">
        <f t="shared" si="3"/>
        <v>-0.57538201977789349</v>
      </c>
      <c r="N39" s="636"/>
    </row>
    <row r="40" spans="1:16" s="69" customFormat="1" ht="20.25" x14ac:dyDescent="0.2">
      <c r="A40" s="68"/>
      <c r="B40" s="450"/>
      <c r="C40" s="80" t="s">
        <v>132</v>
      </c>
      <c r="D40" s="80"/>
      <c r="E40" s="80"/>
      <c r="F40" s="80"/>
      <c r="G40" s="254">
        <f>12916.92+4097.41</f>
        <v>17014.330000000002</v>
      </c>
      <c r="H40" s="254">
        <f>26975.95+11407.95</f>
        <v>38383.9</v>
      </c>
      <c r="I40" s="301"/>
      <c r="J40" s="301">
        <f>12997.3+6069.36</f>
        <v>19066.66</v>
      </c>
      <c r="K40" s="411"/>
      <c r="L40" s="301">
        <f t="shared" si="2"/>
        <v>-2052.3299999999981</v>
      </c>
      <c r="M40" s="510">
        <f t="shared" si="3"/>
        <v>-0.10763972295095198</v>
      </c>
      <c r="N40" s="636"/>
    </row>
    <row r="41" spans="1:16" s="69" customFormat="1" ht="20.25" x14ac:dyDescent="0.2">
      <c r="A41" s="68"/>
      <c r="B41" s="450"/>
      <c r="C41" s="80" t="s">
        <v>133</v>
      </c>
      <c r="D41" s="80"/>
      <c r="E41" s="80"/>
      <c r="F41" s="80"/>
      <c r="G41" s="254">
        <v>2136.54</v>
      </c>
      <c r="H41" s="254">
        <v>6251.1</v>
      </c>
      <c r="I41" s="301"/>
      <c r="J41" s="301">
        <v>2671.28</v>
      </c>
      <c r="K41" s="411"/>
      <c r="L41" s="301">
        <f t="shared" si="2"/>
        <v>-534.74000000000024</v>
      </c>
      <c r="M41" s="510">
        <f t="shared" si="3"/>
        <v>-0.20018118654727329</v>
      </c>
      <c r="N41" s="636"/>
    </row>
    <row r="42" spans="1:16" s="69" customFormat="1" ht="20.25" x14ac:dyDescent="0.2">
      <c r="A42" s="68"/>
      <c r="B42" s="450"/>
      <c r="C42" s="80" t="s">
        <v>134</v>
      </c>
      <c r="D42" s="80"/>
      <c r="E42" s="80"/>
      <c r="F42" s="80"/>
      <c r="G42" s="254">
        <v>957.5</v>
      </c>
      <c r="H42" s="254">
        <v>1329.5</v>
      </c>
      <c r="I42" s="301"/>
      <c r="J42" s="301">
        <v>822</v>
      </c>
      <c r="K42" s="411"/>
      <c r="L42" s="301">
        <f t="shared" si="2"/>
        <v>135.5</v>
      </c>
      <c r="M42" s="510">
        <f t="shared" si="3"/>
        <v>0.16484184914841848</v>
      </c>
      <c r="N42" s="636"/>
    </row>
    <row r="43" spans="1:16" s="69" customFormat="1" ht="20.25" x14ac:dyDescent="0.2">
      <c r="A43" s="68"/>
      <c r="B43" s="450"/>
      <c r="C43" s="80" t="s">
        <v>190</v>
      </c>
      <c r="D43" s="80"/>
      <c r="E43" s="80"/>
      <c r="F43" s="80"/>
      <c r="G43" s="254">
        <v>11199</v>
      </c>
      <c r="H43" s="254">
        <v>12865</v>
      </c>
      <c r="I43" s="301"/>
      <c r="J43" s="301">
        <v>10513</v>
      </c>
      <c r="K43" s="411"/>
      <c r="L43" s="301">
        <f t="shared" si="2"/>
        <v>686</v>
      </c>
      <c r="M43" s="510">
        <f t="shared" si="3"/>
        <v>6.5252544468752977E-2</v>
      </c>
      <c r="N43" s="636"/>
    </row>
    <row r="44" spans="1:16" s="77" customFormat="1" ht="20.25" x14ac:dyDescent="0.2">
      <c r="A44" s="80"/>
      <c r="B44" s="446"/>
      <c r="C44" s="80" t="s">
        <v>135</v>
      </c>
      <c r="D44" s="80"/>
      <c r="E44" s="80"/>
      <c r="F44" s="80"/>
      <c r="G44" s="358">
        <v>9517.8799999999992</v>
      </c>
      <c r="H44" s="358">
        <v>13248.87</v>
      </c>
      <c r="I44" s="457"/>
      <c r="J44" s="457">
        <v>7389.63</v>
      </c>
      <c r="K44" s="413"/>
      <c r="L44" s="301">
        <f t="shared" si="2"/>
        <v>2128.2499999999991</v>
      </c>
      <c r="M44" s="510">
        <f t="shared" si="3"/>
        <v>0.28800494747368938</v>
      </c>
      <c r="N44" s="636" t="s">
        <v>396</v>
      </c>
    </row>
    <row r="45" spans="1:16" s="77" customFormat="1" ht="20.25" x14ac:dyDescent="0.2">
      <c r="A45" s="80"/>
      <c r="B45" s="446"/>
      <c r="C45" s="80" t="s">
        <v>136</v>
      </c>
      <c r="D45" s="80"/>
      <c r="E45" s="80"/>
      <c r="F45" s="80"/>
      <c r="G45" s="254">
        <f>6151.92</f>
        <v>6151.92</v>
      </c>
      <c r="H45" s="254">
        <v>12343.85</v>
      </c>
      <c r="I45" s="254"/>
      <c r="J45" s="358">
        <v>6169.95</v>
      </c>
      <c r="K45" s="413"/>
      <c r="L45" s="301">
        <f t="shared" si="2"/>
        <v>-18.029999999999745</v>
      </c>
      <c r="M45" s="510">
        <f t="shared" si="3"/>
        <v>-2.9222278948775509E-3</v>
      </c>
      <c r="N45" s="636"/>
    </row>
    <row r="46" spans="1:16" s="77" customFormat="1" ht="20.25" x14ac:dyDescent="0.2">
      <c r="A46" s="80"/>
      <c r="B46" s="446"/>
      <c r="C46" s="80" t="s">
        <v>145</v>
      </c>
      <c r="D46" s="80"/>
      <c r="E46" s="80"/>
      <c r="F46" s="80"/>
      <c r="G46" s="254">
        <f>210+34</f>
        <v>244</v>
      </c>
      <c r="H46" s="254">
        <f>2673+293.93</f>
        <v>2966.93</v>
      </c>
      <c r="I46" s="254"/>
      <c r="J46" s="358">
        <f>443+19</f>
        <v>462</v>
      </c>
      <c r="K46" s="413"/>
      <c r="L46" s="301">
        <f t="shared" si="2"/>
        <v>-218</v>
      </c>
      <c r="M46" s="510">
        <f>L46/J46</f>
        <v>-0.47186147186147187</v>
      </c>
      <c r="N46" s="639"/>
      <c r="P46" s="270"/>
    </row>
    <row r="47" spans="1:16" s="77" customFormat="1" ht="20.25" x14ac:dyDescent="0.2">
      <c r="A47" s="80"/>
      <c r="B47" s="446"/>
      <c r="C47" s="80" t="s">
        <v>137</v>
      </c>
      <c r="D47" s="80"/>
      <c r="E47" s="80"/>
      <c r="F47" s="80"/>
      <c r="G47" s="358">
        <f>1584.72+8503.29</f>
        <v>10088.01</v>
      </c>
      <c r="H47" s="358">
        <f>3067.88+8008.83</f>
        <v>11076.71</v>
      </c>
      <c r="I47" s="254"/>
      <c r="J47" s="254">
        <f>3067.88+7407.3</f>
        <v>10475.18</v>
      </c>
      <c r="K47" s="413"/>
      <c r="L47" s="301">
        <f t="shared" si="2"/>
        <v>-387.17000000000007</v>
      </c>
      <c r="M47" s="510">
        <f t="shared" si="3"/>
        <v>-3.696070139128875E-2</v>
      </c>
      <c r="N47" s="638"/>
      <c r="P47" s="270"/>
    </row>
    <row r="48" spans="1:16" s="69" customFormat="1" ht="20.25" x14ac:dyDescent="0.2">
      <c r="A48" s="68"/>
      <c r="B48" s="450"/>
      <c r="C48" s="80" t="s">
        <v>238</v>
      </c>
      <c r="D48" s="80"/>
      <c r="E48" s="80"/>
      <c r="F48" s="80"/>
      <c r="G48" s="254">
        <v>9407.0499999999993</v>
      </c>
      <c r="H48" s="254">
        <v>16151.01</v>
      </c>
      <c r="I48" s="254"/>
      <c r="J48" s="254">
        <v>6476.28</v>
      </c>
      <c r="K48" s="411"/>
      <c r="L48" s="301">
        <f t="shared" si="2"/>
        <v>2930.7699999999995</v>
      </c>
      <c r="M48" s="510">
        <f t="shared" si="3"/>
        <v>0.45253911195933461</v>
      </c>
      <c r="N48" s="636" t="s">
        <v>395</v>
      </c>
    </row>
    <row r="49" spans="1:18" s="77" customFormat="1" ht="20.25" x14ac:dyDescent="0.2">
      <c r="A49" s="80"/>
      <c r="B49" s="446"/>
      <c r="C49" s="80" t="s">
        <v>138</v>
      </c>
      <c r="D49" s="80"/>
      <c r="E49" s="80"/>
      <c r="F49" s="80"/>
      <c r="G49" s="358">
        <f>16806+500</f>
        <v>17306</v>
      </c>
      <c r="H49" s="358">
        <v>40262.04</v>
      </c>
      <c r="I49" s="254"/>
      <c r="J49" s="254">
        <v>19795.02</v>
      </c>
      <c r="K49" s="413"/>
      <c r="L49" s="301">
        <f t="shared" si="2"/>
        <v>-2489.0200000000004</v>
      </c>
      <c r="M49" s="510">
        <f t="shared" si="3"/>
        <v>-0.1257397062493496</v>
      </c>
      <c r="N49" s="636"/>
    </row>
    <row r="50" spans="1:18" s="77" customFormat="1" ht="20.25" x14ac:dyDescent="0.2">
      <c r="A50" s="80"/>
      <c r="B50" s="446"/>
      <c r="C50" s="80" t="s">
        <v>139</v>
      </c>
      <c r="D50" s="80"/>
      <c r="E50" s="80"/>
      <c r="F50" s="80"/>
      <c r="G50" s="358">
        <f>5834.36+17250.5</f>
        <v>23084.86</v>
      </c>
      <c r="H50" s="358">
        <f>3570+4675.64+36132.18</f>
        <v>44377.82</v>
      </c>
      <c r="I50" s="254"/>
      <c r="J50" s="254">
        <f>1800+1400+11307.47</f>
        <v>14507.47</v>
      </c>
      <c r="K50" s="413"/>
      <c r="L50" s="301">
        <f t="shared" si="2"/>
        <v>8577.3900000000012</v>
      </c>
      <c r="M50" s="510">
        <f t="shared" si="3"/>
        <v>0.59123954762615405</v>
      </c>
      <c r="N50" s="636" t="s">
        <v>390</v>
      </c>
    </row>
    <row r="51" spans="1:18" s="77" customFormat="1" ht="20.25" x14ac:dyDescent="0.2">
      <c r="A51" s="80"/>
      <c r="B51" s="446"/>
      <c r="C51" s="80" t="s">
        <v>191</v>
      </c>
      <c r="D51" s="80"/>
      <c r="E51" s="80"/>
      <c r="F51" s="80"/>
      <c r="G51" s="254">
        <v>13737.09</v>
      </c>
      <c r="H51" s="254">
        <v>35478.5</v>
      </c>
      <c r="I51" s="254"/>
      <c r="J51" s="254">
        <v>14924.02</v>
      </c>
      <c r="K51" s="413"/>
      <c r="L51" s="301">
        <f t="shared" si="2"/>
        <v>-1186.9300000000003</v>
      </c>
      <c r="M51" s="510">
        <v>1</v>
      </c>
      <c r="N51" s="636" t="s">
        <v>392</v>
      </c>
    </row>
    <row r="52" spans="1:18" s="77" customFormat="1" ht="20.25" x14ac:dyDescent="0.2">
      <c r="A52" s="80"/>
      <c r="B52" s="446"/>
      <c r="C52" s="80" t="s">
        <v>189</v>
      </c>
      <c r="D52" s="80"/>
      <c r="E52" s="80"/>
      <c r="F52" s="80"/>
      <c r="G52" s="254">
        <f>20436.62+1000</f>
        <v>21436.62</v>
      </c>
      <c r="H52" s="254">
        <v>46701.55</v>
      </c>
      <c r="I52" s="254"/>
      <c r="J52" s="254">
        <v>24060.93</v>
      </c>
      <c r="K52" s="413"/>
      <c r="L52" s="301">
        <f t="shared" si="2"/>
        <v>-2624.3100000000013</v>
      </c>
      <c r="M52" s="510">
        <f t="shared" si="3"/>
        <v>-0.10906935018721227</v>
      </c>
      <c r="N52" s="636" t="s">
        <v>423</v>
      </c>
    </row>
    <row r="53" spans="1:18" s="77" customFormat="1" ht="21" thickBot="1" x14ac:dyDescent="0.25">
      <c r="A53" s="80"/>
      <c r="B53" s="446"/>
      <c r="C53" s="80" t="s">
        <v>140</v>
      </c>
      <c r="D53" s="80"/>
      <c r="E53" s="80"/>
      <c r="F53" s="80"/>
      <c r="G53" s="264">
        <f>105472.62+2277.88</f>
        <v>107750.5</v>
      </c>
      <c r="H53" s="264">
        <f>2604.31+166143.24</f>
        <v>168747.55</v>
      </c>
      <c r="I53" s="254"/>
      <c r="J53" s="264">
        <f>1363.7+118817.5</f>
        <v>120181.2</v>
      </c>
      <c r="K53" s="413"/>
      <c r="L53" s="429">
        <f t="shared" si="2"/>
        <v>-12430.699999999997</v>
      </c>
      <c r="M53" s="544">
        <f t="shared" si="3"/>
        <v>-0.10343298286254421</v>
      </c>
      <c r="N53" s="636" t="s">
        <v>424</v>
      </c>
    </row>
    <row r="54" spans="1:18" s="77" customFormat="1" ht="20.25" hidden="1" x14ac:dyDescent="0.2">
      <c r="A54" s="80"/>
      <c r="B54" s="446"/>
      <c r="C54" s="80" t="s">
        <v>347</v>
      </c>
      <c r="D54" s="80"/>
      <c r="E54" s="80"/>
      <c r="F54" s="80"/>
      <c r="G54" s="254"/>
      <c r="H54" s="254"/>
      <c r="I54" s="254"/>
      <c r="J54" s="254"/>
      <c r="K54" s="413"/>
      <c r="L54" s="301">
        <f>G54-H54</f>
        <v>0</v>
      </c>
      <c r="M54" s="510"/>
      <c r="N54" s="636"/>
    </row>
    <row r="55" spans="1:18" s="69" customFormat="1" ht="20.25" x14ac:dyDescent="0.2">
      <c r="A55" s="68"/>
      <c r="B55" s="450"/>
      <c r="C55" s="68"/>
      <c r="D55" s="74" t="s">
        <v>141</v>
      </c>
      <c r="E55" s="68"/>
      <c r="F55" s="68"/>
      <c r="G55" s="259">
        <f>SUM(G32:G54)</f>
        <v>811252.73000000021</v>
      </c>
      <c r="H55" s="259">
        <f>SUM(H32:H54)</f>
        <v>1620630.2400000002</v>
      </c>
      <c r="I55" s="254"/>
      <c r="J55" s="259">
        <f>SUM(J32:J54)</f>
        <v>829090.66</v>
      </c>
      <c r="K55" s="411"/>
      <c r="L55" s="256">
        <f>SUM(L32:L54)</f>
        <v>-17837.929999999964</v>
      </c>
      <c r="M55" s="510">
        <f>L55/J55</f>
        <v>-2.1515053613075274E-2</v>
      </c>
      <c r="N55" s="640"/>
    </row>
    <row r="56" spans="1:18" s="69" customFormat="1" ht="10.5" customHeight="1" thickBot="1" x14ac:dyDescent="0.25">
      <c r="A56" s="68"/>
      <c r="B56" s="450"/>
      <c r="C56" s="68"/>
      <c r="D56" s="74"/>
      <c r="E56" s="68"/>
      <c r="F56" s="68"/>
      <c r="G56" s="264"/>
      <c r="H56" s="264"/>
      <c r="I56" s="254"/>
      <c r="J56" s="264"/>
      <c r="K56" s="411"/>
      <c r="L56" s="463"/>
      <c r="M56" s="617"/>
      <c r="N56" s="636"/>
    </row>
    <row r="57" spans="1:18" s="69" customFormat="1" ht="21" thickBot="1" x14ac:dyDescent="0.25">
      <c r="A57" s="68"/>
      <c r="B57" s="450"/>
      <c r="C57" s="68"/>
      <c r="D57" s="68" t="s">
        <v>142</v>
      </c>
      <c r="E57" s="68"/>
      <c r="F57" s="68"/>
      <c r="G57" s="264">
        <f>G29-G55</f>
        <v>21490.549999999814</v>
      </c>
      <c r="H57" s="264">
        <f>H29-H55</f>
        <v>47388.109999999637</v>
      </c>
      <c r="I57" s="254"/>
      <c r="J57" s="264">
        <f>J29-J55</f>
        <v>20675.5</v>
      </c>
      <c r="K57" s="411"/>
      <c r="L57" s="264">
        <f>L29-L55</f>
        <v>815.04999999995198</v>
      </c>
      <c r="M57" s="611">
        <f>L57/J57</f>
        <v>3.9421053904377258E-2</v>
      </c>
      <c r="N57" s="640"/>
    </row>
    <row r="58" spans="1:18" s="69" customFormat="1" ht="11.25" customHeight="1" x14ac:dyDescent="0.2">
      <c r="A58" s="68"/>
      <c r="B58" s="450"/>
      <c r="C58" s="68"/>
      <c r="D58" s="68"/>
      <c r="E58" s="68"/>
      <c r="F58" s="68"/>
      <c r="G58" s="254"/>
      <c r="H58" s="254"/>
      <c r="I58" s="254"/>
      <c r="J58" s="254"/>
      <c r="K58" s="411"/>
      <c r="L58" s="461"/>
      <c r="M58" s="616"/>
      <c r="N58" s="636"/>
    </row>
    <row r="59" spans="1:18" s="77" customFormat="1" ht="21" thickBot="1" x14ac:dyDescent="0.25">
      <c r="A59" s="80"/>
      <c r="B59" s="449" t="s">
        <v>143</v>
      </c>
      <c r="C59" s="88"/>
      <c r="D59" s="88"/>
      <c r="E59" s="88"/>
      <c r="F59" s="88"/>
      <c r="G59" s="460"/>
      <c r="H59" s="254"/>
      <c r="I59" s="254"/>
      <c r="J59" s="254"/>
      <c r="K59" s="413"/>
      <c r="L59" s="461"/>
      <c r="M59" s="616"/>
      <c r="N59" s="636"/>
    </row>
    <row r="60" spans="1:18" s="77" customFormat="1" ht="20.25" x14ac:dyDescent="0.2">
      <c r="A60" s="80"/>
      <c r="B60" s="450"/>
      <c r="C60" s="68"/>
      <c r="D60" s="68" t="s">
        <v>158</v>
      </c>
      <c r="E60" s="68"/>
      <c r="F60" s="68"/>
      <c r="G60" s="254"/>
      <c r="H60" s="254"/>
      <c r="I60" s="254"/>
      <c r="J60" s="254"/>
      <c r="K60" s="413"/>
      <c r="L60" s="461"/>
      <c r="M60" s="616"/>
      <c r="N60" s="636"/>
    </row>
    <row r="61" spans="1:18" s="77" customFormat="1" ht="20.25" x14ac:dyDescent="0.2">
      <c r="A61" s="80"/>
      <c r="B61" s="450"/>
      <c r="C61" s="68"/>
      <c r="D61" s="68"/>
      <c r="E61" s="80" t="s">
        <v>159</v>
      </c>
      <c r="F61" s="68"/>
      <c r="G61" s="254">
        <v>49000</v>
      </c>
      <c r="H61" s="254">
        <v>49000</v>
      </c>
      <c r="I61" s="254"/>
      <c r="J61" s="254">
        <f>G61</f>
        <v>49000</v>
      </c>
      <c r="K61" s="413"/>
      <c r="L61" s="301">
        <f>G61-J61</f>
        <v>0</v>
      </c>
      <c r="M61" s="510">
        <f>L61/J61</f>
        <v>0</v>
      </c>
      <c r="N61" s="636"/>
      <c r="R61" s="270"/>
    </row>
    <row r="62" spans="1:18" s="77" customFormat="1" ht="20.25" x14ac:dyDescent="0.2">
      <c r="A62" s="80"/>
      <c r="B62" s="450"/>
      <c r="C62" s="68"/>
      <c r="D62" s="68"/>
      <c r="E62" s="80" t="s">
        <v>194</v>
      </c>
      <c r="F62" s="68"/>
      <c r="G62" s="254">
        <v>19000</v>
      </c>
      <c r="H62" s="254">
        <v>19000</v>
      </c>
      <c r="I62" s="254"/>
      <c r="J62" s="254">
        <f>G62</f>
        <v>19000</v>
      </c>
      <c r="K62" s="413"/>
      <c r="L62" s="301">
        <f>G62-J62</f>
        <v>0</v>
      </c>
      <c r="M62" s="510">
        <f t="shared" ref="M62:M64" si="4">L62/J62</f>
        <v>0</v>
      </c>
      <c r="N62" s="636"/>
    </row>
    <row r="63" spans="1:18" s="77" customFormat="1" ht="20.25" x14ac:dyDescent="0.2">
      <c r="A63" s="80"/>
      <c r="B63" s="450"/>
      <c r="C63" s="68"/>
      <c r="D63" s="68"/>
      <c r="E63" s="80" t="s">
        <v>157</v>
      </c>
      <c r="F63" s="68"/>
      <c r="G63" s="254">
        <f>'June''17 Revenues &amp; Expenses'!H55+'June''17 Revenues &amp; Expenses'!H56+'June''17 Revenues &amp; Expenses'!H54</f>
        <v>6934.15</v>
      </c>
      <c r="H63" s="254">
        <f>88930-H61-H62</f>
        <v>20930</v>
      </c>
      <c r="I63" s="254"/>
      <c r="J63" s="254">
        <f>519.71+50</f>
        <v>569.71</v>
      </c>
      <c r="K63" s="413"/>
      <c r="L63" s="301">
        <f>G63-J63</f>
        <v>6364.44</v>
      </c>
      <c r="M63" s="510">
        <f t="shared" si="4"/>
        <v>11.171367888925943</v>
      </c>
      <c r="N63" s="636" t="s">
        <v>394</v>
      </c>
    </row>
    <row r="64" spans="1:18" s="77" customFormat="1" ht="21" thickBot="1" x14ac:dyDescent="0.25">
      <c r="A64" s="80"/>
      <c r="B64" s="450"/>
      <c r="C64" s="68"/>
      <c r="D64" s="68" t="s">
        <v>119</v>
      </c>
      <c r="E64" s="68"/>
      <c r="F64" s="68"/>
      <c r="G64" s="264">
        <f>-G28</f>
        <v>-41095.61</v>
      </c>
      <c r="H64" s="264">
        <f>-H28</f>
        <v>-95122.27</v>
      </c>
      <c r="I64" s="254"/>
      <c r="J64" s="264">
        <f>-J28</f>
        <v>-46278.1</v>
      </c>
      <c r="K64" s="413"/>
      <c r="L64" s="429">
        <f>G64-J64</f>
        <v>5182.489999999998</v>
      </c>
      <c r="M64" s="544">
        <f t="shared" si="4"/>
        <v>-0.11198579889839899</v>
      </c>
      <c r="N64" s="636"/>
    </row>
    <row r="65" spans="1:14" s="77" customFormat="1" ht="21" thickBot="1" x14ac:dyDescent="0.25">
      <c r="A65" s="80"/>
      <c r="B65" s="450"/>
      <c r="C65" s="68"/>
      <c r="D65" s="68"/>
      <c r="E65" s="68" t="s">
        <v>144</v>
      </c>
      <c r="F65" s="68"/>
      <c r="G65" s="264">
        <f>SUM(G60:G64)</f>
        <v>33838.539999999994</v>
      </c>
      <c r="H65" s="264">
        <f>SUM(H60:H64)</f>
        <v>-6192.2700000000041</v>
      </c>
      <c r="I65" s="254"/>
      <c r="J65" s="264">
        <f>SUM(J60:J64)</f>
        <v>22291.610000000008</v>
      </c>
      <c r="K65" s="413"/>
      <c r="L65" s="264">
        <f>SUM(L61:L64)</f>
        <v>11546.929999999997</v>
      </c>
      <c r="M65" s="544">
        <f>L65/J65</f>
        <v>0.51799443826623526</v>
      </c>
      <c r="N65" s="636"/>
    </row>
    <row r="66" spans="1:14" s="69" customFormat="1" ht="7.5" customHeight="1" x14ac:dyDescent="0.2">
      <c r="A66" s="68"/>
      <c r="B66" s="450"/>
      <c r="C66" s="68"/>
      <c r="D66" s="68"/>
      <c r="E66" s="68"/>
      <c r="F66" s="68"/>
      <c r="G66" s="299"/>
      <c r="H66" s="299"/>
      <c r="I66" s="299"/>
      <c r="J66" s="299"/>
      <c r="K66" s="411"/>
      <c r="L66" s="461"/>
      <c r="M66" s="461"/>
      <c r="N66" s="636"/>
    </row>
    <row r="67" spans="1:14" s="69" customFormat="1" ht="20.25" x14ac:dyDescent="0.2">
      <c r="A67" s="68"/>
      <c r="B67" s="450"/>
      <c r="C67" s="68"/>
      <c r="D67" s="68"/>
      <c r="E67" s="68" t="s">
        <v>98</v>
      </c>
      <c r="F67" s="68"/>
      <c r="G67" s="259">
        <f>G57+G65</f>
        <v>55329.089999999807</v>
      </c>
      <c r="H67" s="259">
        <f>H57+H65</f>
        <v>41195.839999999633</v>
      </c>
      <c r="I67" s="259"/>
      <c r="J67" s="259">
        <f>J57+J65</f>
        <v>42967.110000000008</v>
      </c>
      <c r="K67" s="411"/>
      <c r="L67" s="259">
        <f>L57+L65</f>
        <v>12361.979999999949</v>
      </c>
      <c r="M67" s="259"/>
      <c r="N67" s="636"/>
    </row>
    <row r="68" spans="1:14" s="69" customFormat="1" ht="8.25" customHeight="1" x14ac:dyDescent="0.2">
      <c r="A68" s="68"/>
      <c r="B68" s="450"/>
      <c r="C68" s="68"/>
      <c r="D68" s="68"/>
      <c r="E68" s="68"/>
      <c r="F68" s="68"/>
      <c r="G68" s="254"/>
      <c r="H68" s="254"/>
      <c r="I68" s="254"/>
      <c r="J68" s="254"/>
      <c r="K68" s="411"/>
      <c r="L68" s="461"/>
      <c r="M68" s="461"/>
      <c r="N68" s="636"/>
    </row>
    <row r="69" spans="1:14" s="83" customFormat="1" ht="26.25" x14ac:dyDescent="0.2">
      <c r="A69" s="294"/>
      <c r="B69" s="451"/>
      <c r="C69" s="68"/>
      <c r="D69" s="68" t="s">
        <v>161</v>
      </c>
      <c r="E69" s="68"/>
      <c r="F69" s="68"/>
      <c r="G69" s="259">
        <f>H70</f>
        <v>650442</v>
      </c>
      <c r="H69" s="259">
        <v>609247</v>
      </c>
      <c r="I69" s="259"/>
      <c r="J69" s="259">
        <f>H69</f>
        <v>609247</v>
      </c>
      <c r="K69" s="414"/>
      <c r="L69" s="462"/>
      <c r="M69" s="462"/>
      <c r="N69" s="641"/>
    </row>
    <row r="70" spans="1:14" s="85" customFormat="1" ht="21" thickBot="1" x14ac:dyDescent="0.25">
      <c r="A70" s="68"/>
      <c r="B70" s="450"/>
      <c r="C70" s="68"/>
      <c r="E70" s="68" t="s">
        <v>160</v>
      </c>
      <c r="F70" s="68"/>
      <c r="G70" s="357">
        <f>G67+G69</f>
        <v>705771.08999999985</v>
      </c>
      <c r="H70" s="357">
        <v>650442</v>
      </c>
      <c r="I70" s="299"/>
      <c r="J70" s="357">
        <f t="shared" ref="J70" si="5">J67+J69</f>
        <v>652214.11</v>
      </c>
      <c r="K70" s="415"/>
      <c r="L70" s="299"/>
      <c r="M70" s="462"/>
      <c r="N70" s="641"/>
    </row>
    <row r="71" spans="1:14" s="66" customFormat="1" ht="6.75" customHeight="1" thickTop="1" x14ac:dyDescent="0.2">
      <c r="A71" s="294"/>
      <c r="B71" s="451"/>
      <c r="C71" s="68"/>
      <c r="D71" s="294"/>
      <c r="E71" s="294"/>
      <c r="F71" s="294"/>
      <c r="G71" s="296"/>
      <c r="H71" s="254"/>
      <c r="I71" s="254"/>
      <c r="J71" s="254"/>
      <c r="K71" s="410"/>
      <c r="L71" s="461"/>
      <c r="M71" s="461"/>
      <c r="N71" s="636"/>
    </row>
    <row r="72" spans="1:14" s="69" customFormat="1" ht="16.5" customHeight="1" x14ac:dyDescent="0.2">
      <c r="A72" s="68"/>
      <c r="B72" s="450"/>
      <c r="D72" s="380"/>
      <c r="E72" s="68"/>
      <c r="G72" s="254"/>
      <c r="H72" s="254"/>
      <c r="I72" s="254"/>
      <c r="J72" s="254"/>
      <c r="K72" s="411"/>
      <c r="L72" s="461"/>
      <c r="M72" s="461"/>
      <c r="N72" s="636"/>
    </row>
    <row r="73" spans="1:14" s="69" customFormat="1" ht="23.25" x14ac:dyDescent="0.2">
      <c r="A73" s="68"/>
      <c r="B73" s="452"/>
      <c r="C73" s="68"/>
      <c r="D73" s="68"/>
      <c r="E73" s="68"/>
      <c r="F73" s="68"/>
      <c r="G73" s="254"/>
      <c r="H73" s="254"/>
      <c r="I73" s="254"/>
      <c r="J73" s="254"/>
      <c r="K73" s="411"/>
      <c r="L73" s="461"/>
      <c r="M73" s="461"/>
      <c r="N73" s="636"/>
    </row>
    <row r="74" spans="1:14" s="69" customFormat="1" ht="20.25" x14ac:dyDescent="0.2">
      <c r="A74" s="68"/>
      <c r="B74" s="450"/>
      <c r="C74" s="68"/>
      <c r="D74" s="68"/>
      <c r="E74" s="68"/>
      <c r="F74" s="68"/>
      <c r="G74" s="254"/>
      <c r="H74" s="254"/>
      <c r="I74" s="254"/>
      <c r="J74" s="254"/>
      <c r="K74" s="411"/>
      <c r="L74" s="461"/>
      <c r="M74" s="461"/>
      <c r="N74" s="636"/>
    </row>
    <row r="75" spans="1:14" s="77" customFormat="1" ht="20.25" x14ac:dyDescent="0.2">
      <c r="A75" s="80"/>
      <c r="B75" s="446"/>
      <c r="C75" s="80"/>
      <c r="D75" s="80"/>
      <c r="F75" s="80"/>
      <c r="G75" s="269"/>
      <c r="H75" s="254"/>
      <c r="I75" s="254"/>
      <c r="J75" s="254"/>
      <c r="K75" s="413"/>
      <c r="L75" s="461"/>
      <c r="M75" s="461"/>
      <c r="N75" s="636"/>
    </row>
    <row r="76" spans="1:14" s="77" customFormat="1" ht="20.25" x14ac:dyDescent="0.2">
      <c r="A76" s="80"/>
      <c r="B76" s="446"/>
      <c r="C76" s="80"/>
      <c r="D76" s="80"/>
      <c r="F76" s="80"/>
      <c r="G76" s="254"/>
      <c r="H76" s="254"/>
      <c r="I76" s="254"/>
      <c r="J76" s="254"/>
      <c r="K76" s="413"/>
      <c r="L76" s="461"/>
      <c r="M76" s="461"/>
      <c r="N76" s="636"/>
    </row>
    <row r="77" spans="1:14" s="77" customFormat="1" ht="20.25" x14ac:dyDescent="0.2">
      <c r="A77" s="80"/>
      <c r="B77" s="446"/>
      <c r="C77" s="80"/>
      <c r="D77" s="80"/>
      <c r="F77" s="80"/>
      <c r="G77" s="254"/>
      <c r="H77" s="254"/>
      <c r="I77" s="254"/>
      <c r="J77" s="254"/>
      <c r="K77" s="413"/>
      <c r="L77" s="461"/>
      <c r="M77" s="461"/>
      <c r="N77" s="636"/>
    </row>
    <row r="78" spans="1:14" s="77" customFormat="1" ht="20.25" x14ac:dyDescent="0.2">
      <c r="A78" s="80"/>
      <c r="B78" s="80"/>
      <c r="C78" s="80"/>
      <c r="D78" s="80"/>
      <c r="F78" s="80"/>
      <c r="G78" s="254"/>
      <c r="H78" s="254"/>
      <c r="I78" s="254"/>
      <c r="J78" s="254"/>
      <c r="K78" s="413"/>
      <c r="L78" s="461"/>
      <c r="M78" s="461"/>
      <c r="N78" s="636"/>
    </row>
    <row r="79" spans="1:14" s="77" customFormat="1" ht="20.25" x14ac:dyDescent="0.2">
      <c r="A79" s="80"/>
      <c r="B79" s="80"/>
      <c r="C79" s="80"/>
      <c r="D79" s="80"/>
      <c r="F79" s="80"/>
      <c r="G79" s="254"/>
      <c r="H79" s="254"/>
      <c r="I79" s="254"/>
      <c r="J79" s="254"/>
      <c r="K79" s="413"/>
      <c r="L79" s="461"/>
      <c r="M79" s="461"/>
      <c r="N79" s="636"/>
    </row>
    <row r="80" spans="1:14" s="77" customFormat="1" ht="20.25" x14ac:dyDescent="0.2">
      <c r="A80" s="80"/>
      <c r="B80" s="80"/>
      <c r="C80" s="80"/>
      <c r="D80" s="80"/>
      <c r="F80" s="80"/>
      <c r="G80" s="254"/>
      <c r="H80" s="254"/>
      <c r="I80" s="254"/>
      <c r="J80" s="254"/>
      <c r="K80" s="413"/>
      <c r="L80" s="461"/>
      <c r="M80" s="461"/>
      <c r="N80" s="636"/>
    </row>
    <row r="81" spans="1:14" s="77" customFormat="1" ht="20.25" x14ac:dyDescent="0.2">
      <c r="A81" s="80"/>
      <c r="B81" s="80"/>
      <c r="C81" s="68"/>
      <c r="D81" s="80"/>
      <c r="F81" s="80"/>
      <c r="G81" s="254"/>
      <c r="H81" s="254"/>
      <c r="I81" s="254"/>
      <c r="J81" s="254"/>
      <c r="K81" s="413"/>
      <c r="L81" s="461"/>
      <c r="M81" s="461"/>
      <c r="N81" s="636"/>
    </row>
    <row r="82" spans="1:14" s="77" customFormat="1" ht="20.25" x14ac:dyDescent="0.2">
      <c r="A82" s="80"/>
      <c r="B82" s="80"/>
      <c r="C82" s="80"/>
      <c r="D82" s="80"/>
      <c r="E82" s="80"/>
      <c r="F82" s="80"/>
      <c r="G82" s="254"/>
      <c r="H82" s="254"/>
      <c r="I82" s="254"/>
      <c r="J82" s="254"/>
      <c r="K82" s="413"/>
      <c r="L82" s="461"/>
      <c r="M82" s="461"/>
      <c r="N82" s="636"/>
    </row>
    <row r="83" spans="1:14" s="77" customFormat="1" ht="20.25" x14ac:dyDescent="0.2">
      <c r="A83" s="80"/>
      <c r="B83" s="80"/>
      <c r="C83" s="68"/>
      <c r="D83" s="68"/>
      <c r="G83" s="254"/>
      <c r="H83" s="254"/>
      <c r="I83" s="254"/>
      <c r="J83" s="254"/>
      <c r="K83" s="413"/>
      <c r="L83" s="461"/>
      <c r="M83" s="461"/>
      <c r="N83" s="636"/>
    </row>
    <row r="84" spans="1:14" s="77" customFormat="1" ht="20.25" x14ac:dyDescent="0.2">
      <c r="A84" s="80"/>
      <c r="B84" s="80"/>
      <c r="C84" s="80"/>
      <c r="D84" s="80"/>
      <c r="E84" s="80"/>
      <c r="F84" s="80"/>
      <c r="G84" s="254"/>
      <c r="H84" s="254"/>
      <c r="I84" s="254"/>
      <c r="J84" s="254"/>
      <c r="K84" s="413"/>
      <c r="L84" s="461"/>
      <c r="M84" s="461"/>
      <c r="N84" s="636"/>
    </row>
    <row r="85" spans="1:14" s="77" customFormat="1" ht="20.25" x14ac:dyDescent="0.2">
      <c r="A85" s="80"/>
      <c r="B85" s="80"/>
      <c r="C85" s="80"/>
      <c r="D85" s="80"/>
      <c r="E85" s="80"/>
      <c r="F85" s="80"/>
      <c r="G85" s="254"/>
      <c r="H85" s="254"/>
      <c r="I85" s="254"/>
      <c r="J85" s="254"/>
      <c r="K85" s="413"/>
      <c r="L85" s="461"/>
      <c r="M85" s="461"/>
      <c r="N85" s="636"/>
    </row>
    <row r="86" spans="1:14" s="77" customFormat="1" ht="20.25" x14ac:dyDescent="0.2">
      <c r="A86" s="80"/>
      <c r="B86" s="80"/>
      <c r="C86" s="80"/>
      <c r="D86" s="80"/>
      <c r="E86" s="80"/>
      <c r="F86" s="80"/>
      <c r="G86" s="254"/>
      <c r="H86" s="254"/>
      <c r="I86" s="254"/>
      <c r="J86" s="254"/>
      <c r="K86" s="413"/>
      <c r="L86" s="461"/>
      <c r="M86" s="461"/>
      <c r="N86" s="636"/>
    </row>
    <row r="87" spans="1:14" s="77" customFormat="1" ht="20.25" x14ac:dyDescent="0.2">
      <c r="A87" s="80"/>
      <c r="B87" s="80"/>
      <c r="C87" s="80"/>
      <c r="D87" s="80"/>
      <c r="E87" s="80"/>
      <c r="F87" s="80"/>
      <c r="G87" s="254"/>
      <c r="H87" s="254"/>
      <c r="I87" s="254"/>
      <c r="J87" s="254"/>
      <c r="K87" s="413"/>
      <c r="L87" s="461"/>
      <c r="M87" s="461"/>
      <c r="N87" s="636"/>
    </row>
    <row r="88" spans="1:14" s="77" customFormat="1" ht="20.25" x14ac:dyDescent="0.2">
      <c r="A88" s="80"/>
      <c r="B88" s="80"/>
      <c r="C88" s="68"/>
      <c r="D88" s="80"/>
      <c r="F88" s="80"/>
      <c r="G88" s="254"/>
      <c r="H88" s="254"/>
      <c r="I88" s="254"/>
      <c r="J88" s="254"/>
      <c r="K88" s="413"/>
      <c r="L88" s="461"/>
      <c r="M88" s="461"/>
      <c r="N88" s="636"/>
    </row>
    <row r="89" spans="1:14" s="77" customFormat="1" ht="20.25" x14ac:dyDescent="0.2">
      <c r="A89" s="80"/>
      <c r="B89" s="80"/>
      <c r="C89" s="80"/>
      <c r="D89" s="80"/>
      <c r="E89" s="80"/>
      <c r="F89" s="80"/>
      <c r="G89" s="254"/>
      <c r="H89" s="254"/>
      <c r="I89" s="254"/>
      <c r="J89" s="254"/>
      <c r="K89" s="413"/>
      <c r="L89" s="461"/>
      <c r="M89" s="461"/>
      <c r="N89" s="636"/>
    </row>
    <row r="90" spans="1:14" s="69" customFormat="1" ht="20.25" x14ac:dyDescent="0.2">
      <c r="A90" s="68"/>
      <c r="B90" s="68"/>
      <c r="C90" s="68"/>
      <c r="D90" s="68"/>
      <c r="E90" s="68"/>
      <c r="F90" s="68"/>
      <c r="G90" s="259"/>
      <c r="H90" s="259"/>
      <c r="I90" s="259"/>
      <c r="J90" s="259"/>
      <c r="K90" s="411"/>
      <c r="N90" s="636"/>
    </row>
    <row r="91" spans="1:14" s="69" customFormat="1" ht="20.25" x14ac:dyDescent="0.2">
      <c r="A91" s="68"/>
      <c r="B91" s="68"/>
      <c r="C91" s="68"/>
      <c r="D91" s="68"/>
      <c r="E91" s="68"/>
      <c r="F91" s="68"/>
      <c r="G91" s="259"/>
      <c r="H91" s="259"/>
      <c r="I91" s="259"/>
      <c r="J91" s="259"/>
      <c r="K91" s="411"/>
      <c r="N91" s="636"/>
    </row>
    <row r="92" spans="1:14" s="69" customFormat="1" ht="23.25" x14ac:dyDescent="0.2">
      <c r="A92" s="68"/>
      <c r="B92" s="297"/>
      <c r="C92" s="68"/>
      <c r="D92" s="68"/>
      <c r="E92" s="68"/>
      <c r="F92" s="68"/>
      <c r="G92" s="254"/>
      <c r="H92" s="254"/>
      <c r="I92" s="254"/>
      <c r="J92" s="254"/>
      <c r="K92" s="411"/>
      <c r="N92" s="636"/>
    </row>
    <row r="93" spans="1:14" s="77" customFormat="1" ht="20.25" x14ac:dyDescent="0.2">
      <c r="A93" s="80"/>
      <c r="B93" s="80"/>
      <c r="D93" s="80"/>
      <c r="E93" s="80"/>
      <c r="F93" s="80"/>
      <c r="G93" s="254"/>
      <c r="H93" s="254"/>
      <c r="I93" s="254"/>
      <c r="J93" s="254"/>
      <c r="K93" s="413"/>
      <c r="N93" s="636"/>
    </row>
    <row r="94" spans="1:14" s="77" customFormat="1" ht="20.25" x14ac:dyDescent="0.2">
      <c r="A94" s="80"/>
      <c r="B94" s="80"/>
      <c r="D94" s="80"/>
      <c r="E94" s="80"/>
      <c r="F94" s="80"/>
      <c r="G94" s="254"/>
      <c r="H94" s="254"/>
      <c r="I94" s="254"/>
      <c r="J94" s="254"/>
      <c r="K94" s="413"/>
      <c r="N94" s="636"/>
    </row>
    <row r="95" spans="1:14" s="69" customFormat="1" ht="20.25" x14ac:dyDescent="0.2">
      <c r="A95" s="68"/>
      <c r="B95" s="68"/>
      <c r="D95" s="80"/>
      <c r="E95" s="68"/>
      <c r="F95" s="68"/>
      <c r="G95" s="254"/>
      <c r="H95" s="254"/>
      <c r="I95" s="254"/>
      <c r="J95" s="254"/>
      <c r="K95" s="411"/>
      <c r="N95" s="636"/>
    </row>
    <row r="96" spans="1:14" s="69" customFormat="1" ht="23.25" x14ac:dyDescent="0.2">
      <c r="A96" s="68"/>
      <c r="B96" s="297"/>
      <c r="C96" s="68"/>
      <c r="D96" s="68"/>
      <c r="E96" s="68"/>
      <c r="F96" s="68"/>
      <c r="G96" s="259"/>
      <c r="H96" s="259"/>
      <c r="I96" s="259"/>
      <c r="J96" s="259"/>
      <c r="K96" s="411"/>
      <c r="N96" s="636"/>
    </row>
    <row r="97" spans="1:14" s="69" customFormat="1" ht="20.25" x14ac:dyDescent="0.2">
      <c r="A97" s="68"/>
      <c r="B97" s="68"/>
      <c r="C97" s="68"/>
      <c r="D97" s="68"/>
      <c r="E97" s="68"/>
      <c r="F97" s="68"/>
      <c r="G97" s="254"/>
      <c r="H97" s="254"/>
      <c r="I97" s="254"/>
      <c r="J97" s="254"/>
      <c r="K97" s="411"/>
      <c r="N97" s="636"/>
    </row>
    <row r="98" spans="1:14" s="83" customFormat="1" ht="26.25" x14ac:dyDescent="0.2">
      <c r="A98" s="294"/>
      <c r="B98" s="294"/>
      <c r="C98" s="294"/>
      <c r="D98" s="294"/>
      <c r="E98" s="294"/>
      <c r="F98" s="294"/>
      <c r="G98" s="295"/>
      <c r="H98" s="259"/>
      <c r="I98" s="259"/>
      <c r="J98" s="259"/>
      <c r="K98" s="414"/>
      <c r="N98" s="641"/>
    </row>
    <row r="99" spans="1:14" s="18" customFormat="1" ht="20.25" x14ac:dyDescent="0.3">
      <c r="A99" s="123"/>
      <c r="B99" s="123"/>
      <c r="C99" s="123"/>
      <c r="D99" s="123"/>
      <c r="E99" s="123"/>
      <c r="F99" s="123"/>
      <c r="G99" s="298"/>
      <c r="H99" s="303"/>
      <c r="I99" s="303"/>
      <c r="J99" s="303"/>
      <c r="K99" s="416"/>
      <c r="N99" s="642"/>
    </row>
    <row r="100" spans="1:14" ht="20.25" x14ac:dyDescent="0.3">
      <c r="H100" s="303"/>
      <c r="I100" s="303"/>
      <c r="J100" s="303"/>
    </row>
    <row r="101" spans="1:14" ht="20.25" x14ac:dyDescent="0.3">
      <c r="H101" s="303"/>
      <c r="I101" s="303"/>
      <c r="J101" s="303"/>
    </row>
    <row r="102" spans="1:14" ht="20.25" x14ac:dyDescent="0.3">
      <c r="H102" s="300"/>
      <c r="I102" s="300"/>
      <c r="J102" s="300"/>
    </row>
  </sheetData>
  <mergeCells count="3">
    <mergeCell ref="L8:M8"/>
    <mergeCell ref="G6:J6"/>
    <mergeCell ref="D16:F16"/>
  </mergeCells>
  <pageMargins left="0.9" right="0.15" top="0.25" bottom="0.25" header="0.3" footer="0.3"/>
  <pageSetup scale="4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80"/>
  <sheetViews>
    <sheetView zoomScale="75" zoomScaleNormal="75" workbookViewId="0">
      <selection activeCell="J34" sqref="J34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266" hidden="1" customWidth="1"/>
    <col min="8" max="8" width="23.125" style="18" hidden="1" customWidth="1"/>
    <col min="9" max="9" width="1.625" style="18" hidden="1" customWidth="1"/>
    <col min="10" max="10" width="26.875" style="18" customWidth="1"/>
    <col min="11" max="11" width="22.625" style="18" customWidth="1"/>
    <col min="12" max="12" width="1.625" style="18" customWidth="1"/>
    <col min="13" max="13" width="23.125" style="18" customWidth="1"/>
    <col min="14" max="14" width="2.125" style="18" hidden="1" customWidth="1"/>
    <col min="15" max="15" width="21.625" style="18" hidden="1" customWidth="1"/>
    <col min="16" max="16" width="1.75" style="18" hidden="1" customWidth="1"/>
    <col min="17" max="17" width="15.25" style="18" bestFit="1" customWidth="1"/>
    <col min="18" max="18" width="10.625" style="18" customWidth="1"/>
    <col min="19" max="19" width="9" style="18"/>
    <col min="20" max="20" width="16.875" style="18" bestFit="1" customWidth="1"/>
    <col min="21" max="21" width="10" style="18" bestFit="1" customWidth="1"/>
    <col min="22" max="63" width="9" style="18"/>
    <col min="257" max="257" width="2.875" customWidth="1"/>
    <col min="258" max="258" width="8.125" customWidth="1"/>
    <col min="259" max="259" width="8.75" customWidth="1"/>
    <col min="260" max="260" width="11" customWidth="1"/>
    <col min="261" max="261" width="2.875" customWidth="1"/>
    <col min="262" max="262" width="77.625" customWidth="1"/>
    <col min="263" max="263" width="20.875" customWidth="1"/>
    <col min="513" max="513" width="2.875" customWidth="1"/>
    <col min="514" max="514" width="8.125" customWidth="1"/>
    <col min="515" max="515" width="8.75" customWidth="1"/>
    <col min="516" max="516" width="11" customWidth="1"/>
    <col min="517" max="517" width="2.875" customWidth="1"/>
    <col min="518" max="518" width="77.625" customWidth="1"/>
    <col min="519" max="519" width="20.875" customWidth="1"/>
    <col min="769" max="769" width="2.875" customWidth="1"/>
    <col min="770" max="770" width="8.125" customWidth="1"/>
    <col min="771" max="771" width="8.75" customWidth="1"/>
    <col min="772" max="772" width="11" customWidth="1"/>
    <col min="773" max="773" width="2.875" customWidth="1"/>
    <col min="774" max="774" width="77.625" customWidth="1"/>
    <col min="775" max="775" width="20.875" customWidth="1"/>
    <col min="1025" max="1025" width="2.875" customWidth="1"/>
    <col min="1026" max="1026" width="8.125" customWidth="1"/>
    <col min="1027" max="1027" width="8.75" customWidth="1"/>
    <col min="1028" max="1028" width="11" customWidth="1"/>
    <col min="1029" max="1029" width="2.875" customWidth="1"/>
    <col min="1030" max="1030" width="77.625" customWidth="1"/>
    <col min="1031" max="1031" width="20.875" customWidth="1"/>
    <col min="1281" max="1281" width="2.875" customWidth="1"/>
    <col min="1282" max="1282" width="8.125" customWidth="1"/>
    <col min="1283" max="1283" width="8.75" customWidth="1"/>
    <col min="1284" max="1284" width="11" customWidth="1"/>
    <col min="1285" max="1285" width="2.875" customWidth="1"/>
    <col min="1286" max="1286" width="77.625" customWidth="1"/>
    <col min="1287" max="1287" width="20.875" customWidth="1"/>
    <col min="1537" max="1537" width="2.875" customWidth="1"/>
    <col min="1538" max="1538" width="8.125" customWidth="1"/>
    <col min="1539" max="1539" width="8.75" customWidth="1"/>
    <col min="1540" max="1540" width="11" customWidth="1"/>
    <col min="1541" max="1541" width="2.875" customWidth="1"/>
    <col min="1542" max="1542" width="77.625" customWidth="1"/>
    <col min="1543" max="1543" width="20.875" customWidth="1"/>
    <col min="1793" max="1793" width="2.875" customWidth="1"/>
    <col min="1794" max="1794" width="8.125" customWidth="1"/>
    <col min="1795" max="1795" width="8.75" customWidth="1"/>
    <col min="1796" max="1796" width="11" customWidth="1"/>
    <col min="1797" max="1797" width="2.875" customWidth="1"/>
    <col min="1798" max="1798" width="77.625" customWidth="1"/>
    <col min="1799" max="1799" width="20.875" customWidth="1"/>
    <col min="2049" max="2049" width="2.875" customWidth="1"/>
    <col min="2050" max="2050" width="8.125" customWidth="1"/>
    <col min="2051" max="2051" width="8.75" customWidth="1"/>
    <col min="2052" max="2052" width="11" customWidth="1"/>
    <col min="2053" max="2053" width="2.875" customWidth="1"/>
    <col min="2054" max="2054" width="77.625" customWidth="1"/>
    <col min="2055" max="2055" width="20.875" customWidth="1"/>
    <col min="2305" max="2305" width="2.875" customWidth="1"/>
    <col min="2306" max="2306" width="8.125" customWidth="1"/>
    <col min="2307" max="2307" width="8.75" customWidth="1"/>
    <col min="2308" max="2308" width="11" customWidth="1"/>
    <col min="2309" max="2309" width="2.875" customWidth="1"/>
    <col min="2310" max="2310" width="77.625" customWidth="1"/>
    <col min="2311" max="2311" width="20.875" customWidth="1"/>
    <col min="2561" max="2561" width="2.875" customWidth="1"/>
    <col min="2562" max="2562" width="8.125" customWidth="1"/>
    <col min="2563" max="2563" width="8.75" customWidth="1"/>
    <col min="2564" max="2564" width="11" customWidth="1"/>
    <col min="2565" max="2565" width="2.875" customWidth="1"/>
    <col min="2566" max="2566" width="77.625" customWidth="1"/>
    <col min="2567" max="2567" width="20.875" customWidth="1"/>
    <col min="2817" max="2817" width="2.875" customWidth="1"/>
    <col min="2818" max="2818" width="8.125" customWidth="1"/>
    <col min="2819" max="2819" width="8.75" customWidth="1"/>
    <col min="2820" max="2820" width="11" customWidth="1"/>
    <col min="2821" max="2821" width="2.875" customWidth="1"/>
    <col min="2822" max="2822" width="77.625" customWidth="1"/>
    <col min="2823" max="2823" width="20.875" customWidth="1"/>
    <col min="3073" max="3073" width="2.875" customWidth="1"/>
    <col min="3074" max="3074" width="8.125" customWidth="1"/>
    <col min="3075" max="3075" width="8.75" customWidth="1"/>
    <col min="3076" max="3076" width="11" customWidth="1"/>
    <col min="3077" max="3077" width="2.875" customWidth="1"/>
    <col min="3078" max="3078" width="77.625" customWidth="1"/>
    <col min="3079" max="3079" width="20.875" customWidth="1"/>
    <col min="3329" max="3329" width="2.875" customWidth="1"/>
    <col min="3330" max="3330" width="8.125" customWidth="1"/>
    <col min="3331" max="3331" width="8.75" customWidth="1"/>
    <col min="3332" max="3332" width="11" customWidth="1"/>
    <col min="3333" max="3333" width="2.875" customWidth="1"/>
    <col min="3334" max="3334" width="77.625" customWidth="1"/>
    <col min="3335" max="3335" width="20.875" customWidth="1"/>
    <col min="3585" max="3585" width="2.875" customWidth="1"/>
    <col min="3586" max="3586" width="8.125" customWidth="1"/>
    <col min="3587" max="3587" width="8.75" customWidth="1"/>
    <col min="3588" max="3588" width="11" customWidth="1"/>
    <col min="3589" max="3589" width="2.875" customWidth="1"/>
    <col min="3590" max="3590" width="77.625" customWidth="1"/>
    <col min="3591" max="3591" width="20.875" customWidth="1"/>
    <col min="3841" max="3841" width="2.875" customWidth="1"/>
    <col min="3842" max="3842" width="8.125" customWidth="1"/>
    <col min="3843" max="3843" width="8.75" customWidth="1"/>
    <col min="3844" max="3844" width="11" customWidth="1"/>
    <col min="3845" max="3845" width="2.875" customWidth="1"/>
    <col min="3846" max="3846" width="77.625" customWidth="1"/>
    <col min="3847" max="3847" width="20.875" customWidth="1"/>
    <col min="4097" max="4097" width="2.875" customWidth="1"/>
    <col min="4098" max="4098" width="8.125" customWidth="1"/>
    <col min="4099" max="4099" width="8.75" customWidth="1"/>
    <col min="4100" max="4100" width="11" customWidth="1"/>
    <col min="4101" max="4101" width="2.875" customWidth="1"/>
    <col min="4102" max="4102" width="77.625" customWidth="1"/>
    <col min="4103" max="4103" width="20.875" customWidth="1"/>
    <col min="4353" max="4353" width="2.875" customWidth="1"/>
    <col min="4354" max="4354" width="8.125" customWidth="1"/>
    <col min="4355" max="4355" width="8.75" customWidth="1"/>
    <col min="4356" max="4356" width="11" customWidth="1"/>
    <col min="4357" max="4357" width="2.875" customWidth="1"/>
    <col min="4358" max="4358" width="77.625" customWidth="1"/>
    <col min="4359" max="4359" width="20.875" customWidth="1"/>
    <col min="4609" max="4609" width="2.875" customWidth="1"/>
    <col min="4610" max="4610" width="8.125" customWidth="1"/>
    <col min="4611" max="4611" width="8.75" customWidth="1"/>
    <col min="4612" max="4612" width="11" customWidth="1"/>
    <col min="4613" max="4613" width="2.875" customWidth="1"/>
    <col min="4614" max="4614" width="77.625" customWidth="1"/>
    <col min="4615" max="4615" width="20.875" customWidth="1"/>
    <col min="4865" max="4865" width="2.875" customWidth="1"/>
    <col min="4866" max="4866" width="8.125" customWidth="1"/>
    <col min="4867" max="4867" width="8.75" customWidth="1"/>
    <col min="4868" max="4868" width="11" customWidth="1"/>
    <col min="4869" max="4869" width="2.875" customWidth="1"/>
    <col min="4870" max="4870" width="77.625" customWidth="1"/>
    <col min="4871" max="4871" width="20.875" customWidth="1"/>
    <col min="5121" max="5121" width="2.875" customWidth="1"/>
    <col min="5122" max="5122" width="8.125" customWidth="1"/>
    <col min="5123" max="5123" width="8.75" customWidth="1"/>
    <col min="5124" max="5124" width="11" customWidth="1"/>
    <col min="5125" max="5125" width="2.875" customWidth="1"/>
    <col min="5126" max="5126" width="77.625" customWidth="1"/>
    <col min="5127" max="5127" width="20.875" customWidth="1"/>
    <col min="5377" max="5377" width="2.875" customWidth="1"/>
    <col min="5378" max="5378" width="8.125" customWidth="1"/>
    <col min="5379" max="5379" width="8.75" customWidth="1"/>
    <col min="5380" max="5380" width="11" customWidth="1"/>
    <col min="5381" max="5381" width="2.875" customWidth="1"/>
    <col min="5382" max="5382" width="77.625" customWidth="1"/>
    <col min="5383" max="5383" width="20.875" customWidth="1"/>
    <col min="5633" max="5633" width="2.875" customWidth="1"/>
    <col min="5634" max="5634" width="8.125" customWidth="1"/>
    <col min="5635" max="5635" width="8.75" customWidth="1"/>
    <col min="5636" max="5636" width="11" customWidth="1"/>
    <col min="5637" max="5637" width="2.875" customWidth="1"/>
    <col min="5638" max="5638" width="77.625" customWidth="1"/>
    <col min="5639" max="5639" width="20.875" customWidth="1"/>
    <col min="5889" max="5889" width="2.875" customWidth="1"/>
    <col min="5890" max="5890" width="8.125" customWidth="1"/>
    <col min="5891" max="5891" width="8.75" customWidth="1"/>
    <col min="5892" max="5892" width="11" customWidth="1"/>
    <col min="5893" max="5893" width="2.875" customWidth="1"/>
    <col min="5894" max="5894" width="77.625" customWidth="1"/>
    <col min="5895" max="5895" width="20.875" customWidth="1"/>
    <col min="6145" max="6145" width="2.875" customWidth="1"/>
    <col min="6146" max="6146" width="8.125" customWidth="1"/>
    <col min="6147" max="6147" width="8.75" customWidth="1"/>
    <col min="6148" max="6148" width="11" customWidth="1"/>
    <col min="6149" max="6149" width="2.875" customWidth="1"/>
    <col min="6150" max="6150" width="77.625" customWidth="1"/>
    <col min="6151" max="6151" width="20.875" customWidth="1"/>
    <col min="6401" max="6401" width="2.875" customWidth="1"/>
    <col min="6402" max="6402" width="8.125" customWidth="1"/>
    <col min="6403" max="6403" width="8.75" customWidth="1"/>
    <col min="6404" max="6404" width="11" customWidth="1"/>
    <col min="6405" max="6405" width="2.875" customWidth="1"/>
    <col min="6406" max="6406" width="77.625" customWidth="1"/>
    <col min="6407" max="6407" width="20.875" customWidth="1"/>
    <col min="6657" max="6657" width="2.875" customWidth="1"/>
    <col min="6658" max="6658" width="8.125" customWidth="1"/>
    <col min="6659" max="6659" width="8.75" customWidth="1"/>
    <col min="6660" max="6660" width="11" customWidth="1"/>
    <col min="6661" max="6661" width="2.875" customWidth="1"/>
    <col min="6662" max="6662" width="77.625" customWidth="1"/>
    <col min="6663" max="6663" width="20.875" customWidth="1"/>
    <col min="6913" max="6913" width="2.875" customWidth="1"/>
    <col min="6914" max="6914" width="8.125" customWidth="1"/>
    <col min="6915" max="6915" width="8.75" customWidth="1"/>
    <col min="6916" max="6916" width="11" customWidth="1"/>
    <col min="6917" max="6917" width="2.875" customWidth="1"/>
    <col min="6918" max="6918" width="77.625" customWidth="1"/>
    <col min="6919" max="6919" width="20.875" customWidth="1"/>
    <col min="7169" max="7169" width="2.875" customWidth="1"/>
    <col min="7170" max="7170" width="8.125" customWidth="1"/>
    <col min="7171" max="7171" width="8.75" customWidth="1"/>
    <col min="7172" max="7172" width="11" customWidth="1"/>
    <col min="7173" max="7173" width="2.875" customWidth="1"/>
    <col min="7174" max="7174" width="77.625" customWidth="1"/>
    <col min="7175" max="7175" width="20.875" customWidth="1"/>
    <col min="7425" max="7425" width="2.875" customWidth="1"/>
    <col min="7426" max="7426" width="8.125" customWidth="1"/>
    <col min="7427" max="7427" width="8.75" customWidth="1"/>
    <col min="7428" max="7428" width="11" customWidth="1"/>
    <col min="7429" max="7429" width="2.875" customWidth="1"/>
    <col min="7430" max="7430" width="77.625" customWidth="1"/>
    <col min="7431" max="7431" width="20.875" customWidth="1"/>
    <col min="7681" max="7681" width="2.875" customWidth="1"/>
    <col min="7682" max="7682" width="8.125" customWidth="1"/>
    <col min="7683" max="7683" width="8.75" customWidth="1"/>
    <col min="7684" max="7684" width="11" customWidth="1"/>
    <col min="7685" max="7685" width="2.875" customWidth="1"/>
    <col min="7686" max="7686" width="77.625" customWidth="1"/>
    <col min="7687" max="7687" width="20.875" customWidth="1"/>
    <col min="7937" max="7937" width="2.875" customWidth="1"/>
    <col min="7938" max="7938" width="8.125" customWidth="1"/>
    <col min="7939" max="7939" width="8.75" customWidth="1"/>
    <col min="7940" max="7940" width="11" customWidth="1"/>
    <col min="7941" max="7941" width="2.875" customWidth="1"/>
    <col min="7942" max="7942" width="77.625" customWidth="1"/>
    <col min="7943" max="7943" width="20.875" customWidth="1"/>
    <col min="8193" max="8193" width="2.875" customWidth="1"/>
    <col min="8194" max="8194" width="8.125" customWidth="1"/>
    <col min="8195" max="8195" width="8.75" customWidth="1"/>
    <col min="8196" max="8196" width="11" customWidth="1"/>
    <col min="8197" max="8197" width="2.875" customWidth="1"/>
    <col min="8198" max="8198" width="77.625" customWidth="1"/>
    <col min="8199" max="8199" width="20.875" customWidth="1"/>
    <col min="8449" max="8449" width="2.875" customWidth="1"/>
    <col min="8450" max="8450" width="8.125" customWidth="1"/>
    <col min="8451" max="8451" width="8.75" customWidth="1"/>
    <col min="8452" max="8452" width="11" customWidth="1"/>
    <col min="8453" max="8453" width="2.875" customWidth="1"/>
    <col min="8454" max="8454" width="77.625" customWidth="1"/>
    <col min="8455" max="8455" width="20.875" customWidth="1"/>
    <col min="8705" max="8705" width="2.875" customWidth="1"/>
    <col min="8706" max="8706" width="8.125" customWidth="1"/>
    <col min="8707" max="8707" width="8.75" customWidth="1"/>
    <col min="8708" max="8708" width="11" customWidth="1"/>
    <col min="8709" max="8709" width="2.875" customWidth="1"/>
    <col min="8710" max="8710" width="77.625" customWidth="1"/>
    <col min="8711" max="8711" width="20.875" customWidth="1"/>
    <col min="8961" max="8961" width="2.875" customWidth="1"/>
    <col min="8962" max="8962" width="8.125" customWidth="1"/>
    <col min="8963" max="8963" width="8.75" customWidth="1"/>
    <col min="8964" max="8964" width="11" customWidth="1"/>
    <col min="8965" max="8965" width="2.875" customWidth="1"/>
    <col min="8966" max="8966" width="77.625" customWidth="1"/>
    <col min="8967" max="8967" width="20.875" customWidth="1"/>
    <col min="9217" max="9217" width="2.875" customWidth="1"/>
    <col min="9218" max="9218" width="8.125" customWidth="1"/>
    <col min="9219" max="9219" width="8.75" customWidth="1"/>
    <col min="9220" max="9220" width="11" customWidth="1"/>
    <col min="9221" max="9221" width="2.875" customWidth="1"/>
    <col min="9222" max="9222" width="77.625" customWidth="1"/>
    <col min="9223" max="9223" width="20.875" customWidth="1"/>
    <col min="9473" max="9473" width="2.875" customWidth="1"/>
    <col min="9474" max="9474" width="8.125" customWidth="1"/>
    <col min="9475" max="9475" width="8.75" customWidth="1"/>
    <col min="9476" max="9476" width="11" customWidth="1"/>
    <col min="9477" max="9477" width="2.875" customWidth="1"/>
    <col min="9478" max="9478" width="77.625" customWidth="1"/>
    <col min="9479" max="9479" width="20.875" customWidth="1"/>
    <col min="9729" max="9729" width="2.875" customWidth="1"/>
    <col min="9730" max="9730" width="8.125" customWidth="1"/>
    <col min="9731" max="9731" width="8.75" customWidth="1"/>
    <col min="9732" max="9732" width="11" customWidth="1"/>
    <col min="9733" max="9733" width="2.875" customWidth="1"/>
    <col min="9734" max="9734" width="77.625" customWidth="1"/>
    <col min="9735" max="9735" width="20.875" customWidth="1"/>
    <col min="9985" max="9985" width="2.875" customWidth="1"/>
    <col min="9986" max="9986" width="8.125" customWidth="1"/>
    <col min="9987" max="9987" width="8.75" customWidth="1"/>
    <col min="9988" max="9988" width="11" customWidth="1"/>
    <col min="9989" max="9989" width="2.875" customWidth="1"/>
    <col min="9990" max="9990" width="77.625" customWidth="1"/>
    <col min="9991" max="9991" width="20.875" customWidth="1"/>
    <col min="10241" max="10241" width="2.875" customWidth="1"/>
    <col min="10242" max="10242" width="8.125" customWidth="1"/>
    <col min="10243" max="10243" width="8.75" customWidth="1"/>
    <col min="10244" max="10244" width="11" customWidth="1"/>
    <col min="10245" max="10245" width="2.875" customWidth="1"/>
    <col min="10246" max="10246" width="77.625" customWidth="1"/>
    <col min="10247" max="10247" width="20.875" customWidth="1"/>
    <col min="10497" max="10497" width="2.875" customWidth="1"/>
    <col min="10498" max="10498" width="8.125" customWidth="1"/>
    <col min="10499" max="10499" width="8.75" customWidth="1"/>
    <col min="10500" max="10500" width="11" customWidth="1"/>
    <col min="10501" max="10501" width="2.875" customWidth="1"/>
    <col min="10502" max="10502" width="77.625" customWidth="1"/>
    <col min="10503" max="10503" width="20.875" customWidth="1"/>
    <col min="10753" max="10753" width="2.875" customWidth="1"/>
    <col min="10754" max="10754" width="8.125" customWidth="1"/>
    <col min="10755" max="10755" width="8.75" customWidth="1"/>
    <col min="10756" max="10756" width="11" customWidth="1"/>
    <col min="10757" max="10757" width="2.875" customWidth="1"/>
    <col min="10758" max="10758" width="77.625" customWidth="1"/>
    <col min="10759" max="10759" width="20.875" customWidth="1"/>
    <col min="11009" max="11009" width="2.875" customWidth="1"/>
    <col min="11010" max="11010" width="8.125" customWidth="1"/>
    <col min="11011" max="11011" width="8.75" customWidth="1"/>
    <col min="11012" max="11012" width="11" customWidth="1"/>
    <col min="11013" max="11013" width="2.875" customWidth="1"/>
    <col min="11014" max="11014" width="77.625" customWidth="1"/>
    <col min="11015" max="11015" width="20.875" customWidth="1"/>
    <col min="11265" max="11265" width="2.875" customWidth="1"/>
    <col min="11266" max="11266" width="8.125" customWidth="1"/>
    <col min="11267" max="11267" width="8.75" customWidth="1"/>
    <col min="11268" max="11268" width="11" customWidth="1"/>
    <col min="11269" max="11269" width="2.875" customWidth="1"/>
    <col min="11270" max="11270" width="77.625" customWidth="1"/>
    <col min="11271" max="11271" width="20.875" customWidth="1"/>
    <col min="11521" max="11521" width="2.875" customWidth="1"/>
    <col min="11522" max="11522" width="8.125" customWidth="1"/>
    <col min="11523" max="11523" width="8.75" customWidth="1"/>
    <col min="11524" max="11524" width="11" customWidth="1"/>
    <col min="11525" max="11525" width="2.875" customWidth="1"/>
    <col min="11526" max="11526" width="77.625" customWidth="1"/>
    <col min="11527" max="11527" width="20.875" customWidth="1"/>
    <col min="11777" max="11777" width="2.875" customWidth="1"/>
    <col min="11778" max="11778" width="8.125" customWidth="1"/>
    <col min="11779" max="11779" width="8.75" customWidth="1"/>
    <col min="11780" max="11780" width="11" customWidth="1"/>
    <col min="11781" max="11781" width="2.875" customWidth="1"/>
    <col min="11782" max="11782" width="77.625" customWidth="1"/>
    <col min="11783" max="11783" width="20.875" customWidth="1"/>
    <col min="12033" max="12033" width="2.875" customWidth="1"/>
    <col min="12034" max="12034" width="8.125" customWidth="1"/>
    <col min="12035" max="12035" width="8.75" customWidth="1"/>
    <col min="12036" max="12036" width="11" customWidth="1"/>
    <col min="12037" max="12037" width="2.875" customWidth="1"/>
    <col min="12038" max="12038" width="77.625" customWidth="1"/>
    <col min="12039" max="12039" width="20.875" customWidth="1"/>
    <col min="12289" max="12289" width="2.875" customWidth="1"/>
    <col min="12290" max="12290" width="8.125" customWidth="1"/>
    <col min="12291" max="12291" width="8.75" customWidth="1"/>
    <col min="12292" max="12292" width="11" customWidth="1"/>
    <col min="12293" max="12293" width="2.875" customWidth="1"/>
    <col min="12294" max="12294" width="77.625" customWidth="1"/>
    <col min="12295" max="12295" width="20.875" customWidth="1"/>
    <col min="12545" max="12545" width="2.875" customWidth="1"/>
    <col min="12546" max="12546" width="8.125" customWidth="1"/>
    <col min="12547" max="12547" width="8.75" customWidth="1"/>
    <col min="12548" max="12548" width="11" customWidth="1"/>
    <col min="12549" max="12549" width="2.875" customWidth="1"/>
    <col min="12550" max="12550" width="77.625" customWidth="1"/>
    <col min="12551" max="12551" width="20.875" customWidth="1"/>
    <col min="12801" max="12801" width="2.875" customWidth="1"/>
    <col min="12802" max="12802" width="8.125" customWidth="1"/>
    <col min="12803" max="12803" width="8.75" customWidth="1"/>
    <col min="12804" max="12804" width="11" customWidth="1"/>
    <col min="12805" max="12805" width="2.875" customWidth="1"/>
    <col min="12806" max="12806" width="77.625" customWidth="1"/>
    <col min="12807" max="12807" width="20.875" customWidth="1"/>
    <col min="13057" max="13057" width="2.875" customWidth="1"/>
    <col min="13058" max="13058" width="8.125" customWidth="1"/>
    <col min="13059" max="13059" width="8.75" customWidth="1"/>
    <col min="13060" max="13060" width="11" customWidth="1"/>
    <col min="13061" max="13061" width="2.875" customWidth="1"/>
    <col min="13062" max="13062" width="77.625" customWidth="1"/>
    <col min="13063" max="13063" width="20.875" customWidth="1"/>
    <col min="13313" max="13313" width="2.875" customWidth="1"/>
    <col min="13314" max="13314" width="8.125" customWidth="1"/>
    <col min="13315" max="13315" width="8.75" customWidth="1"/>
    <col min="13316" max="13316" width="11" customWidth="1"/>
    <col min="13317" max="13317" width="2.875" customWidth="1"/>
    <col min="13318" max="13318" width="77.625" customWidth="1"/>
    <col min="13319" max="13319" width="20.875" customWidth="1"/>
    <col min="13569" max="13569" width="2.875" customWidth="1"/>
    <col min="13570" max="13570" width="8.125" customWidth="1"/>
    <col min="13571" max="13571" width="8.75" customWidth="1"/>
    <col min="13572" max="13572" width="11" customWidth="1"/>
    <col min="13573" max="13573" width="2.875" customWidth="1"/>
    <col min="13574" max="13574" width="77.625" customWidth="1"/>
    <col min="13575" max="13575" width="20.875" customWidth="1"/>
    <col min="13825" max="13825" width="2.875" customWidth="1"/>
    <col min="13826" max="13826" width="8.125" customWidth="1"/>
    <col min="13827" max="13827" width="8.75" customWidth="1"/>
    <col min="13828" max="13828" width="11" customWidth="1"/>
    <col min="13829" max="13829" width="2.875" customWidth="1"/>
    <col min="13830" max="13830" width="77.625" customWidth="1"/>
    <col min="13831" max="13831" width="20.875" customWidth="1"/>
    <col min="14081" max="14081" width="2.875" customWidth="1"/>
    <col min="14082" max="14082" width="8.125" customWidth="1"/>
    <col min="14083" max="14083" width="8.75" customWidth="1"/>
    <col min="14084" max="14084" width="11" customWidth="1"/>
    <col min="14085" max="14085" width="2.875" customWidth="1"/>
    <col min="14086" max="14086" width="77.625" customWidth="1"/>
    <col min="14087" max="14087" width="20.875" customWidth="1"/>
    <col min="14337" max="14337" width="2.875" customWidth="1"/>
    <col min="14338" max="14338" width="8.125" customWidth="1"/>
    <col min="14339" max="14339" width="8.75" customWidth="1"/>
    <col min="14340" max="14340" width="11" customWidth="1"/>
    <col min="14341" max="14341" width="2.875" customWidth="1"/>
    <col min="14342" max="14342" width="77.625" customWidth="1"/>
    <col min="14343" max="14343" width="20.875" customWidth="1"/>
    <col min="14593" max="14593" width="2.875" customWidth="1"/>
    <col min="14594" max="14594" width="8.125" customWidth="1"/>
    <col min="14595" max="14595" width="8.75" customWidth="1"/>
    <col min="14596" max="14596" width="11" customWidth="1"/>
    <col min="14597" max="14597" width="2.875" customWidth="1"/>
    <col min="14598" max="14598" width="77.625" customWidth="1"/>
    <col min="14599" max="14599" width="20.875" customWidth="1"/>
    <col min="14849" max="14849" width="2.875" customWidth="1"/>
    <col min="14850" max="14850" width="8.125" customWidth="1"/>
    <col min="14851" max="14851" width="8.75" customWidth="1"/>
    <col min="14852" max="14852" width="11" customWidth="1"/>
    <col min="14853" max="14853" width="2.875" customWidth="1"/>
    <col min="14854" max="14854" width="77.625" customWidth="1"/>
    <col min="14855" max="14855" width="20.875" customWidth="1"/>
    <col min="15105" max="15105" width="2.875" customWidth="1"/>
    <col min="15106" max="15106" width="8.125" customWidth="1"/>
    <col min="15107" max="15107" width="8.75" customWidth="1"/>
    <col min="15108" max="15108" width="11" customWidth="1"/>
    <col min="15109" max="15109" width="2.875" customWidth="1"/>
    <col min="15110" max="15110" width="77.625" customWidth="1"/>
    <col min="15111" max="15111" width="20.875" customWidth="1"/>
    <col min="15361" max="15361" width="2.875" customWidth="1"/>
    <col min="15362" max="15362" width="8.125" customWidth="1"/>
    <col min="15363" max="15363" width="8.75" customWidth="1"/>
    <col min="15364" max="15364" width="11" customWidth="1"/>
    <col min="15365" max="15365" width="2.875" customWidth="1"/>
    <col min="15366" max="15366" width="77.625" customWidth="1"/>
    <col min="15367" max="15367" width="20.875" customWidth="1"/>
    <col min="15617" max="15617" width="2.875" customWidth="1"/>
    <col min="15618" max="15618" width="8.125" customWidth="1"/>
    <col min="15619" max="15619" width="8.75" customWidth="1"/>
    <col min="15620" max="15620" width="11" customWidth="1"/>
    <col min="15621" max="15621" width="2.875" customWidth="1"/>
    <col min="15622" max="15622" width="77.625" customWidth="1"/>
    <col min="15623" max="15623" width="20.875" customWidth="1"/>
    <col min="15873" max="15873" width="2.875" customWidth="1"/>
    <col min="15874" max="15874" width="8.125" customWidth="1"/>
    <col min="15875" max="15875" width="8.75" customWidth="1"/>
    <col min="15876" max="15876" width="11" customWidth="1"/>
    <col min="15877" max="15877" width="2.875" customWidth="1"/>
    <col min="15878" max="15878" width="77.625" customWidth="1"/>
    <col min="15879" max="15879" width="20.875" customWidth="1"/>
    <col min="16129" max="16129" width="2.875" customWidth="1"/>
    <col min="16130" max="16130" width="8.125" customWidth="1"/>
    <col min="16131" max="16131" width="8.75" customWidth="1"/>
    <col min="16132" max="16132" width="11" customWidth="1"/>
    <col min="16133" max="16133" width="2.875" customWidth="1"/>
    <col min="16134" max="16134" width="77.625" customWidth="1"/>
    <col min="16135" max="16135" width="20.875" customWidth="1"/>
  </cols>
  <sheetData>
    <row r="1" spans="1:130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60"/>
      <c r="L1" s="543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ht="22.5" customHeight="1" x14ac:dyDescent="0.4">
      <c r="A2" s="59" t="s">
        <v>269</v>
      </c>
      <c r="B2" s="60"/>
      <c r="C2" s="61"/>
      <c r="D2" s="61"/>
      <c r="E2" s="61"/>
      <c r="F2" s="60"/>
      <c r="G2" s="252"/>
      <c r="H2" s="60"/>
      <c r="I2" s="60"/>
      <c r="J2" s="60"/>
      <c r="K2" s="60"/>
      <c r="L2" s="543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ht="21.75" customHeight="1" x14ac:dyDescent="0.4">
      <c r="A3" s="59" t="str">
        <f>'Jun''17 State of Activities'!A3</f>
        <v>Twelve Months Ended December 31 2016</v>
      </c>
      <c r="B3" s="60"/>
      <c r="C3" s="61"/>
      <c r="D3" s="61"/>
      <c r="E3" s="61"/>
      <c r="F3" s="60"/>
      <c r="G3" s="252"/>
      <c r="H3" s="60"/>
      <c r="I3" s="60"/>
      <c r="J3" s="60"/>
      <c r="K3" s="60"/>
      <c r="L3" s="543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ht="22.5" customHeight="1" x14ac:dyDescent="0.4">
      <c r="A4" s="59" t="str">
        <f>'Jun''17 State of Activities'!A4</f>
        <v>Six Months Ended June 30, 2017 and 2016</v>
      </c>
      <c r="B4" s="60"/>
      <c r="C4" s="61"/>
      <c r="D4" s="61"/>
      <c r="E4" s="61"/>
      <c r="F4" s="60"/>
      <c r="G4" s="252"/>
      <c r="H4" s="60"/>
      <c r="I4" s="60"/>
      <c r="J4" s="60"/>
      <c r="K4" s="60"/>
      <c r="L4" s="543"/>
      <c r="M4" s="60"/>
      <c r="N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</row>
    <row r="6" spans="1:130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09"/>
      <c r="H6" s="263" t="s">
        <v>59</v>
      </c>
      <c r="I6" s="263"/>
      <c r="J6" s="263"/>
      <c r="K6" s="263"/>
      <c r="M6" s="609" t="s">
        <v>59</v>
      </c>
      <c r="P6" s="66"/>
      <c r="Q6" s="475" t="s">
        <v>214</v>
      </c>
      <c r="R6" s="472" t="s">
        <v>227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</row>
    <row r="7" spans="1:130" s="69" customFormat="1" ht="8.25" customHeight="1" thickTop="1" x14ac:dyDescent="0.2">
      <c r="A7" s="68"/>
      <c r="B7" s="68"/>
      <c r="C7" s="68"/>
      <c r="D7" s="68"/>
      <c r="E7" s="68"/>
      <c r="F7" s="68"/>
      <c r="G7" s="254"/>
    </row>
    <row r="8" spans="1:130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41090</v>
      </c>
      <c r="H8" s="308">
        <v>41274</v>
      </c>
      <c r="I8" s="359"/>
      <c r="J8" s="308">
        <f>'Jun''17 State of Activities'!G8</f>
        <v>42916</v>
      </c>
      <c r="K8" s="546">
        <v>42735</v>
      </c>
      <c r="L8" s="359"/>
      <c r="M8" s="308">
        <f>'Jun''17 State of Activities'!J8</f>
        <v>42551</v>
      </c>
      <c r="N8" s="72"/>
      <c r="O8" s="308">
        <v>42369</v>
      </c>
      <c r="P8" s="72"/>
      <c r="Q8" s="710" t="s">
        <v>417</v>
      </c>
      <c r="R8" s="710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</row>
    <row r="9" spans="1:130" s="75" customFormat="1" ht="20.25" x14ac:dyDescent="0.2">
      <c r="A9" s="74"/>
      <c r="B9" s="74"/>
      <c r="C9" s="484" t="s">
        <v>168</v>
      </c>
      <c r="D9" s="484"/>
      <c r="E9" s="484"/>
      <c r="F9" s="74"/>
      <c r="G9" s="290">
        <v>127719</v>
      </c>
      <c r="H9" s="290">
        <v>67566.5</v>
      </c>
      <c r="I9" s="358"/>
      <c r="J9" s="362">
        <f>'Jun''17 State of Activities'!G11</f>
        <v>83864.039999999994</v>
      </c>
      <c r="K9" s="362">
        <v>191095.92</v>
      </c>
      <c r="L9" s="362"/>
      <c r="M9" s="362">
        <f>'Jun''17 State of Activities'!J11</f>
        <v>100444.79</v>
      </c>
      <c r="N9" s="584"/>
      <c r="O9" s="362">
        <v>156115.99</v>
      </c>
      <c r="P9" s="69"/>
      <c r="Q9" s="430">
        <f>J9-M9</f>
        <v>-16580.75</v>
      </c>
      <c r="R9" s="473">
        <f>Q9/K9</f>
        <v>-8.6766635310685847E-2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130" s="75" customFormat="1" ht="20.25" x14ac:dyDescent="0.2">
      <c r="A10" s="74"/>
      <c r="B10" s="74"/>
      <c r="C10" s="484" t="s">
        <v>270</v>
      </c>
      <c r="D10" s="484"/>
      <c r="E10" s="484"/>
      <c r="F10" s="74"/>
      <c r="G10" s="289">
        <v>875436</v>
      </c>
      <c r="H10" s="289">
        <v>372424.1</v>
      </c>
      <c r="I10" s="362"/>
      <c r="J10" s="358">
        <f>(2435.19+1402.42)*1.14+3537.18</f>
        <v>7912.0553999999993</v>
      </c>
      <c r="K10" s="358">
        <v>20748.673000000003</v>
      </c>
      <c r="L10" s="362"/>
      <c r="M10" s="358">
        <f>(3256.92+2112.5)*1.14+6095</f>
        <v>12216.138800000001</v>
      </c>
      <c r="N10" s="418"/>
      <c r="O10" s="358">
        <v>19926.495000000003</v>
      </c>
      <c r="P10" s="69"/>
      <c r="Q10" s="612">
        <f>J10-M10</f>
        <v>-4304.0834000000013</v>
      </c>
      <c r="R10" s="510">
        <f>Q10/K10</f>
        <v>-0.20743897212125328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</row>
    <row r="11" spans="1:130" s="75" customFormat="1" ht="20.25" x14ac:dyDescent="0.2">
      <c r="A11" s="74"/>
      <c r="B11" s="74"/>
      <c r="C11" s="484" t="s">
        <v>115</v>
      </c>
      <c r="D11" s="484"/>
      <c r="E11" s="484"/>
      <c r="F11" s="74"/>
      <c r="G11" s="290"/>
      <c r="H11" s="290"/>
      <c r="I11" s="358"/>
      <c r="J11" s="358"/>
      <c r="K11" s="358"/>
      <c r="L11" s="358"/>
      <c r="M11" s="358"/>
      <c r="N11" s="418"/>
      <c r="O11" s="358"/>
      <c r="P11" s="69"/>
      <c r="Q11" s="612"/>
      <c r="R11" s="491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</row>
    <row r="12" spans="1:130" s="75" customFormat="1" ht="20.25" x14ac:dyDescent="0.2">
      <c r="A12" s="74"/>
      <c r="B12" s="74"/>
      <c r="C12" s="78"/>
      <c r="D12" s="484" t="s">
        <v>271</v>
      </c>
      <c r="E12" s="484"/>
      <c r="F12" s="74"/>
      <c r="G12" s="290">
        <v>94235.25</v>
      </c>
      <c r="H12" s="290">
        <v>37190.379999999997</v>
      </c>
      <c r="I12" s="358"/>
      <c r="J12" s="358">
        <f>41500/12*6</f>
        <v>20750</v>
      </c>
      <c r="K12" s="358">
        <v>40000</v>
      </c>
      <c r="L12" s="358"/>
      <c r="M12" s="358">
        <f>3333*6</f>
        <v>19998</v>
      </c>
      <c r="N12" s="418"/>
      <c r="O12" s="358">
        <v>30000</v>
      </c>
      <c r="P12" s="69"/>
      <c r="Q12" s="612">
        <f t="shared" ref="Q12:Q17" si="0">J12-M12</f>
        <v>752</v>
      </c>
      <c r="R12" s="510">
        <f>Q12/K12</f>
        <v>1.8800000000000001E-2</v>
      </c>
      <c r="S12" s="69"/>
      <c r="T12" s="550"/>
      <c r="U12" s="551"/>
      <c r="V12" s="550"/>
      <c r="W12" s="550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130" s="75" customFormat="1" ht="20.25" x14ac:dyDescent="0.2">
      <c r="A13" s="74"/>
      <c r="B13" s="74"/>
      <c r="C13" s="78"/>
      <c r="D13" s="484" t="s">
        <v>179</v>
      </c>
      <c r="E13" s="484"/>
      <c r="F13" s="74"/>
      <c r="G13" s="290"/>
      <c r="H13" s="290"/>
      <c r="I13" s="358"/>
      <c r="J13" s="358">
        <f>750*6</f>
        <v>4500</v>
      </c>
      <c r="K13" s="358">
        <v>6500</v>
      </c>
      <c r="L13" s="358"/>
      <c r="M13" s="358">
        <f>540+540+545+540+540+545</f>
        <v>3250</v>
      </c>
      <c r="N13" s="418"/>
      <c r="O13" s="358">
        <v>5416.6666666666661</v>
      </c>
      <c r="P13" s="69"/>
      <c r="Q13" s="612">
        <f t="shared" si="0"/>
        <v>1250</v>
      </c>
      <c r="R13" s="510">
        <f t="shared" ref="R13:R15" si="1">Q13/K13</f>
        <v>0.19230769230769232</v>
      </c>
      <c r="S13" s="69"/>
      <c r="T13" s="69"/>
      <c r="U13" s="442"/>
      <c r="V13" s="552"/>
      <c r="W13" s="411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130" s="75" customFormat="1" ht="20.25" x14ac:dyDescent="0.2">
      <c r="A14" s="74"/>
      <c r="B14" s="74"/>
      <c r="C14" s="484" t="s">
        <v>116</v>
      </c>
      <c r="D14" s="484"/>
      <c r="E14" s="484"/>
      <c r="F14" s="74"/>
      <c r="G14" s="290">
        <v>0</v>
      </c>
      <c r="H14" s="290">
        <v>3517</v>
      </c>
      <c r="I14" s="358"/>
      <c r="J14" s="358">
        <f>'Jun''17 State of Activities'!G18</f>
        <v>5409.25</v>
      </c>
      <c r="K14" s="358">
        <v>9721.94</v>
      </c>
      <c r="L14" s="358"/>
      <c r="M14" s="358">
        <f>'Jun''17 State of Activities'!J18</f>
        <v>4324</v>
      </c>
      <c r="N14" s="418"/>
      <c r="O14" s="358">
        <v>7518.43</v>
      </c>
      <c r="P14" s="69"/>
      <c r="Q14" s="612">
        <f t="shared" si="0"/>
        <v>1085.25</v>
      </c>
      <c r="R14" s="510">
        <f t="shared" si="1"/>
        <v>0.11162895471479972</v>
      </c>
      <c r="S14" s="69"/>
      <c r="T14" s="69"/>
      <c r="U14" s="442"/>
      <c r="V14" s="552"/>
      <c r="W14" s="411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130" s="75" customFormat="1" ht="20.25" x14ac:dyDescent="0.2">
      <c r="A15" s="74"/>
      <c r="B15" s="74"/>
      <c r="C15" s="484" t="s">
        <v>272</v>
      </c>
      <c r="D15" s="484"/>
      <c r="E15" s="484"/>
      <c r="F15" s="74"/>
      <c r="G15" s="290">
        <v>31459</v>
      </c>
      <c r="H15" s="290">
        <v>13920.35</v>
      </c>
      <c r="I15" s="358"/>
      <c r="J15" s="358">
        <f>'June''17 Revenues &amp; Expenses'!H36</f>
        <v>11802.86</v>
      </c>
      <c r="K15" s="358">
        <v>25000</v>
      </c>
      <c r="L15" s="358"/>
      <c r="M15" s="358">
        <v>11657.23</v>
      </c>
      <c r="N15" s="418"/>
      <c r="O15" s="358">
        <v>21179.81</v>
      </c>
      <c r="P15" s="69"/>
      <c r="Q15" s="612">
        <f t="shared" si="0"/>
        <v>145.63000000000102</v>
      </c>
      <c r="R15" s="510">
        <f t="shared" si="1"/>
        <v>5.8252000000000408E-3</v>
      </c>
      <c r="S15" s="69"/>
      <c r="T15" s="69"/>
      <c r="U15" s="442"/>
      <c r="V15" s="552"/>
      <c r="W15" s="411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130" s="75" customFormat="1" ht="20.25" x14ac:dyDescent="0.2">
      <c r="A16" s="74"/>
      <c r="B16" s="74"/>
      <c r="C16" s="484" t="s">
        <v>293</v>
      </c>
      <c r="D16" s="484"/>
      <c r="E16" s="484"/>
      <c r="F16" s="74"/>
      <c r="G16" s="290">
        <v>1125</v>
      </c>
      <c r="H16" s="290">
        <v>6050</v>
      </c>
      <c r="I16" s="358"/>
      <c r="J16" s="358"/>
      <c r="K16" s="358"/>
      <c r="L16" s="358"/>
      <c r="M16" s="358"/>
      <c r="N16" s="418"/>
      <c r="O16" s="358">
        <v>-6085</v>
      </c>
      <c r="P16" s="69"/>
      <c r="Q16" s="612">
        <f t="shared" si="0"/>
        <v>0</v>
      </c>
      <c r="R16" s="510">
        <v>1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 s="75" customFormat="1" ht="21" thickBot="1" x14ac:dyDescent="0.25">
      <c r="A17" s="74"/>
      <c r="B17" s="74"/>
      <c r="C17" s="484" t="s">
        <v>273</v>
      </c>
      <c r="D17" s="484"/>
      <c r="E17" s="484"/>
      <c r="F17" s="74"/>
      <c r="G17" s="291">
        <v>31250</v>
      </c>
      <c r="H17" s="291">
        <v>15624.98</v>
      </c>
      <c r="I17" s="358"/>
      <c r="J17" s="291">
        <f>'Jun''17 State of Activities'!G26*0.2</f>
        <v>4657.5</v>
      </c>
      <c r="K17" s="291">
        <v>9315</v>
      </c>
      <c r="L17" s="358"/>
      <c r="M17" s="291">
        <f>'Jun''17 State of Activities'!J26*0.2</f>
        <v>4657.5</v>
      </c>
      <c r="N17" s="418"/>
      <c r="O17" s="291">
        <v>9315</v>
      </c>
      <c r="P17" s="69"/>
      <c r="Q17" s="613">
        <f t="shared" si="0"/>
        <v>0</v>
      </c>
      <c r="R17" s="474">
        <v>0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 s="75" customFormat="1" ht="20.25" x14ac:dyDescent="0.2">
      <c r="A18" s="74"/>
      <c r="B18" s="74"/>
      <c r="C18" s="484"/>
      <c r="D18" s="74" t="s">
        <v>118</v>
      </c>
      <c r="E18" s="484"/>
      <c r="F18" s="74"/>
      <c r="G18" s="256">
        <v>1161224.25</v>
      </c>
      <c r="H18" s="256">
        <v>516293.30999999994</v>
      </c>
      <c r="I18" s="254"/>
      <c r="J18" s="290">
        <f>SUM(J9:J17)</f>
        <v>138895.70539999998</v>
      </c>
      <c r="K18" s="290">
        <f>SUM(K9:K17)</f>
        <v>302381.533</v>
      </c>
      <c r="L18" s="358"/>
      <c r="M18" s="290">
        <f>SUM(M9:M17)</f>
        <v>156547.6588</v>
      </c>
      <c r="N18" s="418"/>
      <c r="O18" s="290">
        <v>293387.3916666666</v>
      </c>
      <c r="P18" s="69"/>
      <c r="Q18" s="301">
        <f>SUM(Q9:Q17)</f>
        <v>-17651.953400000002</v>
      </c>
      <c r="R18" s="510">
        <f>Q18/K18</f>
        <v>-5.8376426711217191E-2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s="75" customFormat="1" ht="21" thickBot="1" x14ac:dyDescent="0.25">
      <c r="A19" s="74"/>
      <c r="B19" s="74"/>
      <c r="C19" s="74" t="s">
        <v>274</v>
      </c>
      <c r="D19" s="484"/>
      <c r="E19" s="484"/>
      <c r="F19" s="74"/>
      <c r="G19" s="264">
        <v>150176</v>
      </c>
      <c r="H19" s="264">
        <v>47700.27</v>
      </c>
      <c r="I19" s="254"/>
      <c r="J19" s="358">
        <f>19000/12*6</f>
        <v>9500</v>
      </c>
      <c r="K19" s="358">
        <v>19000</v>
      </c>
      <c r="L19" s="358"/>
      <c r="M19" s="358">
        <f>J19</f>
        <v>9500</v>
      </c>
      <c r="N19" s="418"/>
      <c r="O19" s="578">
        <v>15833.333333333332</v>
      </c>
      <c r="P19" s="69"/>
      <c r="Q19" s="612">
        <f>J19-M19</f>
        <v>0</v>
      </c>
      <c r="R19" s="473">
        <f>Q19/K19</f>
        <v>0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</row>
    <row r="20" spans="1:63" s="75" customFormat="1" ht="21" thickBot="1" x14ac:dyDescent="0.25">
      <c r="A20" s="74"/>
      <c r="B20" s="74"/>
      <c r="C20" s="74" t="s">
        <v>275</v>
      </c>
      <c r="D20" s="484"/>
      <c r="E20" s="484"/>
      <c r="F20" s="74"/>
      <c r="G20" s="254"/>
      <c r="H20" s="254"/>
      <c r="I20" s="254"/>
      <c r="J20" s="291">
        <v>17069.21</v>
      </c>
      <c r="K20" s="291">
        <v>35496.31</v>
      </c>
      <c r="L20" s="358"/>
      <c r="M20" s="291">
        <v>17713.03</v>
      </c>
      <c r="N20" s="418"/>
      <c r="O20" s="291">
        <v>29553.69</v>
      </c>
      <c r="P20" s="69"/>
      <c r="Q20" s="429">
        <f>J20-M20</f>
        <v>-643.81999999999971</v>
      </c>
      <c r="R20" s="544">
        <f>Q20/K20</f>
        <v>-1.813765994268136E-2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</row>
    <row r="21" spans="1:63" s="75" customFormat="1" ht="20.25" x14ac:dyDescent="0.2">
      <c r="A21" s="74"/>
      <c r="B21" s="74"/>
      <c r="C21" s="484"/>
      <c r="D21" s="74" t="s">
        <v>120</v>
      </c>
      <c r="E21" s="484"/>
      <c r="F21" s="74"/>
      <c r="G21" s="256">
        <v>1311400.25</v>
      </c>
      <c r="H21" s="256">
        <v>563993.57999999996</v>
      </c>
      <c r="I21" s="254"/>
      <c r="J21" s="290">
        <f>SUM(J18:J20)</f>
        <v>165464.91539999997</v>
      </c>
      <c r="K21" s="290">
        <f>SUM(K18:K20)</f>
        <v>356877.84299999999</v>
      </c>
      <c r="L21" s="358"/>
      <c r="M21" s="290">
        <f>SUM(M18:M20)</f>
        <v>183760.6888</v>
      </c>
      <c r="N21" s="418"/>
      <c r="O21" s="290">
        <v>338774.41499999992</v>
      </c>
      <c r="P21" s="69"/>
      <c r="Q21" s="301">
        <f>J21-M21</f>
        <v>-18295.773400000035</v>
      </c>
      <c r="R21" s="510">
        <f>Q21/K21</f>
        <v>-5.1266207075792138E-2</v>
      </c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s="75" customFormat="1" ht="20.25" x14ac:dyDescent="0.2">
      <c r="A22" s="74"/>
      <c r="B22" s="74"/>
      <c r="C22" s="484"/>
      <c r="D22" s="74"/>
      <c r="E22" s="484"/>
      <c r="F22" s="74"/>
      <c r="G22" s="256"/>
      <c r="H22" s="256"/>
      <c r="I22" s="254"/>
      <c r="J22" s="358"/>
      <c r="K22" s="358"/>
      <c r="L22" s="358"/>
      <c r="M22" s="358"/>
      <c r="N22" s="418"/>
      <c r="O22" s="35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 s="75" customFormat="1" ht="21" thickBot="1" x14ac:dyDescent="0.25">
      <c r="A23" s="74"/>
      <c r="B23" s="88" t="s">
        <v>124</v>
      </c>
      <c r="C23" s="88"/>
      <c r="D23" s="88"/>
      <c r="E23" s="88"/>
      <c r="F23" s="88"/>
      <c r="G23" s="264"/>
      <c r="H23" s="69"/>
      <c r="I23" s="69"/>
      <c r="J23" s="358"/>
      <c r="K23" s="418"/>
      <c r="L23" s="418"/>
      <c r="M23" s="418"/>
      <c r="N23" s="418"/>
      <c r="O23" s="418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 s="69" customFormat="1" ht="20.25" x14ac:dyDescent="0.2">
      <c r="A24" s="68"/>
      <c r="B24" s="68"/>
      <c r="C24" s="80" t="s">
        <v>276</v>
      </c>
      <c r="D24" s="80"/>
      <c r="E24" s="80"/>
      <c r="F24" s="80"/>
      <c r="G24" s="254">
        <v>733747.79999999993</v>
      </c>
      <c r="H24" s="301">
        <v>361976</v>
      </c>
      <c r="I24" s="301"/>
      <c r="J24" s="358"/>
      <c r="K24" s="456"/>
      <c r="L24" s="456"/>
      <c r="M24" s="456"/>
      <c r="N24" s="418"/>
      <c r="O24" s="456"/>
    </row>
    <row r="25" spans="1:63" s="69" customFormat="1" ht="20.25" x14ac:dyDescent="0.2">
      <c r="A25" s="68"/>
      <c r="B25" s="68"/>
      <c r="C25" s="80"/>
      <c r="D25" s="712" t="s">
        <v>277</v>
      </c>
      <c r="E25" s="712"/>
      <c r="F25" s="712"/>
      <c r="G25" s="254"/>
      <c r="H25" s="301"/>
      <c r="I25" s="301"/>
      <c r="J25" s="358">
        <v>61834.99</v>
      </c>
      <c r="K25" s="456">
        <v>138470.71</v>
      </c>
      <c r="L25" s="456"/>
      <c r="M25" s="456">
        <v>71856.2</v>
      </c>
      <c r="N25" s="418"/>
      <c r="O25" s="456">
        <v>107250.37</v>
      </c>
      <c r="Q25" s="301">
        <f t="shared" ref="Q25:Q46" si="2">J25-M25</f>
        <v>-10021.209999999999</v>
      </c>
      <c r="R25" s="510">
        <f>Q25/K25</f>
        <v>-7.2370611806641269E-2</v>
      </c>
    </row>
    <row r="26" spans="1:63" s="69" customFormat="1" ht="20.25" x14ac:dyDescent="0.2">
      <c r="A26" s="68"/>
      <c r="B26" s="68"/>
      <c r="C26" s="80"/>
      <c r="D26" s="712" t="s">
        <v>278</v>
      </c>
      <c r="E26" s="712"/>
      <c r="F26" s="712"/>
      <c r="G26" s="254"/>
      <c r="H26" s="301"/>
      <c r="I26" s="301"/>
      <c r="J26" s="358">
        <f>17458.2+11056.37+49.2+278.2+97.5</f>
        <v>28939.47</v>
      </c>
      <c r="K26" s="456">
        <v>57547.01</v>
      </c>
      <c r="L26" s="456"/>
      <c r="M26" s="456">
        <f>16490.79+10716.99+258+908.02+207.75</f>
        <v>28581.55</v>
      </c>
      <c r="N26" s="418"/>
      <c r="O26" s="456">
        <v>45647.57</v>
      </c>
      <c r="Q26" s="301">
        <f t="shared" si="2"/>
        <v>357.92000000000189</v>
      </c>
      <c r="R26" s="510">
        <f t="shared" ref="R26:R43" si="3">Q26/K26</f>
        <v>6.2196107147878214E-3</v>
      </c>
      <c r="T26" s="288"/>
    </row>
    <row r="27" spans="1:63" s="69" customFormat="1" ht="20.25" x14ac:dyDescent="0.2">
      <c r="A27" s="68"/>
      <c r="B27" s="68"/>
      <c r="C27" s="80"/>
      <c r="D27" s="712" t="s">
        <v>126</v>
      </c>
      <c r="E27" s="712"/>
      <c r="F27" s="712"/>
      <c r="G27" s="254"/>
      <c r="H27" s="301"/>
      <c r="I27" s="301"/>
      <c r="J27" s="358">
        <f>(J25+J26)*0.22</f>
        <v>19970.3812</v>
      </c>
      <c r="K27" s="456">
        <v>41163.7212</v>
      </c>
      <c r="L27" s="456"/>
      <c r="M27" s="358">
        <f>(M25+M26)*0.22</f>
        <v>22096.305</v>
      </c>
      <c r="N27" s="418"/>
      <c r="O27" s="456">
        <v>32108.5674</v>
      </c>
      <c r="Q27" s="301">
        <f t="shared" si="2"/>
        <v>-2125.9238000000005</v>
      </c>
      <c r="R27" s="510">
        <f t="shared" si="3"/>
        <v>-5.1645568914211779E-2</v>
      </c>
    </row>
    <row r="28" spans="1:63" s="69" customFormat="1" ht="20.25" x14ac:dyDescent="0.2">
      <c r="A28" s="68"/>
      <c r="B28" s="68"/>
      <c r="C28" s="80" t="s">
        <v>279</v>
      </c>
      <c r="D28" s="80"/>
      <c r="E28" s="80"/>
      <c r="F28" s="80"/>
      <c r="G28" s="254">
        <v>44745.18</v>
      </c>
      <c r="H28" s="254">
        <v>20974.21</v>
      </c>
      <c r="I28" s="254"/>
      <c r="J28" s="358"/>
      <c r="K28" s="358"/>
      <c r="L28" s="358"/>
      <c r="M28" s="358"/>
      <c r="N28" s="418"/>
      <c r="O28" s="358"/>
      <c r="Q28" s="301">
        <f t="shared" si="2"/>
        <v>0</v>
      </c>
      <c r="R28" s="510"/>
    </row>
    <row r="29" spans="1:63" s="69" customFormat="1" ht="20.25" x14ac:dyDescent="0.2">
      <c r="A29" s="68"/>
      <c r="B29" s="68"/>
      <c r="C29" s="80"/>
      <c r="D29" s="712" t="s">
        <v>280</v>
      </c>
      <c r="E29" s="712"/>
      <c r="F29" s="712"/>
      <c r="G29" s="254"/>
      <c r="H29" s="254"/>
      <c r="I29" s="254"/>
      <c r="J29" s="358">
        <v>8222.4699999999993</v>
      </c>
      <c r="K29" s="358">
        <v>18398.63</v>
      </c>
      <c r="L29" s="358"/>
      <c r="M29" s="358">
        <v>9225.4500000000007</v>
      </c>
      <c r="N29" s="418"/>
      <c r="O29" s="358">
        <v>15165.56</v>
      </c>
      <c r="Q29" s="301">
        <f t="shared" si="2"/>
        <v>-1002.9800000000014</v>
      </c>
      <c r="R29" s="510">
        <f t="shared" si="3"/>
        <v>-5.4513841519721919E-2</v>
      </c>
    </row>
    <row r="30" spans="1:63" s="69" customFormat="1" ht="20.25" x14ac:dyDescent="0.2">
      <c r="A30" s="68"/>
      <c r="B30" s="68"/>
      <c r="C30" s="80"/>
      <c r="D30" s="712" t="s">
        <v>281</v>
      </c>
      <c r="E30" s="712"/>
      <c r="F30" s="712"/>
      <c r="G30" s="254"/>
      <c r="H30" s="254"/>
      <c r="I30" s="254"/>
      <c r="J30" s="358">
        <f>7829.5</f>
        <v>7829.5</v>
      </c>
      <c r="K30" s="358">
        <v>13843.42</v>
      </c>
      <c r="L30" s="358"/>
      <c r="M30" s="358">
        <v>7035.9</v>
      </c>
      <c r="N30" s="418"/>
      <c r="O30" s="358">
        <v>12730.77</v>
      </c>
      <c r="Q30" s="301">
        <f t="shared" si="2"/>
        <v>793.60000000000036</v>
      </c>
      <c r="R30" s="510">
        <f t="shared" si="3"/>
        <v>5.7326874428428841E-2</v>
      </c>
    </row>
    <row r="31" spans="1:63" s="69" customFormat="1" ht="20.25" x14ac:dyDescent="0.2">
      <c r="A31" s="68"/>
      <c r="B31" s="68"/>
      <c r="C31" s="80"/>
      <c r="D31" s="712" t="s">
        <v>282</v>
      </c>
      <c r="E31" s="712"/>
      <c r="F31" s="712"/>
      <c r="G31" s="254"/>
      <c r="H31" s="254"/>
      <c r="I31" s="254"/>
      <c r="J31" s="358">
        <v>3495.65</v>
      </c>
      <c r="K31" s="358">
        <v>7312.22</v>
      </c>
      <c r="L31" s="358"/>
      <c r="M31" s="358">
        <v>4422.58</v>
      </c>
      <c r="N31" s="418"/>
      <c r="O31" s="358">
        <v>6887.16</v>
      </c>
      <c r="Q31" s="301">
        <f t="shared" si="2"/>
        <v>-926.92999999999984</v>
      </c>
      <c r="R31" s="510">
        <f t="shared" si="3"/>
        <v>-0.12676451200866493</v>
      </c>
    </row>
    <row r="32" spans="1:63" s="69" customFormat="1" ht="20.25" x14ac:dyDescent="0.2">
      <c r="A32" s="68"/>
      <c r="B32" s="68"/>
      <c r="C32" s="80"/>
      <c r="D32" s="712" t="s">
        <v>283</v>
      </c>
      <c r="E32" s="712"/>
      <c r="F32" s="712"/>
      <c r="G32" s="254"/>
      <c r="H32" s="254"/>
      <c r="I32" s="254"/>
      <c r="J32" s="358">
        <v>1100</v>
      </c>
      <c r="K32" s="358">
        <v>6600</v>
      </c>
      <c r="L32" s="358"/>
      <c r="M32" s="358">
        <v>3300</v>
      </c>
      <c r="N32" s="418"/>
      <c r="O32" s="358">
        <v>5500</v>
      </c>
      <c r="Q32" s="301">
        <f t="shared" si="2"/>
        <v>-2200</v>
      </c>
      <c r="R32" s="510">
        <f t="shared" si="3"/>
        <v>-0.33333333333333331</v>
      </c>
    </row>
    <row r="33" spans="1:18" s="69" customFormat="1" ht="20.25" x14ac:dyDescent="0.2">
      <c r="A33" s="68"/>
      <c r="B33" s="68"/>
      <c r="C33" s="80"/>
      <c r="D33" s="712" t="s">
        <v>284</v>
      </c>
      <c r="E33" s="712"/>
      <c r="F33" s="712"/>
      <c r="G33" s="254"/>
      <c r="H33" s="254"/>
      <c r="I33" s="254"/>
      <c r="J33" s="358">
        <v>789</v>
      </c>
      <c r="K33" s="358">
        <v>112</v>
      </c>
      <c r="L33" s="358"/>
      <c r="M33" s="358">
        <v>77</v>
      </c>
      <c r="N33" s="418"/>
      <c r="O33" s="358">
        <v>491.5</v>
      </c>
      <c r="Q33" s="301">
        <f t="shared" si="2"/>
        <v>712</v>
      </c>
      <c r="R33" s="510">
        <f t="shared" si="3"/>
        <v>6.3571428571428568</v>
      </c>
    </row>
    <row r="34" spans="1:18" s="69" customFormat="1" ht="20.25" x14ac:dyDescent="0.2">
      <c r="A34" s="68"/>
      <c r="B34" s="68"/>
      <c r="C34" s="80" t="s">
        <v>285</v>
      </c>
      <c r="D34" s="80"/>
      <c r="E34" s="80"/>
      <c r="F34" s="80"/>
      <c r="G34" s="254">
        <v>27200</v>
      </c>
      <c r="H34" s="254">
        <v>11327</v>
      </c>
      <c r="I34" s="254"/>
      <c r="J34" s="358">
        <f>931.02+8638.98+500</f>
        <v>10070</v>
      </c>
      <c r="K34" s="358">
        <v>24566.04</v>
      </c>
      <c r="L34" s="358"/>
      <c r="M34" s="358">
        <f>789.48+11493.54</f>
        <v>12283.02</v>
      </c>
      <c r="N34" s="418"/>
      <c r="O34" s="358">
        <v>19880</v>
      </c>
      <c r="Q34" s="301">
        <f t="shared" si="2"/>
        <v>-2213.0200000000004</v>
      </c>
      <c r="R34" s="510">
        <f t="shared" si="3"/>
        <v>-9.0084523187294346E-2</v>
      </c>
    </row>
    <row r="35" spans="1:18" s="69" customFormat="1" ht="20.25" x14ac:dyDescent="0.2">
      <c r="A35" s="68"/>
      <c r="B35" s="68"/>
      <c r="C35" s="80" t="s">
        <v>117</v>
      </c>
      <c r="D35" s="80"/>
      <c r="E35" s="80"/>
      <c r="F35" s="80"/>
      <c r="G35" s="254">
        <v>150176</v>
      </c>
      <c r="H35" s="301">
        <v>47700.27</v>
      </c>
      <c r="I35" s="301"/>
      <c r="J35" s="358">
        <v>9315</v>
      </c>
      <c r="K35" s="456">
        <v>9315</v>
      </c>
      <c r="L35" s="456"/>
      <c r="M35" s="456">
        <v>9315</v>
      </c>
      <c r="N35" s="418"/>
      <c r="O35" s="456">
        <v>9315</v>
      </c>
      <c r="Q35" s="301">
        <f t="shared" si="2"/>
        <v>0</v>
      </c>
      <c r="R35" s="510">
        <f t="shared" si="3"/>
        <v>0</v>
      </c>
    </row>
    <row r="36" spans="1:18" s="69" customFormat="1" ht="20.25" x14ac:dyDescent="0.2">
      <c r="A36" s="68"/>
      <c r="B36" s="68"/>
      <c r="C36" s="80" t="s">
        <v>292</v>
      </c>
      <c r="D36" s="80"/>
      <c r="E36" s="80"/>
      <c r="F36" s="80"/>
      <c r="G36" s="254"/>
      <c r="H36" s="301"/>
      <c r="I36" s="301"/>
      <c r="J36" s="358">
        <f>148.02+1839.98</f>
        <v>1988</v>
      </c>
      <c r="K36" s="456">
        <v>3335</v>
      </c>
      <c r="L36" s="456"/>
      <c r="M36" s="456">
        <v>1400</v>
      </c>
      <c r="N36" s="418"/>
      <c r="O36" s="456"/>
      <c r="Q36" s="301">
        <f t="shared" si="2"/>
        <v>588</v>
      </c>
      <c r="R36" s="510">
        <f t="shared" si="3"/>
        <v>0.17631184407796102</v>
      </c>
    </row>
    <row r="37" spans="1:18" s="69" customFormat="1" ht="20.25" x14ac:dyDescent="0.2">
      <c r="A37" s="68"/>
      <c r="B37" s="68"/>
      <c r="C37" s="80" t="s">
        <v>286</v>
      </c>
      <c r="D37" s="80"/>
      <c r="E37" s="80"/>
      <c r="F37" s="80"/>
      <c r="G37" s="254"/>
      <c r="H37" s="301"/>
      <c r="I37" s="301"/>
      <c r="J37" s="358">
        <v>665</v>
      </c>
      <c r="K37" s="456">
        <v>471.15</v>
      </c>
      <c r="L37" s="456"/>
      <c r="M37" s="456">
        <f>38+433.15</f>
        <v>471.15</v>
      </c>
      <c r="N37" s="418"/>
      <c r="O37" s="456">
        <v>1454.17</v>
      </c>
      <c r="Q37" s="301">
        <f t="shared" si="2"/>
        <v>193.85000000000002</v>
      </c>
      <c r="R37" s="510">
        <f t="shared" si="3"/>
        <v>0.4114400933885175</v>
      </c>
    </row>
    <row r="38" spans="1:18" s="69" customFormat="1" ht="20.25" x14ac:dyDescent="0.2">
      <c r="A38" s="68"/>
      <c r="B38" s="68"/>
      <c r="C38" s="80" t="s">
        <v>128</v>
      </c>
      <c r="D38" s="80"/>
      <c r="E38" s="80"/>
      <c r="F38" s="80"/>
      <c r="G38" s="254">
        <v>10993.12</v>
      </c>
      <c r="H38" s="301">
        <v>4904.57</v>
      </c>
      <c r="I38" s="301"/>
      <c r="J38" s="358">
        <f>26.11+1217.98</f>
        <v>1244.0899999999999</v>
      </c>
      <c r="K38" s="456">
        <v>2515.2600000000002</v>
      </c>
      <c r="L38" s="456"/>
      <c r="M38" s="456">
        <v>1262.93</v>
      </c>
      <c r="N38" s="418"/>
      <c r="O38" s="456">
        <v>2085.69</v>
      </c>
      <c r="Q38" s="301">
        <f t="shared" si="2"/>
        <v>-18.840000000000146</v>
      </c>
      <c r="R38" s="510">
        <f t="shared" si="3"/>
        <v>-7.4902793349395863E-3</v>
      </c>
    </row>
    <row r="39" spans="1:18" s="69" customFormat="1" ht="20.25" x14ac:dyDescent="0.2">
      <c r="A39" s="68"/>
      <c r="B39" s="68"/>
      <c r="C39" s="80" t="s">
        <v>287</v>
      </c>
      <c r="D39" s="80"/>
      <c r="E39" s="80"/>
      <c r="F39" s="80"/>
      <c r="G39" s="254">
        <v>10250.949999999999</v>
      </c>
      <c r="H39" s="301">
        <v>3982.99</v>
      </c>
      <c r="I39" s="301"/>
      <c r="J39" s="358">
        <f>315.86+51.1</f>
        <v>366.96000000000004</v>
      </c>
      <c r="K39" s="456">
        <v>616.14</v>
      </c>
      <c r="L39" s="456"/>
      <c r="M39" s="456">
        <f>53.1+265.54</f>
        <v>318.64000000000004</v>
      </c>
      <c r="N39" s="418"/>
      <c r="O39" s="456">
        <v>701.85</v>
      </c>
      <c r="Q39" s="301">
        <f t="shared" si="2"/>
        <v>48.319999999999993</v>
      </c>
      <c r="R39" s="510">
        <f t="shared" si="3"/>
        <v>7.8423734865452649E-2</v>
      </c>
    </row>
    <row r="40" spans="1:18" s="69" customFormat="1" ht="20.25" x14ac:dyDescent="0.2">
      <c r="A40" s="68"/>
      <c r="B40" s="68"/>
      <c r="C40" s="80" t="s">
        <v>135</v>
      </c>
      <c r="D40" s="80"/>
      <c r="E40" s="80"/>
      <c r="F40" s="80"/>
      <c r="G40" s="254">
        <v>4412.53</v>
      </c>
      <c r="H40" s="302">
        <v>5667</v>
      </c>
      <c r="I40" s="302"/>
      <c r="J40" s="358">
        <f>45.92+344.38</f>
        <v>390.3</v>
      </c>
      <c r="K40" s="457">
        <v>1097.4100000000001</v>
      </c>
      <c r="L40" s="457"/>
      <c r="M40" s="457">
        <v>633.91999999999996</v>
      </c>
      <c r="N40" s="418"/>
      <c r="O40" s="358">
        <v>904.99</v>
      </c>
      <c r="Q40" s="301">
        <f t="shared" si="2"/>
        <v>-243.61999999999995</v>
      </c>
      <c r="R40" s="510">
        <f t="shared" si="3"/>
        <v>-0.22199542559298707</v>
      </c>
    </row>
    <row r="41" spans="1:18" s="69" customFormat="1" ht="20.25" x14ac:dyDescent="0.2">
      <c r="A41" s="68"/>
      <c r="B41" s="68"/>
      <c r="C41" s="80" t="s">
        <v>133</v>
      </c>
      <c r="D41" s="80"/>
      <c r="E41" s="80"/>
      <c r="F41" s="80"/>
      <c r="G41" s="254">
        <v>7901</v>
      </c>
      <c r="H41" s="301">
        <v>4149.6000000000004</v>
      </c>
      <c r="I41" s="301"/>
      <c r="J41" s="358">
        <f>4.1+269.98</f>
        <v>274.08000000000004</v>
      </c>
      <c r="K41" s="456">
        <v>389.77</v>
      </c>
      <c r="L41" s="456"/>
      <c r="M41" s="456">
        <v>288.62</v>
      </c>
      <c r="N41" s="418"/>
      <c r="O41" s="456">
        <v>587.55999999999995</v>
      </c>
      <c r="Q41" s="301">
        <f t="shared" si="2"/>
        <v>-14.539999999999964</v>
      </c>
      <c r="R41" s="510">
        <f t="shared" si="3"/>
        <v>-3.7304051107063051E-2</v>
      </c>
    </row>
    <row r="42" spans="1:18" s="69" customFormat="1" ht="20.25" x14ac:dyDescent="0.2">
      <c r="A42" s="68"/>
      <c r="B42" s="68"/>
      <c r="C42" s="80" t="s">
        <v>288</v>
      </c>
      <c r="D42" s="80"/>
      <c r="E42" s="80"/>
      <c r="F42" s="80"/>
      <c r="G42" s="254"/>
      <c r="H42" s="301"/>
      <c r="I42" s="301"/>
      <c r="J42" s="358"/>
      <c r="K42" s="456">
        <v>105.52</v>
      </c>
      <c r="L42" s="456"/>
      <c r="M42" s="456">
        <v>0</v>
      </c>
      <c r="N42" s="418"/>
      <c r="O42" s="456">
        <v>570</v>
      </c>
      <c r="Q42" s="301">
        <f t="shared" si="2"/>
        <v>0</v>
      </c>
      <c r="R42" s="510">
        <f t="shared" si="3"/>
        <v>0</v>
      </c>
    </row>
    <row r="43" spans="1:18" s="77" customFormat="1" ht="20.25" x14ac:dyDescent="0.2">
      <c r="A43" s="80"/>
      <c r="B43" s="80"/>
      <c r="C43" s="80" t="s">
        <v>129</v>
      </c>
      <c r="D43" s="80"/>
      <c r="E43" s="80"/>
      <c r="F43" s="80"/>
      <c r="G43" s="254">
        <v>5428.37</v>
      </c>
      <c r="H43" s="301">
        <v>2024.52</v>
      </c>
      <c r="I43" s="301"/>
      <c r="J43" s="358">
        <v>124.44</v>
      </c>
      <c r="K43" s="456">
        <v>191.15</v>
      </c>
      <c r="L43" s="456"/>
      <c r="M43" s="456">
        <v>140.94</v>
      </c>
      <c r="N43" s="417"/>
      <c r="O43" s="456">
        <v>90.95</v>
      </c>
      <c r="Q43" s="301">
        <f t="shared" si="2"/>
        <v>-16.5</v>
      </c>
      <c r="R43" s="510">
        <f t="shared" si="3"/>
        <v>-8.6319644258435788E-2</v>
      </c>
    </row>
    <row r="44" spans="1:18" s="77" customFormat="1" ht="20.25" x14ac:dyDescent="0.2">
      <c r="A44" s="80"/>
      <c r="B44" s="80"/>
      <c r="C44" s="80" t="s">
        <v>289</v>
      </c>
      <c r="D44" s="80"/>
      <c r="E44" s="80"/>
      <c r="F44" s="80"/>
      <c r="G44" s="254">
        <v>83462.91</v>
      </c>
      <c r="H44" s="254">
        <v>18995.71</v>
      </c>
      <c r="I44" s="254"/>
      <c r="J44" s="455"/>
      <c r="K44" s="358">
        <v>43.1</v>
      </c>
      <c r="L44" s="358"/>
      <c r="M44" s="358">
        <v>43.1</v>
      </c>
      <c r="N44" s="417"/>
      <c r="O44" s="358">
        <v>18</v>
      </c>
      <c r="Q44" s="615">
        <f t="shared" si="2"/>
        <v>-43.1</v>
      </c>
      <c r="R44" s="614">
        <f>Q44/K44</f>
        <v>-1</v>
      </c>
    </row>
    <row r="45" spans="1:18" s="69" customFormat="1" ht="21" thickBot="1" x14ac:dyDescent="0.25">
      <c r="A45" s="68"/>
      <c r="B45" s="68"/>
      <c r="C45" s="68"/>
      <c r="D45" s="74" t="s">
        <v>141</v>
      </c>
      <c r="E45" s="68"/>
      <c r="F45" s="68"/>
      <c r="G45" s="264">
        <v>1078317.8599999999</v>
      </c>
      <c r="H45" s="264">
        <v>481701.87000000005</v>
      </c>
      <c r="I45" s="254"/>
      <c r="J45" s="547">
        <f>SUM(J25:J44)</f>
        <v>156619.33119999996</v>
      </c>
      <c r="K45" s="547">
        <v>326093.2512</v>
      </c>
      <c r="L45" s="358"/>
      <c r="M45" s="547">
        <f>SUM(M25:M44)</f>
        <v>172752.30499999999</v>
      </c>
      <c r="N45" s="418"/>
      <c r="O45" s="547">
        <v>261389.70740000001</v>
      </c>
      <c r="Q45" s="547">
        <f t="shared" si="2"/>
        <v>-16132.973800000036</v>
      </c>
      <c r="R45" s="544">
        <f>Q45/K45</f>
        <v>-4.9473497966093558E-2</v>
      </c>
    </row>
    <row r="46" spans="1:18" s="69" customFormat="1" ht="21" thickBot="1" x14ac:dyDescent="0.25">
      <c r="A46" s="68"/>
      <c r="B46" s="68"/>
      <c r="C46" s="68"/>
      <c r="D46" s="68" t="s">
        <v>142</v>
      </c>
      <c r="E46" s="68"/>
      <c r="F46" s="68"/>
      <c r="G46" s="264">
        <v>233082.39000000013</v>
      </c>
      <c r="H46" s="264">
        <v>82291.709999999905</v>
      </c>
      <c r="I46" s="254"/>
      <c r="J46" s="548">
        <f>J21-J45</f>
        <v>8845.5842000000121</v>
      </c>
      <c r="K46" s="548">
        <f>K21-K45</f>
        <v>30784.591799999995</v>
      </c>
      <c r="L46" s="358"/>
      <c r="M46" s="548">
        <f>M21-M45</f>
        <v>11008.383800000011</v>
      </c>
      <c r="N46" s="418"/>
      <c r="O46" s="548">
        <v>77384.707599999907</v>
      </c>
      <c r="Q46" s="429">
        <f t="shared" si="2"/>
        <v>-2162.7995999999985</v>
      </c>
      <c r="R46" s="544">
        <f>Q46/K46</f>
        <v>-7.0255912894709838E-2</v>
      </c>
    </row>
    <row r="47" spans="1:18" s="69" customFormat="1" ht="20.25" x14ac:dyDescent="0.2">
      <c r="A47" s="68"/>
      <c r="B47" s="68"/>
      <c r="C47" s="68"/>
      <c r="D47" s="68"/>
      <c r="E47" s="68"/>
      <c r="F47" s="68"/>
      <c r="G47" s="254"/>
      <c r="H47" s="254"/>
      <c r="I47" s="254"/>
      <c r="J47" s="254"/>
      <c r="K47" s="358"/>
      <c r="L47" s="358"/>
      <c r="M47" s="358"/>
      <c r="N47" s="418"/>
      <c r="O47" s="358"/>
    </row>
    <row r="48" spans="1:18" s="66" customFormat="1" ht="26.25" x14ac:dyDescent="0.2">
      <c r="A48" s="294"/>
      <c r="B48" s="294"/>
      <c r="C48" s="80" t="s">
        <v>363</v>
      </c>
      <c r="E48" s="80"/>
      <c r="F48" s="80"/>
      <c r="G48" s="296"/>
      <c r="H48" s="254"/>
      <c r="I48" s="254"/>
      <c r="J48" s="254">
        <v>-49047.4</v>
      </c>
      <c r="K48" s="358"/>
      <c r="L48" s="358"/>
      <c r="M48" s="358"/>
      <c r="N48" s="585"/>
      <c r="O48" s="358">
        <v>-50000</v>
      </c>
      <c r="Q48" s="301">
        <f>J48-M48</f>
        <v>-49047.4</v>
      </c>
      <c r="R48" s="473"/>
    </row>
    <row r="49" spans="1:18" s="69" customFormat="1" ht="20.25" x14ac:dyDescent="0.2">
      <c r="A49" s="68"/>
      <c r="B49" s="68"/>
      <c r="C49" s="80" t="s">
        <v>290</v>
      </c>
      <c r="E49" s="68"/>
      <c r="G49" s="254"/>
      <c r="H49" s="254"/>
      <c r="I49" s="254"/>
      <c r="J49" s="254">
        <f>J34</f>
        <v>10070</v>
      </c>
      <c r="K49" s="358">
        <v>24566.04</v>
      </c>
      <c r="L49" s="358"/>
      <c r="M49" s="358">
        <f>M34</f>
        <v>12283.02</v>
      </c>
      <c r="N49" s="418"/>
      <c r="O49" s="358">
        <v>19880</v>
      </c>
      <c r="Q49" s="301">
        <f>J49-M49</f>
        <v>-2213.0200000000004</v>
      </c>
      <c r="R49" s="473">
        <v>3.5414486921529216E-2</v>
      </c>
    </row>
    <row r="50" spans="1:18" s="69" customFormat="1" ht="24" thickBot="1" x14ac:dyDescent="0.25">
      <c r="A50" s="68"/>
      <c r="B50" s="452"/>
      <c r="C50" s="68"/>
      <c r="D50" s="713" t="s">
        <v>291</v>
      </c>
      <c r="E50" s="713"/>
      <c r="F50" s="713"/>
      <c r="G50" s="254"/>
      <c r="H50" s="254"/>
      <c r="I50" s="254"/>
      <c r="J50" s="549">
        <f>J46+J48+J49</f>
        <v>-30131.815799999989</v>
      </c>
      <c r="K50" s="549">
        <v>55350.631799999996</v>
      </c>
      <c r="L50" s="362"/>
      <c r="M50" s="549">
        <f>M46+M48+M49</f>
        <v>23291.403800000011</v>
      </c>
      <c r="N50" s="584"/>
      <c r="O50" s="549">
        <v>47264.707599999907</v>
      </c>
      <c r="P50" s="442"/>
      <c r="Q50" s="545">
        <f>J50-M50</f>
        <v>-53423.219599999997</v>
      </c>
      <c r="R50" s="602">
        <v>2.1062768618503362E-2</v>
      </c>
    </row>
    <row r="51" spans="1:18" s="69" customFormat="1" ht="21" thickTop="1" x14ac:dyDescent="0.2">
      <c r="A51" s="68"/>
      <c r="B51" s="68"/>
      <c r="C51" s="68"/>
      <c r="D51" s="68"/>
      <c r="E51" s="68"/>
      <c r="F51" s="68"/>
      <c r="G51" s="254"/>
      <c r="H51" s="254"/>
      <c r="I51" s="254"/>
      <c r="J51" s="254"/>
      <c r="K51" s="254"/>
      <c r="L51" s="254"/>
      <c r="M51" s="254"/>
      <c r="O51" s="254"/>
    </row>
    <row r="52" spans="1:18" s="72" customFormat="1" ht="20.25" x14ac:dyDescent="0.3">
      <c r="A52" s="292"/>
      <c r="B52" s="292"/>
      <c r="D52" s="292"/>
      <c r="E52" s="292"/>
      <c r="F52" s="292"/>
      <c r="G52" s="293"/>
      <c r="H52" s="293"/>
      <c r="I52" s="293"/>
      <c r="J52" s="293"/>
      <c r="K52" s="293"/>
      <c r="L52" s="293"/>
      <c r="M52" s="293"/>
      <c r="O52" s="254"/>
    </row>
    <row r="53" spans="1:18" s="77" customFormat="1" ht="20.25" x14ac:dyDescent="0.2">
      <c r="A53" s="80"/>
      <c r="B53" s="80"/>
      <c r="C53" s="80"/>
      <c r="D53" s="80"/>
      <c r="F53" s="80"/>
      <c r="G53" s="269"/>
      <c r="H53" s="254"/>
      <c r="I53" s="254"/>
      <c r="J53" s="254"/>
      <c r="K53" s="254"/>
      <c r="L53" s="254"/>
      <c r="M53" s="254"/>
    </row>
    <row r="54" spans="1:18" s="77" customFormat="1" ht="20.25" x14ac:dyDescent="0.2">
      <c r="A54" s="80"/>
      <c r="B54" s="80"/>
      <c r="C54" s="80"/>
      <c r="D54" s="80"/>
      <c r="F54" s="80"/>
      <c r="G54" s="254"/>
      <c r="H54" s="254"/>
      <c r="I54" s="254"/>
      <c r="J54" s="254"/>
      <c r="K54" s="254"/>
      <c r="L54" s="254"/>
      <c r="M54" s="254"/>
    </row>
    <row r="55" spans="1:18" s="77" customFormat="1" ht="20.25" x14ac:dyDescent="0.2">
      <c r="A55" s="80"/>
      <c r="B55" s="80"/>
      <c r="C55" s="80"/>
      <c r="D55" s="80"/>
      <c r="F55" s="80"/>
      <c r="G55" s="254"/>
      <c r="H55" s="254"/>
      <c r="I55" s="254"/>
      <c r="J55" s="254"/>
      <c r="K55" s="254"/>
      <c r="L55" s="254"/>
      <c r="M55" s="254"/>
    </row>
    <row r="56" spans="1:18" s="77" customFormat="1" ht="20.25" x14ac:dyDescent="0.2">
      <c r="A56" s="80"/>
      <c r="B56" s="80"/>
      <c r="C56" s="80"/>
      <c r="D56" s="80"/>
      <c r="F56" s="80"/>
      <c r="G56" s="254"/>
      <c r="H56" s="254"/>
      <c r="I56" s="254"/>
      <c r="J56" s="254"/>
      <c r="K56" s="254"/>
      <c r="L56" s="254"/>
      <c r="M56" s="254"/>
    </row>
    <row r="57" spans="1:18" s="77" customFormat="1" ht="20.25" x14ac:dyDescent="0.2">
      <c r="A57" s="80"/>
      <c r="B57" s="80"/>
      <c r="C57" s="80"/>
      <c r="D57" s="80"/>
      <c r="F57" s="80"/>
      <c r="G57" s="254"/>
      <c r="H57" s="254"/>
      <c r="I57" s="254"/>
      <c r="J57" s="254"/>
      <c r="K57" s="254"/>
      <c r="L57" s="254"/>
      <c r="M57" s="254"/>
    </row>
    <row r="58" spans="1:18" s="77" customFormat="1" ht="20.25" x14ac:dyDescent="0.2">
      <c r="A58" s="80"/>
      <c r="B58" s="80"/>
      <c r="C58" s="80"/>
      <c r="D58" s="80"/>
      <c r="F58" s="80"/>
      <c r="G58" s="254"/>
      <c r="H58" s="254"/>
      <c r="I58" s="254"/>
      <c r="J58" s="254"/>
      <c r="K58" s="254"/>
      <c r="L58" s="254"/>
      <c r="M58" s="254"/>
    </row>
    <row r="59" spans="1:18" s="77" customFormat="1" ht="20.25" x14ac:dyDescent="0.2">
      <c r="A59" s="80"/>
      <c r="B59" s="80"/>
      <c r="C59" s="68"/>
      <c r="D59" s="80"/>
      <c r="F59" s="80"/>
      <c r="G59" s="254"/>
      <c r="H59" s="254"/>
      <c r="I59" s="254"/>
      <c r="J59" s="254"/>
      <c r="K59" s="254"/>
      <c r="L59" s="254"/>
      <c r="M59" s="254"/>
    </row>
    <row r="60" spans="1:18" s="77" customFormat="1" ht="20.25" x14ac:dyDescent="0.2">
      <c r="A60" s="80"/>
      <c r="B60" s="80"/>
      <c r="C60" s="80"/>
      <c r="D60" s="80"/>
      <c r="E60" s="80"/>
      <c r="F60" s="80"/>
      <c r="G60" s="254"/>
      <c r="H60" s="254"/>
      <c r="I60" s="254"/>
      <c r="J60" s="254"/>
      <c r="K60" s="254"/>
      <c r="L60" s="254"/>
      <c r="M60" s="254"/>
    </row>
    <row r="61" spans="1:18" s="77" customFormat="1" ht="20.25" x14ac:dyDescent="0.2">
      <c r="A61" s="80"/>
      <c r="B61" s="80"/>
      <c r="C61" s="68"/>
      <c r="D61" s="68"/>
      <c r="G61" s="254"/>
      <c r="H61" s="254"/>
      <c r="I61" s="254"/>
      <c r="J61" s="254"/>
      <c r="K61" s="254"/>
      <c r="L61" s="254"/>
      <c r="M61" s="254"/>
    </row>
    <row r="62" spans="1:18" s="77" customFormat="1" ht="20.25" x14ac:dyDescent="0.2">
      <c r="A62" s="80"/>
      <c r="B62" s="80"/>
      <c r="C62" s="80"/>
      <c r="D62" s="80"/>
      <c r="E62" s="80"/>
      <c r="F62" s="80"/>
      <c r="G62" s="254"/>
      <c r="H62" s="254"/>
      <c r="I62" s="254"/>
      <c r="J62" s="254"/>
      <c r="K62" s="254"/>
      <c r="L62" s="254"/>
      <c r="M62" s="254"/>
    </row>
    <row r="63" spans="1:18" s="77" customFormat="1" ht="20.25" x14ac:dyDescent="0.2">
      <c r="A63" s="80"/>
      <c r="B63" s="80"/>
      <c r="C63" s="80"/>
      <c r="D63" s="80"/>
      <c r="E63" s="80"/>
      <c r="F63" s="80"/>
      <c r="G63" s="254"/>
      <c r="H63" s="254"/>
      <c r="I63" s="254"/>
      <c r="J63" s="254"/>
      <c r="K63" s="254"/>
      <c r="L63" s="254"/>
      <c r="M63" s="254"/>
    </row>
    <row r="64" spans="1:18" s="77" customFormat="1" ht="20.25" x14ac:dyDescent="0.2">
      <c r="A64" s="80"/>
      <c r="B64" s="80"/>
      <c r="C64" s="80"/>
      <c r="D64" s="80"/>
      <c r="E64" s="80"/>
      <c r="F64" s="80"/>
      <c r="G64" s="254"/>
      <c r="H64" s="254"/>
      <c r="I64" s="254"/>
      <c r="J64" s="254"/>
      <c r="K64" s="254"/>
      <c r="L64" s="254"/>
      <c r="M64" s="254"/>
    </row>
    <row r="65" spans="1:13" s="77" customFormat="1" ht="20.25" x14ac:dyDescent="0.2">
      <c r="A65" s="80"/>
      <c r="B65" s="80"/>
      <c r="C65" s="80"/>
      <c r="D65" s="80"/>
      <c r="E65" s="80"/>
      <c r="F65" s="80"/>
      <c r="G65" s="254"/>
      <c r="H65" s="254"/>
      <c r="I65" s="254"/>
      <c r="J65" s="254"/>
      <c r="K65" s="254"/>
      <c r="L65" s="254"/>
      <c r="M65" s="254"/>
    </row>
    <row r="66" spans="1:13" s="77" customFormat="1" ht="20.25" x14ac:dyDescent="0.2">
      <c r="A66" s="80"/>
      <c r="B66" s="80"/>
      <c r="C66" s="68"/>
      <c r="D66" s="80"/>
      <c r="F66" s="80"/>
      <c r="G66" s="254"/>
      <c r="H66" s="254"/>
      <c r="I66" s="254"/>
      <c r="J66" s="254"/>
      <c r="K66" s="254"/>
      <c r="L66" s="254"/>
      <c r="M66" s="254"/>
    </row>
    <row r="67" spans="1:13" s="77" customFormat="1" ht="20.25" x14ac:dyDescent="0.2">
      <c r="A67" s="80"/>
      <c r="B67" s="80"/>
      <c r="C67" s="80"/>
      <c r="D67" s="80"/>
      <c r="E67" s="80"/>
      <c r="F67" s="80"/>
      <c r="G67" s="254"/>
      <c r="H67" s="254"/>
      <c r="I67" s="254"/>
      <c r="J67" s="254"/>
      <c r="K67" s="254"/>
      <c r="L67" s="254"/>
      <c r="M67" s="254"/>
    </row>
    <row r="68" spans="1:13" s="69" customFormat="1" ht="20.25" x14ac:dyDescent="0.2">
      <c r="A68" s="68"/>
      <c r="B68" s="68"/>
      <c r="C68" s="68"/>
      <c r="D68" s="68"/>
      <c r="E68" s="68"/>
      <c r="F68" s="68"/>
      <c r="G68" s="259"/>
      <c r="H68" s="259"/>
      <c r="I68" s="259"/>
      <c r="J68" s="259"/>
      <c r="K68" s="259"/>
      <c r="L68" s="259"/>
      <c r="M68" s="259"/>
    </row>
    <row r="69" spans="1:13" s="69" customFormat="1" ht="20.25" x14ac:dyDescent="0.2">
      <c r="A69" s="68"/>
      <c r="B69" s="68"/>
      <c r="C69" s="68"/>
      <c r="D69" s="68"/>
      <c r="E69" s="68"/>
      <c r="F69" s="68"/>
      <c r="G69" s="259"/>
      <c r="H69" s="259"/>
      <c r="I69" s="259"/>
      <c r="J69" s="259"/>
      <c r="K69" s="259"/>
      <c r="L69" s="259"/>
      <c r="M69" s="259"/>
    </row>
    <row r="70" spans="1:13" s="69" customFormat="1" ht="23.25" x14ac:dyDescent="0.2">
      <c r="A70" s="68"/>
      <c r="B70" s="297"/>
      <c r="C70" s="68"/>
      <c r="D70" s="68"/>
      <c r="E70" s="68"/>
      <c r="F70" s="68"/>
      <c r="G70" s="254"/>
      <c r="H70" s="254"/>
      <c r="I70" s="254"/>
      <c r="J70" s="254"/>
      <c r="K70" s="254"/>
      <c r="L70" s="254"/>
      <c r="M70" s="254"/>
    </row>
    <row r="71" spans="1:13" s="77" customFormat="1" ht="20.25" x14ac:dyDescent="0.2">
      <c r="A71" s="80"/>
      <c r="B71" s="80"/>
      <c r="D71" s="80"/>
      <c r="E71" s="80"/>
      <c r="F71" s="80"/>
      <c r="G71" s="254"/>
      <c r="H71" s="254"/>
      <c r="I71" s="254"/>
      <c r="J71" s="254"/>
      <c r="K71" s="254"/>
      <c r="L71" s="254"/>
      <c r="M71" s="254"/>
    </row>
    <row r="72" spans="1:13" s="77" customFormat="1" ht="20.25" x14ac:dyDescent="0.2">
      <c r="A72" s="80"/>
      <c r="B72" s="80"/>
      <c r="D72" s="80"/>
      <c r="E72" s="80"/>
      <c r="F72" s="80"/>
      <c r="G72" s="254"/>
      <c r="H72" s="254"/>
      <c r="I72" s="254"/>
      <c r="J72" s="254"/>
      <c r="K72" s="254"/>
      <c r="L72" s="254"/>
      <c r="M72" s="254"/>
    </row>
    <row r="73" spans="1:13" s="69" customFormat="1" ht="20.25" x14ac:dyDescent="0.2">
      <c r="A73" s="68"/>
      <c r="B73" s="68"/>
      <c r="D73" s="80"/>
      <c r="E73" s="68"/>
      <c r="F73" s="68"/>
      <c r="G73" s="254"/>
      <c r="H73" s="254"/>
      <c r="I73" s="254"/>
      <c r="J73" s="254"/>
      <c r="K73" s="254"/>
      <c r="L73" s="254"/>
      <c r="M73" s="254"/>
    </row>
    <row r="74" spans="1:13" s="69" customFormat="1" ht="23.25" x14ac:dyDescent="0.2">
      <c r="A74" s="68"/>
      <c r="B74" s="297"/>
      <c r="C74" s="68"/>
      <c r="D74" s="68"/>
      <c r="E74" s="68"/>
      <c r="F74" s="68"/>
      <c r="G74" s="259"/>
      <c r="H74" s="259"/>
      <c r="I74" s="259"/>
      <c r="J74" s="259"/>
      <c r="K74" s="259"/>
      <c r="L74" s="259"/>
      <c r="M74" s="259"/>
    </row>
    <row r="75" spans="1:13" s="69" customFormat="1" ht="20.25" x14ac:dyDescent="0.2">
      <c r="A75" s="68"/>
      <c r="B75" s="68"/>
      <c r="C75" s="68"/>
      <c r="D75" s="68"/>
      <c r="E75" s="68"/>
      <c r="F75" s="68"/>
      <c r="G75" s="254"/>
      <c r="H75" s="254"/>
      <c r="I75" s="254"/>
      <c r="J75" s="254"/>
      <c r="K75" s="254"/>
      <c r="L75" s="254"/>
      <c r="M75" s="254"/>
    </row>
    <row r="76" spans="1:13" s="83" customFormat="1" ht="26.25" x14ac:dyDescent="0.2">
      <c r="A76" s="294"/>
      <c r="B76" s="294"/>
      <c r="C76" s="294"/>
      <c r="D76" s="294"/>
      <c r="E76" s="294"/>
      <c r="F76" s="294"/>
      <c r="G76" s="295"/>
      <c r="H76" s="259"/>
      <c r="I76" s="259"/>
      <c r="J76" s="259"/>
      <c r="K76" s="259"/>
      <c r="L76" s="259"/>
      <c r="M76" s="259"/>
    </row>
    <row r="77" spans="1:13" s="18" customFormat="1" ht="20.25" x14ac:dyDescent="0.3">
      <c r="A77" s="123"/>
      <c r="B77" s="123"/>
      <c r="C77" s="123"/>
      <c r="D77" s="123"/>
      <c r="E77" s="123"/>
      <c r="F77" s="123"/>
      <c r="G77" s="298"/>
      <c r="H77" s="303"/>
      <c r="I77" s="303"/>
      <c r="J77" s="303"/>
      <c r="K77" s="303"/>
      <c r="L77" s="303"/>
      <c r="M77" s="303"/>
    </row>
    <row r="78" spans="1:13" ht="20.25" x14ac:dyDescent="0.3">
      <c r="H78" s="303"/>
      <c r="I78" s="303"/>
      <c r="J78" s="303"/>
      <c r="K78" s="303"/>
      <c r="L78" s="303"/>
      <c r="M78" s="303"/>
    </row>
    <row r="79" spans="1:13" ht="20.25" x14ac:dyDescent="0.3">
      <c r="H79" s="303"/>
      <c r="I79" s="303"/>
      <c r="J79" s="303"/>
      <c r="K79" s="303"/>
      <c r="L79" s="303"/>
      <c r="M79" s="303"/>
    </row>
    <row r="80" spans="1:13" ht="20.25" x14ac:dyDescent="0.3">
      <c r="H80" s="300"/>
      <c r="I80" s="300"/>
      <c r="J80" s="300"/>
      <c r="K80" s="300"/>
      <c r="L80" s="300"/>
      <c r="M80" s="300"/>
    </row>
  </sheetData>
  <mergeCells count="10">
    <mergeCell ref="D30:F30"/>
    <mergeCell ref="D31:F31"/>
    <mergeCell ref="D32:F32"/>
    <mergeCell ref="D33:F33"/>
    <mergeCell ref="D50:F50"/>
    <mergeCell ref="Q8:R8"/>
    <mergeCell ref="D25:F25"/>
    <mergeCell ref="D26:F26"/>
    <mergeCell ref="D27:F27"/>
    <mergeCell ref="D29:F29"/>
  </mergeCells>
  <pageMargins left="0.2" right="0" top="0.5" bottom="0.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79"/>
  <sheetViews>
    <sheetView workbookViewId="0">
      <selection activeCell="J10" sqref="J10:J14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9" style="1"/>
    <col min="9" max="143" width="9" style="18"/>
    <col min="191" max="191" width="2.875" customWidth="1"/>
    <col min="192" max="192" width="8.125" customWidth="1"/>
    <col min="193" max="193" width="8.75" customWidth="1"/>
    <col min="194" max="194" width="11" customWidth="1"/>
    <col min="195" max="195" width="2.875" customWidth="1"/>
    <col min="196" max="196" width="77.625" customWidth="1"/>
    <col min="197" max="197" width="20.875" customWidth="1"/>
    <col min="447" max="447" width="2.875" customWidth="1"/>
    <col min="448" max="448" width="8.125" customWidth="1"/>
    <col min="449" max="449" width="8.75" customWidth="1"/>
    <col min="450" max="450" width="11" customWidth="1"/>
    <col min="451" max="451" width="2.875" customWidth="1"/>
    <col min="452" max="452" width="77.625" customWidth="1"/>
    <col min="453" max="453" width="20.875" customWidth="1"/>
    <col min="703" max="703" width="2.875" customWidth="1"/>
    <col min="704" max="704" width="8.125" customWidth="1"/>
    <col min="705" max="705" width="8.75" customWidth="1"/>
    <col min="706" max="706" width="11" customWidth="1"/>
    <col min="707" max="707" width="2.875" customWidth="1"/>
    <col min="708" max="708" width="77.625" customWidth="1"/>
    <col min="709" max="709" width="20.875" customWidth="1"/>
    <col min="959" max="959" width="2.875" customWidth="1"/>
    <col min="960" max="960" width="8.125" customWidth="1"/>
    <col min="961" max="961" width="8.75" customWidth="1"/>
    <col min="962" max="962" width="11" customWidth="1"/>
    <col min="963" max="963" width="2.875" customWidth="1"/>
    <col min="964" max="964" width="77.625" customWidth="1"/>
    <col min="965" max="965" width="20.875" customWidth="1"/>
    <col min="1215" max="1215" width="2.875" customWidth="1"/>
    <col min="1216" max="1216" width="8.125" customWidth="1"/>
    <col min="1217" max="1217" width="8.75" customWidth="1"/>
    <col min="1218" max="1218" width="11" customWidth="1"/>
    <col min="1219" max="1219" width="2.875" customWidth="1"/>
    <col min="1220" max="1220" width="77.625" customWidth="1"/>
    <col min="1221" max="1221" width="20.875" customWidth="1"/>
    <col min="1471" max="1471" width="2.875" customWidth="1"/>
    <col min="1472" max="1472" width="8.125" customWidth="1"/>
    <col min="1473" max="1473" width="8.75" customWidth="1"/>
    <col min="1474" max="1474" width="11" customWidth="1"/>
    <col min="1475" max="1475" width="2.875" customWidth="1"/>
    <col min="1476" max="1476" width="77.625" customWidth="1"/>
    <col min="1477" max="1477" width="20.875" customWidth="1"/>
    <col min="1727" max="1727" width="2.875" customWidth="1"/>
    <col min="1728" max="1728" width="8.125" customWidth="1"/>
    <col min="1729" max="1729" width="8.75" customWidth="1"/>
    <col min="1730" max="1730" width="11" customWidth="1"/>
    <col min="1731" max="1731" width="2.875" customWidth="1"/>
    <col min="1732" max="1732" width="77.625" customWidth="1"/>
    <col min="1733" max="1733" width="20.875" customWidth="1"/>
    <col min="1983" max="1983" width="2.875" customWidth="1"/>
    <col min="1984" max="1984" width="8.125" customWidth="1"/>
    <col min="1985" max="1985" width="8.75" customWidth="1"/>
    <col min="1986" max="1986" width="11" customWidth="1"/>
    <col min="1987" max="1987" width="2.875" customWidth="1"/>
    <col min="1988" max="1988" width="77.625" customWidth="1"/>
    <col min="1989" max="1989" width="20.875" customWidth="1"/>
    <col min="2239" max="2239" width="2.875" customWidth="1"/>
    <col min="2240" max="2240" width="8.125" customWidth="1"/>
    <col min="2241" max="2241" width="8.75" customWidth="1"/>
    <col min="2242" max="2242" width="11" customWidth="1"/>
    <col min="2243" max="2243" width="2.875" customWidth="1"/>
    <col min="2244" max="2244" width="77.625" customWidth="1"/>
    <col min="2245" max="2245" width="20.875" customWidth="1"/>
    <col min="2495" max="2495" width="2.875" customWidth="1"/>
    <col min="2496" max="2496" width="8.125" customWidth="1"/>
    <col min="2497" max="2497" width="8.75" customWidth="1"/>
    <col min="2498" max="2498" width="11" customWidth="1"/>
    <col min="2499" max="2499" width="2.875" customWidth="1"/>
    <col min="2500" max="2500" width="77.625" customWidth="1"/>
    <col min="2501" max="2501" width="20.875" customWidth="1"/>
    <col min="2751" max="2751" width="2.875" customWidth="1"/>
    <col min="2752" max="2752" width="8.125" customWidth="1"/>
    <col min="2753" max="2753" width="8.75" customWidth="1"/>
    <col min="2754" max="2754" width="11" customWidth="1"/>
    <col min="2755" max="2755" width="2.875" customWidth="1"/>
    <col min="2756" max="2756" width="77.625" customWidth="1"/>
    <col min="2757" max="2757" width="20.875" customWidth="1"/>
    <col min="3007" max="3007" width="2.875" customWidth="1"/>
    <col min="3008" max="3008" width="8.125" customWidth="1"/>
    <col min="3009" max="3009" width="8.75" customWidth="1"/>
    <col min="3010" max="3010" width="11" customWidth="1"/>
    <col min="3011" max="3011" width="2.875" customWidth="1"/>
    <col min="3012" max="3012" width="77.625" customWidth="1"/>
    <col min="3013" max="3013" width="20.875" customWidth="1"/>
    <col min="3263" max="3263" width="2.875" customWidth="1"/>
    <col min="3264" max="3264" width="8.125" customWidth="1"/>
    <col min="3265" max="3265" width="8.75" customWidth="1"/>
    <col min="3266" max="3266" width="11" customWidth="1"/>
    <col min="3267" max="3267" width="2.875" customWidth="1"/>
    <col min="3268" max="3268" width="77.625" customWidth="1"/>
    <col min="3269" max="3269" width="20.875" customWidth="1"/>
    <col min="3519" max="3519" width="2.875" customWidth="1"/>
    <col min="3520" max="3520" width="8.125" customWidth="1"/>
    <col min="3521" max="3521" width="8.75" customWidth="1"/>
    <col min="3522" max="3522" width="11" customWidth="1"/>
    <col min="3523" max="3523" width="2.875" customWidth="1"/>
    <col min="3524" max="3524" width="77.625" customWidth="1"/>
    <col min="3525" max="3525" width="20.875" customWidth="1"/>
    <col min="3775" max="3775" width="2.875" customWidth="1"/>
    <col min="3776" max="3776" width="8.125" customWidth="1"/>
    <col min="3777" max="3777" width="8.75" customWidth="1"/>
    <col min="3778" max="3778" width="11" customWidth="1"/>
    <col min="3779" max="3779" width="2.875" customWidth="1"/>
    <col min="3780" max="3780" width="77.625" customWidth="1"/>
    <col min="3781" max="3781" width="20.875" customWidth="1"/>
    <col min="4031" max="4031" width="2.875" customWidth="1"/>
    <col min="4032" max="4032" width="8.125" customWidth="1"/>
    <col min="4033" max="4033" width="8.75" customWidth="1"/>
    <col min="4034" max="4034" width="11" customWidth="1"/>
    <col min="4035" max="4035" width="2.875" customWidth="1"/>
    <col min="4036" max="4036" width="77.625" customWidth="1"/>
    <col min="4037" max="4037" width="20.875" customWidth="1"/>
    <col min="4287" max="4287" width="2.875" customWidth="1"/>
    <col min="4288" max="4288" width="8.125" customWidth="1"/>
    <col min="4289" max="4289" width="8.75" customWidth="1"/>
    <col min="4290" max="4290" width="11" customWidth="1"/>
    <col min="4291" max="4291" width="2.875" customWidth="1"/>
    <col min="4292" max="4292" width="77.625" customWidth="1"/>
    <col min="4293" max="4293" width="20.875" customWidth="1"/>
    <col min="4543" max="4543" width="2.875" customWidth="1"/>
    <col min="4544" max="4544" width="8.125" customWidth="1"/>
    <col min="4545" max="4545" width="8.75" customWidth="1"/>
    <col min="4546" max="4546" width="11" customWidth="1"/>
    <col min="4547" max="4547" width="2.875" customWidth="1"/>
    <col min="4548" max="4548" width="77.625" customWidth="1"/>
    <col min="4549" max="4549" width="20.875" customWidth="1"/>
    <col min="4799" max="4799" width="2.875" customWidth="1"/>
    <col min="4800" max="4800" width="8.125" customWidth="1"/>
    <col min="4801" max="4801" width="8.75" customWidth="1"/>
    <col min="4802" max="4802" width="11" customWidth="1"/>
    <col min="4803" max="4803" width="2.875" customWidth="1"/>
    <col min="4804" max="4804" width="77.625" customWidth="1"/>
    <col min="4805" max="4805" width="20.875" customWidth="1"/>
    <col min="5055" max="5055" width="2.875" customWidth="1"/>
    <col min="5056" max="5056" width="8.125" customWidth="1"/>
    <col min="5057" max="5057" width="8.75" customWidth="1"/>
    <col min="5058" max="5058" width="11" customWidth="1"/>
    <col min="5059" max="5059" width="2.875" customWidth="1"/>
    <col min="5060" max="5060" width="77.625" customWidth="1"/>
    <col min="5061" max="5061" width="20.875" customWidth="1"/>
    <col min="5311" max="5311" width="2.875" customWidth="1"/>
    <col min="5312" max="5312" width="8.125" customWidth="1"/>
    <col min="5313" max="5313" width="8.75" customWidth="1"/>
    <col min="5314" max="5314" width="11" customWidth="1"/>
    <col min="5315" max="5315" width="2.875" customWidth="1"/>
    <col min="5316" max="5316" width="77.625" customWidth="1"/>
    <col min="5317" max="5317" width="20.875" customWidth="1"/>
    <col min="5567" max="5567" width="2.875" customWidth="1"/>
    <col min="5568" max="5568" width="8.125" customWidth="1"/>
    <col min="5569" max="5569" width="8.75" customWidth="1"/>
    <col min="5570" max="5570" width="11" customWidth="1"/>
    <col min="5571" max="5571" width="2.875" customWidth="1"/>
    <col min="5572" max="5572" width="77.625" customWidth="1"/>
    <col min="5573" max="5573" width="20.875" customWidth="1"/>
    <col min="5823" max="5823" width="2.875" customWidth="1"/>
    <col min="5824" max="5824" width="8.125" customWidth="1"/>
    <col min="5825" max="5825" width="8.75" customWidth="1"/>
    <col min="5826" max="5826" width="11" customWidth="1"/>
    <col min="5827" max="5827" width="2.875" customWidth="1"/>
    <col min="5828" max="5828" width="77.625" customWidth="1"/>
    <col min="5829" max="5829" width="20.875" customWidth="1"/>
    <col min="6079" max="6079" width="2.875" customWidth="1"/>
    <col min="6080" max="6080" width="8.125" customWidth="1"/>
    <col min="6081" max="6081" width="8.75" customWidth="1"/>
    <col min="6082" max="6082" width="11" customWidth="1"/>
    <col min="6083" max="6083" width="2.875" customWidth="1"/>
    <col min="6084" max="6084" width="77.625" customWidth="1"/>
    <col min="6085" max="6085" width="20.875" customWidth="1"/>
    <col min="6335" max="6335" width="2.875" customWidth="1"/>
    <col min="6336" max="6336" width="8.125" customWidth="1"/>
    <col min="6337" max="6337" width="8.75" customWidth="1"/>
    <col min="6338" max="6338" width="11" customWidth="1"/>
    <col min="6339" max="6339" width="2.875" customWidth="1"/>
    <col min="6340" max="6340" width="77.625" customWidth="1"/>
    <col min="6341" max="6341" width="20.875" customWidth="1"/>
    <col min="6591" max="6591" width="2.875" customWidth="1"/>
    <col min="6592" max="6592" width="8.125" customWidth="1"/>
    <col min="6593" max="6593" width="8.75" customWidth="1"/>
    <col min="6594" max="6594" width="11" customWidth="1"/>
    <col min="6595" max="6595" width="2.875" customWidth="1"/>
    <col min="6596" max="6596" width="77.625" customWidth="1"/>
    <col min="6597" max="6597" width="20.875" customWidth="1"/>
    <col min="6847" max="6847" width="2.875" customWidth="1"/>
    <col min="6848" max="6848" width="8.125" customWidth="1"/>
    <col min="6849" max="6849" width="8.75" customWidth="1"/>
    <col min="6850" max="6850" width="11" customWidth="1"/>
    <col min="6851" max="6851" width="2.875" customWidth="1"/>
    <col min="6852" max="6852" width="77.625" customWidth="1"/>
    <col min="6853" max="6853" width="20.875" customWidth="1"/>
    <col min="7103" max="7103" width="2.875" customWidth="1"/>
    <col min="7104" max="7104" width="8.125" customWidth="1"/>
    <col min="7105" max="7105" width="8.75" customWidth="1"/>
    <col min="7106" max="7106" width="11" customWidth="1"/>
    <col min="7107" max="7107" width="2.875" customWidth="1"/>
    <col min="7108" max="7108" width="77.625" customWidth="1"/>
    <col min="7109" max="7109" width="20.875" customWidth="1"/>
    <col min="7359" max="7359" width="2.875" customWidth="1"/>
    <col min="7360" max="7360" width="8.125" customWidth="1"/>
    <col min="7361" max="7361" width="8.75" customWidth="1"/>
    <col min="7362" max="7362" width="11" customWidth="1"/>
    <col min="7363" max="7363" width="2.875" customWidth="1"/>
    <col min="7364" max="7364" width="77.625" customWidth="1"/>
    <col min="7365" max="7365" width="20.875" customWidth="1"/>
    <col min="7615" max="7615" width="2.875" customWidth="1"/>
    <col min="7616" max="7616" width="8.125" customWidth="1"/>
    <col min="7617" max="7617" width="8.75" customWidth="1"/>
    <col min="7618" max="7618" width="11" customWidth="1"/>
    <col min="7619" max="7619" width="2.875" customWidth="1"/>
    <col min="7620" max="7620" width="77.625" customWidth="1"/>
    <col min="7621" max="7621" width="20.875" customWidth="1"/>
    <col min="7871" max="7871" width="2.875" customWidth="1"/>
    <col min="7872" max="7872" width="8.125" customWidth="1"/>
    <col min="7873" max="7873" width="8.75" customWidth="1"/>
    <col min="7874" max="7874" width="11" customWidth="1"/>
    <col min="7875" max="7875" width="2.875" customWidth="1"/>
    <col min="7876" max="7876" width="77.625" customWidth="1"/>
    <col min="7877" max="7877" width="20.875" customWidth="1"/>
    <col min="8127" max="8127" width="2.875" customWidth="1"/>
    <col min="8128" max="8128" width="8.125" customWidth="1"/>
    <col min="8129" max="8129" width="8.75" customWidth="1"/>
    <col min="8130" max="8130" width="11" customWidth="1"/>
    <col min="8131" max="8131" width="2.875" customWidth="1"/>
    <col min="8132" max="8132" width="77.625" customWidth="1"/>
    <col min="8133" max="8133" width="20.875" customWidth="1"/>
    <col min="8383" max="8383" width="2.875" customWidth="1"/>
    <col min="8384" max="8384" width="8.125" customWidth="1"/>
    <col min="8385" max="8385" width="8.75" customWidth="1"/>
    <col min="8386" max="8386" width="11" customWidth="1"/>
    <col min="8387" max="8387" width="2.875" customWidth="1"/>
    <col min="8388" max="8388" width="77.625" customWidth="1"/>
    <col min="8389" max="8389" width="20.875" customWidth="1"/>
    <col min="8639" max="8639" width="2.875" customWidth="1"/>
    <col min="8640" max="8640" width="8.125" customWidth="1"/>
    <col min="8641" max="8641" width="8.75" customWidth="1"/>
    <col min="8642" max="8642" width="11" customWidth="1"/>
    <col min="8643" max="8643" width="2.875" customWidth="1"/>
    <col min="8644" max="8644" width="77.625" customWidth="1"/>
    <col min="8645" max="8645" width="20.875" customWidth="1"/>
    <col min="8895" max="8895" width="2.875" customWidth="1"/>
    <col min="8896" max="8896" width="8.125" customWidth="1"/>
    <col min="8897" max="8897" width="8.75" customWidth="1"/>
    <col min="8898" max="8898" width="11" customWidth="1"/>
    <col min="8899" max="8899" width="2.875" customWidth="1"/>
    <col min="8900" max="8900" width="77.625" customWidth="1"/>
    <col min="8901" max="8901" width="20.875" customWidth="1"/>
    <col min="9151" max="9151" width="2.875" customWidth="1"/>
    <col min="9152" max="9152" width="8.125" customWidth="1"/>
    <col min="9153" max="9153" width="8.75" customWidth="1"/>
    <col min="9154" max="9154" width="11" customWidth="1"/>
    <col min="9155" max="9155" width="2.875" customWidth="1"/>
    <col min="9156" max="9156" width="77.625" customWidth="1"/>
    <col min="9157" max="9157" width="20.875" customWidth="1"/>
    <col min="9407" max="9407" width="2.875" customWidth="1"/>
    <col min="9408" max="9408" width="8.125" customWidth="1"/>
    <col min="9409" max="9409" width="8.75" customWidth="1"/>
    <col min="9410" max="9410" width="11" customWidth="1"/>
    <col min="9411" max="9411" width="2.875" customWidth="1"/>
    <col min="9412" max="9412" width="77.625" customWidth="1"/>
    <col min="9413" max="9413" width="20.875" customWidth="1"/>
    <col min="9663" max="9663" width="2.875" customWidth="1"/>
    <col min="9664" max="9664" width="8.125" customWidth="1"/>
    <col min="9665" max="9665" width="8.75" customWidth="1"/>
    <col min="9666" max="9666" width="11" customWidth="1"/>
    <col min="9667" max="9667" width="2.875" customWidth="1"/>
    <col min="9668" max="9668" width="77.625" customWidth="1"/>
    <col min="9669" max="9669" width="20.875" customWidth="1"/>
    <col min="9919" max="9919" width="2.875" customWidth="1"/>
    <col min="9920" max="9920" width="8.125" customWidth="1"/>
    <col min="9921" max="9921" width="8.75" customWidth="1"/>
    <col min="9922" max="9922" width="11" customWidth="1"/>
    <col min="9923" max="9923" width="2.875" customWidth="1"/>
    <col min="9924" max="9924" width="77.625" customWidth="1"/>
    <col min="9925" max="9925" width="20.875" customWidth="1"/>
    <col min="10175" max="10175" width="2.875" customWidth="1"/>
    <col min="10176" max="10176" width="8.125" customWidth="1"/>
    <col min="10177" max="10177" width="8.75" customWidth="1"/>
    <col min="10178" max="10178" width="11" customWidth="1"/>
    <col min="10179" max="10179" width="2.875" customWidth="1"/>
    <col min="10180" max="10180" width="77.625" customWidth="1"/>
    <col min="10181" max="10181" width="20.875" customWidth="1"/>
    <col min="10431" max="10431" width="2.875" customWidth="1"/>
    <col min="10432" max="10432" width="8.125" customWidth="1"/>
    <col min="10433" max="10433" width="8.75" customWidth="1"/>
    <col min="10434" max="10434" width="11" customWidth="1"/>
    <col min="10435" max="10435" width="2.875" customWidth="1"/>
    <col min="10436" max="10436" width="77.625" customWidth="1"/>
    <col min="10437" max="10437" width="20.875" customWidth="1"/>
    <col min="10687" max="10687" width="2.875" customWidth="1"/>
    <col min="10688" max="10688" width="8.125" customWidth="1"/>
    <col min="10689" max="10689" width="8.75" customWidth="1"/>
    <col min="10690" max="10690" width="11" customWidth="1"/>
    <col min="10691" max="10691" width="2.875" customWidth="1"/>
    <col min="10692" max="10692" width="77.625" customWidth="1"/>
    <col min="10693" max="10693" width="20.875" customWidth="1"/>
    <col min="10943" max="10943" width="2.875" customWidth="1"/>
    <col min="10944" max="10944" width="8.125" customWidth="1"/>
    <col min="10945" max="10945" width="8.75" customWidth="1"/>
    <col min="10946" max="10946" width="11" customWidth="1"/>
    <col min="10947" max="10947" width="2.875" customWidth="1"/>
    <col min="10948" max="10948" width="77.625" customWidth="1"/>
    <col min="10949" max="10949" width="20.875" customWidth="1"/>
    <col min="11199" max="11199" width="2.875" customWidth="1"/>
    <col min="11200" max="11200" width="8.125" customWidth="1"/>
    <col min="11201" max="11201" width="8.75" customWidth="1"/>
    <col min="11202" max="11202" width="11" customWidth="1"/>
    <col min="11203" max="11203" width="2.875" customWidth="1"/>
    <col min="11204" max="11204" width="77.625" customWidth="1"/>
    <col min="11205" max="11205" width="20.875" customWidth="1"/>
    <col min="11455" max="11455" width="2.875" customWidth="1"/>
    <col min="11456" max="11456" width="8.125" customWidth="1"/>
    <col min="11457" max="11457" width="8.75" customWidth="1"/>
    <col min="11458" max="11458" width="11" customWidth="1"/>
    <col min="11459" max="11459" width="2.875" customWidth="1"/>
    <col min="11460" max="11460" width="77.625" customWidth="1"/>
    <col min="11461" max="11461" width="20.875" customWidth="1"/>
    <col min="11711" max="11711" width="2.875" customWidth="1"/>
    <col min="11712" max="11712" width="8.125" customWidth="1"/>
    <col min="11713" max="11713" width="8.75" customWidth="1"/>
    <col min="11714" max="11714" width="11" customWidth="1"/>
    <col min="11715" max="11715" width="2.875" customWidth="1"/>
    <col min="11716" max="11716" width="77.625" customWidth="1"/>
    <col min="11717" max="11717" width="20.875" customWidth="1"/>
    <col min="11967" max="11967" width="2.875" customWidth="1"/>
    <col min="11968" max="11968" width="8.125" customWidth="1"/>
    <col min="11969" max="11969" width="8.75" customWidth="1"/>
    <col min="11970" max="11970" width="11" customWidth="1"/>
    <col min="11971" max="11971" width="2.875" customWidth="1"/>
    <col min="11972" max="11972" width="77.625" customWidth="1"/>
    <col min="11973" max="11973" width="20.875" customWidth="1"/>
    <col min="12223" max="12223" width="2.875" customWidth="1"/>
    <col min="12224" max="12224" width="8.125" customWidth="1"/>
    <col min="12225" max="12225" width="8.75" customWidth="1"/>
    <col min="12226" max="12226" width="11" customWidth="1"/>
    <col min="12227" max="12227" width="2.875" customWidth="1"/>
    <col min="12228" max="12228" width="77.625" customWidth="1"/>
    <col min="12229" max="12229" width="20.875" customWidth="1"/>
    <col min="12479" max="12479" width="2.875" customWidth="1"/>
    <col min="12480" max="12480" width="8.125" customWidth="1"/>
    <col min="12481" max="12481" width="8.75" customWidth="1"/>
    <col min="12482" max="12482" width="11" customWidth="1"/>
    <col min="12483" max="12483" width="2.875" customWidth="1"/>
    <col min="12484" max="12484" width="77.625" customWidth="1"/>
    <col min="12485" max="12485" width="20.875" customWidth="1"/>
    <col min="12735" max="12735" width="2.875" customWidth="1"/>
    <col min="12736" max="12736" width="8.125" customWidth="1"/>
    <col min="12737" max="12737" width="8.75" customWidth="1"/>
    <col min="12738" max="12738" width="11" customWidth="1"/>
    <col min="12739" max="12739" width="2.875" customWidth="1"/>
    <col min="12740" max="12740" width="77.625" customWidth="1"/>
    <col min="12741" max="12741" width="20.875" customWidth="1"/>
    <col min="12991" max="12991" width="2.875" customWidth="1"/>
    <col min="12992" max="12992" width="8.125" customWidth="1"/>
    <col min="12993" max="12993" width="8.75" customWidth="1"/>
    <col min="12994" max="12994" width="11" customWidth="1"/>
    <col min="12995" max="12995" width="2.875" customWidth="1"/>
    <col min="12996" max="12996" width="77.625" customWidth="1"/>
    <col min="12997" max="12997" width="20.875" customWidth="1"/>
    <col min="13247" max="13247" width="2.875" customWidth="1"/>
    <col min="13248" max="13248" width="8.125" customWidth="1"/>
    <col min="13249" max="13249" width="8.75" customWidth="1"/>
    <col min="13250" max="13250" width="11" customWidth="1"/>
    <col min="13251" max="13251" width="2.875" customWidth="1"/>
    <col min="13252" max="13252" width="77.625" customWidth="1"/>
    <col min="13253" max="13253" width="20.875" customWidth="1"/>
    <col min="13503" max="13503" width="2.875" customWidth="1"/>
    <col min="13504" max="13504" width="8.125" customWidth="1"/>
    <col min="13505" max="13505" width="8.75" customWidth="1"/>
    <col min="13506" max="13506" width="11" customWidth="1"/>
    <col min="13507" max="13507" width="2.875" customWidth="1"/>
    <col min="13508" max="13508" width="77.625" customWidth="1"/>
    <col min="13509" max="13509" width="20.875" customWidth="1"/>
    <col min="13759" max="13759" width="2.875" customWidth="1"/>
    <col min="13760" max="13760" width="8.125" customWidth="1"/>
    <col min="13761" max="13761" width="8.75" customWidth="1"/>
    <col min="13762" max="13762" width="11" customWidth="1"/>
    <col min="13763" max="13763" width="2.875" customWidth="1"/>
    <col min="13764" max="13764" width="77.625" customWidth="1"/>
    <col min="13765" max="13765" width="20.875" customWidth="1"/>
    <col min="14015" max="14015" width="2.875" customWidth="1"/>
    <col min="14016" max="14016" width="8.125" customWidth="1"/>
    <col min="14017" max="14017" width="8.75" customWidth="1"/>
    <col min="14018" max="14018" width="11" customWidth="1"/>
    <col min="14019" max="14019" width="2.875" customWidth="1"/>
    <col min="14020" max="14020" width="77.625" customWidth="1"/>
    <col min="14021" max="14021" width="20.875" customWidth="1"/>
    <col min="14271" max="14271" width="2.875" customWidth="1"/>
    <col min="14272" max="14272" width="8.125" customWidth="1"/>
    <col min="14273" max="14273" width="8.75" customWidth="1"/>
    <col min="14274" max="14274" width="11" customWidth="1"/>
    <col min="14275" max="14275" width="2.875" customWidth="1"/>
    <col min="14276" max="14276" width="77.625" customWidth="1"/>
    <col min="14277" max="14277" width="20.875" customWidth="1"/>
    <col min="14527" max="14527" width="2.875" customWidth="1"/>
    <col min="14528" max="14528" width="8.125" customWidth="1"/>
    <col min="14529" max="14529" width="8.75" customWidth="1"/>
    <col min="14530" max="14530" width="11" customWidth="1"/>
    <col min="14531" max="14531" width="2.875" customWidth="1"/>
    <col min="14532" max="14532" width="77.625" customWidth="1"/>
    <col min="14533" max="14533" width="20.875" customWidth="1"/>
    <col min="14783" max="14783" width="2.875" customWidth="1"/>
    <col min="14784" max="14784" width="8.125" customWidth="1"/>
    <col min="14785" max="14785" width="8.75" customWidth="1"/>
    <col min="14786" max="14786" width="11" customWidth="1"/>
    <col min="14787" max="14787" width="2.875" customWidth="1"/>
    <col min="14788" max="14788" width="77.625" customWidth="1"/>
    <col min="14789" max="14789" width="20.875" customWidth="1"/>
    <col min="15039" max="15039" width="2.875" customWidth="1"/>
    <col min="15040" max="15040" width="8.125" customWidth="1"/>
    <col min="15041" max="15041" width="8.75" customWidth="1"/>
    <col min="15042" max="15042" width="11" customWidth="1"/>
    <col min="15043" max="15043" width="2.875" customWidth="1"/>
    <col min="15044" max="15044" width="77.625" customWidth="1"/>
    <col min="15045" max="15045" width="20.875" customWidth="1"/>
    <col min="15295" max="15295" width="2.875" customWidth="1"/>
    <col min="15296" max="15296" width="8.125" customWidth="1"/>
    <col min="15297" max="15297" width="8.75" customWidth="1"/>
    <col min="15298" max="15298" width="11" customWidth="1"/>
    <col min="15299" max="15299" width="2.875" customWidth="1"/>
    <col min="15300" max="15300" width="77.625" customWidth="1"/>
    <col min="15301" max="15301" width="20.875" customWidth="1"/>
    <col min="15551" max="15551" width="2.875" customWidth="1"/>
    <col min="15552" max="15552" width="8.125" customWidth="1"/>
    <col min="15553" max="15553" width="8.75" customWidth="1"/>
    <col min="15554" max="15554" width="11" customWidth="1"/>
    <col min="15555" max="15555" width="2.875" customWidth="1"/>
    <col min="15556" max="15556" width="77.625" customWidth="1"/>
    <col min="15557" max="15557" width="20.875" customWidth="1"/>
    <col min="15807" max="15807" width="2.875" customWidth="1"/>
    <col min="15808" max="15808" width="8.125" customWidth="1"/>
    <col min="15809" max="15809" width="8.75" customWidth="1"/>
    <col min="15810" max="15810" width="11" customWidth="1"/>
    <col min="15811" max="15811" width="2.875" customWidth="1"/>
    <col min="15812" max="15812" width="77.625" customWidth="1"/>
    <col min="15813" max="15813" width="20.875" customWidth="1"/>
    <col min="16063" max="16063" width="2.875" customWidth="1"/>
    <col min="16064" max="16064" width="8.125" customWidth="1"/>
    <col min="16065" max="16065" width="8.75" customWidth="1"/>
    <col min="16066" max="16066" width="11" customWidth="1"/>
    <col min="16067" max="16067" width="2.875" customWidth="1"/>
    <col min="16068" max="16068" width="77.625" customWidth="1"/>
    <col min="16069" max="16069" width="20.875" customWidth="1"/>
  </cols>
  <sheetData>
    <row r="1" spans="1:14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5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143" ht="22.5" customHeight="1" x14ac:dyDescent="0.4">
      <c r="A2" s="59" t="s">
        <v>359</v>
      </c>
      <c r="B2" s="60"/>
      <c r="C2" s="61"/>
      <c r="D2" s="61"/>
      <c r="E2" s="61"/>
      <c r="F2" s="60"/>
      <c r="G2" s="252"/>
      <c r="H2" s="605"/>
      <c r="I2" s="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143" ht="22.5" hidden="1" customHeight="1" x14ac:dyDescent="0.4">
      <c r="A3" s="59" t="s">
        <v>345</v>
      </c>
      <c r="B3" s="60"/>
      <c r="C3" s="61"/>
      <c r="D3" s="61"/>
      <c r="E3" s="61"/>
      <c r="F3" s="60"/>
      <c r="G3" s="252"/>
      <c r="H3" s="605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143" ht="22.5" customHeight="1" x14ac:dyDescent="0.4">
      <c r="A4" s="59" t="s">
        <v>360</v>
      </c>
      <c r="B4" s="60"/>
      <c r="C4" s="61"/>
      <c r="D4" s="61"/>
      <c r="E4" s="61"/>
      <c r="F4" s="60"/>
      <c r="G4" s="252"/>
      <c r="H4" s="605"/>
      <c r="I4" s="6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143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0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</row>
    <row r="6" spans="1:143" s="67" customFormat="1" ht="24.75" customHeight="1" thickTop="1" thickBot="1" x14ac:dyDescent="0.25">
      <c r="A6" s="65"/>
      <c r="B6" s="65"/>
      <c r="C6" s="65"/>
      <c r="D6" s="65"/>
      <c r="E6" s="65"/>
      <c r="F6" s="65"/>
      <c r="G6" s="599" t="s">
        <v>59</v>
      </c>
      <c r="H6" s="58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</row>
    <row r="7" spans="1:143" s="69" customFormat="1" ht="8.25" customHeight="1" thickTop="1" x14ac:dyDescent="0.2">
      <c r="A7" s="68"/>
      <c r="B7" s="68"/>
      <c r="C7" s="68"/>
      <c r="D7" s="68"/>
      <c r="E7" s="68"/>
      <c r="F7" s="68"/>
      <c r="G7" s="254"/>
      <c r="H7" s="418"/>
    </row>
    <row r="8" spans="1:143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/>
      <c r="H8" s="607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</row>
    <row r="9" spans="1:143" s="75" customFormat="1" ht="20.25" x14ac:dyDescent="0.2">
      <c r="A9" s="74"/>
      <c r="B9" s="74"/>
      <c r="C9" s="484" t="s">
        <v>114</v>
      </c>
      <c r="D9" s="484"/>
      <c r="E9" s="484"/>
      <c r="F9" s="74"/>
      <c r="G9" s="289">
        <v>1015000</v>
      </c>
      <c r="H9" s="41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</row>
    <row r="10" spans="1:143" s="75" customFormat="1" ht="20.25" x14ac:dyDescent="0.2">
      <c r="A10" s="74"/>
      <c r="B10" s="74"/>
      <c r="C10" s="484" t="s">
        <v>199</v>
      </c>
      <c r="D10" s="484"/>
      <c r="E10" s="484"/>
      <c r="F10" s="74"/>
      <c r="G10" s="290">
        <v>13000</v>
      </c>
      <c r="H10" s="41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</row>
    <row r="11" spans="1:143" s="75" customFormat="1" ht="20.25" x14ac:dyDescent="0.2">
      <c r="A11" s="74"/>
      <c r="B11" s="448"/>
      <c r="C11" s="484" t="s">
        <v>168</v>
      </c>
      <c r="D11" s="484"/>
      <c r="E11" s="484"/>
      <c r="F11" s="74"/>
      <c r="G11" s="290">
        <v>195000</v>
      </c>
      <c r="H11" s="41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</row>
    <row r="12" spans="1:143" s="75" customFormat="1" ht="20.25" x14ac:dyDescent="0.2">
      <c r="A12" s="74"/>
      <c r="B12" s="448"/>
      <c r="C12" s="484" t="s">
        <v>212</v>
      </c>
      <c r="D12" s="484"/>
      <c r="E12" s="484"/>
      <c r="F12" s="74"/>
      <c r="G12" s="290">
        <v>40000</v>
      </c>
      <c r="H12" s="41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</row>
    <row r="13" spans="1:143" s="75" customFormat="1" ht="20.25" x14ac:dyDescent="0.2">
      <c r="A13" s="74"/>
      <c r="B13" s="448"/>
      <c r="C13" s="484" t="s">
        <v>115</v>
      </c>
      <c r="D13" s="484"/>
      <c r="E13" s="484"/>
      <c r="F13" s="74"/>
      <c r="G13" s="290"/>
      <c r="H13" s="41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</row>
    <row r="14" spans="1:143" s="75" customFormat="1" ht="20.25" x14ac:dyDescent="0.2">
      <c r="A14" s="74"/>
      <c r="B14" s="448"/>
      <c r="C14" s="78"/>
      <c r="D14" s="484" t="s">
        <v>156</v>
      </c>
      <c r="E14" s="484"/>
      <c r="F14" s="74"/>
      <c r="G14" s="290">
        <f>43900+41500+122000</f>
        <v>207400</v>
      </c>
      <c r="H14" s="41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</row>
    <row r="15" spans="1:143" s="75" customFormat="1" ht="20.25" x14ac:dyDescent="0.2">
      <c r="A15" s="74"/>
      <c r="B15" s="448"/>
      <c r="C15" s="78"/>
      <c r="D15" s="484" t="s">
        <v>179</v>
      </c>
      <c r="E15" s="484"/>
      <c r="F15" s="74"/>
      <c r="G15" s="290">
        <v>11000</v>
      </c>
      <c r="H15" s="41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</row>
    <row r="16" spans="1:143" s="75" customFormat="1" ht="20.25" x14ac:dyDescent="0.2">
      <c r="A16" s="74"/>
      <c r="B16" s="448"/>
      <c r="C16" s="484" t="s">
        <v>116</v>
      </c>
      <c r="D16" s="484"/>
      <c r="E16" s="484"/>
      <c r="F16" s="74"/>
      <c r="G16" s="290">
        <v>9500</v>
      </c>
      <c r="H16" s="41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</row>
    <row r="17" spans="1:143" s="75" customFormat="1" ht="20.25" x14ac:dyDescent="0.2">
      <c r="A17" s="74"/>
      <c r="B17" s="448"/>
      <c r="C17" s="484" t="s">
        <v>123</v>
      </c>
      <c r="D17" s="484"/>
      <c r="E17" s="484"/>
      <c r="F17" s="74"/>
      <c r="G17" s="290">
        <v>1000</v>
      </c>
      <c r="H17" s="41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</row>
    <row r="18" spans="1:143" s="75" customFormat="1" ht="20.25" x14ac:dyDescent="0.2">
      <c r="A18" s="74"/>
      <c r="B18" s="448"/>
      <c r="C18" s="484" t="s">
        <v>302</v>
      </c>
      <c r="D18" s="484"/>
      <c r="E18" s="484"/>
      <c r="F18" s="74"/>
      <c r="G18" s="290">
        <v>3000</v>
      </c>
      <c r="H18" s="41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</row>
    <row r="19" spans="1:143" s="75" customFormat="1" ht="20.25" x14ac:dyDescent="0.2">
      <c r="A19" s="74"/>
      <c r="B19" s="448"/>
      <c r="C19" s="484" t="s">
        <v>303</v>
      </c>
      <c r="D19" s="484"/>
      <c r="E19" s="484"/>
      <c r="F19" s="74"/>
      <c r="G19" s="290">
        <f>25000+8000+20000</f>
        <v>53000</v>
      </c>
      <c r="H19" s="41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</row>
    <row r="20" spans="1:143" s="75" customFormat="1" ht="20.25" x14ac:dyDescent="0.2">
      <c r="A20" s="74"/>
      <c r="B20" s="448"/>
      <c r="C20" s="484" t="s">
        <v>162</v>
      </c>
      <c r="D20" s="484"/>
      <c r="E20" s="484"/>
      <c r="F20" s="74"/>
      <c r="G20" s="290">
        <v>500</v>
      </c>
      <c r="H20" s="41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</row>
    <row r="21" spans="1:143" s="75" customFormat="1" ht="20.25" hidden="1" x14ac:dyDescent="0.2">
      <c r="A21" s="74"/>
      <c r="B21" s="448"/>
      <c r="C21" s="484" t="s">
        <v>188</v>
      </c>
      <c r="D21" s="484"/>
      <c r="E21" s="484"/>
      <c r="F21" s="74"/>
      <c r="G21" s="290"/>
      <c r="H21" s="41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</row>
    <row r="22" spans="1:143" s="75" customFormat="1" ht="21" thickBot="1" x14ac:dyDescent="0.25">
      <c r="A22" s="74"/>
      <c r="B22" s="448"/>
      <c r="C22" s="484" t="s">
        <v>122</v>
      </c>
      <c r="D22" s="484"/>
      <c r="E22" s="484"/>
      <c r="F22" s="74"/>
      <c r="G22" s="291">
        <v>46575</v>
      </c>
      <c r="H22" s="41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</row>
    <row r="23" spans="1:143" s="75" customFormat="1" ht="20.25" x14ac:dyDescent="0.2">
      <c r="A23" s="74"/>
      <c r="B23" s="448"/>
      <c r="C23" s="484"/>
      <c r="D23" s="74" t="s">
        <v>118</v>
      </c>
      <c r="E23" s="484"/>
      <c r="F23" s="74"/>
      <c r="G23" s="256">
        <f>SUM(G9:G22)</f>
        <v>1594975</v>
      </c>
      <c r="H23" s="41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</row>
    <row r="24" spans="1:143" s="75" customFormat="1" ht="21" thickBot="1" x14ac:dyDescent="0.25">
      <c r="A24" s="74"/>
      <c r="B24" s="448"/>
      <c r="C24" s="74" t="s">
        <v>119</v>
      </c>
      <c r="D24" s="484"/>
      <c r="E24" s="484"/>
      <c r="F24" s="74"/>
      <c r="G24" s="264">
        <f>68000+18000</f>
        <v>86000</v>
      </c>
      <c r="H24" s="41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</row>
    <row r="25" spans="1:143" s="75" customFormat="1" ht="20.25" x14ac:dyDescent="0.2">
      <c r="A25" s="74"/>
      <c r="B25" s="448"/>
      <c r="C25" s="484"/>
      <c r="D25" s="74" t="s">
        <v>120</v>
      </c>
      <c r="E25" s="484"/>
      <c r="F25" s="74"/>
      <c r="G25" s="256">
        <f>SUM(G23:G24)</f>
        <v>1680975</v>
      </c>
      <c r="H25" s="41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</row>
    <row r="26" spans="1:143" s="75" customFormat="1" ht="6" customHeight="1" x14ac:dyDescent="0.2">
      <c r="A26" s="74"/>
      <c r="B26" s="448"/>
      <c r="C26" s="484"/>
      <c r="D26" s="74"/>
      <c r="E26" s="484"/>
      <c r="F26" s="74"/>
      <c r="G26" s="256"/>
      <c r="H26" s="41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</row>
    <row r="27" spans="1:143" s="75" customFormat="1" ht="21" thickBot="1" x14ac:dyDescent="0.25">
      <c r="A27" s="74"/>
      <c r="B27" s="449" t="s">
        <v>124</v>
      </c>
      <c r="C27" s="88"/>
      <c r="D27" s="88"/>
      <c r="E27" s="88"/>
      <c r="F27" s="88"/>
      <c r="G27" s="264"/>
      <c r="H27" s="41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</row>
    <row r="28" spans="1:143" s="69" customFormat="1" ht="20.25" x14ac:dyDescent="0.2">
      <c r="A28" s="68"/>
      <c r="B28" s="450"/>
      <c r="C28" s="80" t="s">
        <v>125</v>
      </c>
      <c r="D28" s="80"/>
      <c r="E28" s="80"/>
      <c r="F28" s="80"/>
      <c r="G28" s="254">
        <f>ROUND((898643.55+40000)*1.02,-2)</f>
        <v>957400</v>
      </c>
      <c r="H28" s="418"/>
    </row>
    <row r="29" spans="1:143" s="69" customFormat="1" ht="20.25" x14ac:dyDescent="0.2">
      <c r="A29" s="68"/>
      <c r="B29" s="450"/>
      <c r="C29" s="80" t="s">
        <v>126</v>
      </c>
      <c r="D29" s="80"/>
      <c r="E29" s="80"/>
      <c r="F29" s="80"/>
      <c r="G29" s="254">
        <f>ROUNDUP(G28*0.195,-2)</f>
        <v>186700</v>
      </c>
      <c r="H29" s="418"/>
    </row>
    <row r="30" spans="1:143" s="69" customFormat="1" ht="20.25" x14ac:dyDescent="0.2">
      <c r="A30" s="68"/>
      <c r="B30" s="450"/>
      <c r="C30" s="80" t="s">
        <v>127</v>
      </c>
      <c r="D30" s="80"/>
      <c r="E30" s="80"/>
      <c r="F30" s="80"/>
      <c r="G30" s="254">
        <f>48831-G22</f>
        <v>2256</v>
      </c>
      <c r="H30" s="418"/>
    </row>
    <row r="31" spans="1:143" s="69" customFormat="1" ht="20.25" x14ac:dyDescent="0.2">
      <c r="A31" s="68"/>
      <c r="B31" s="450"/>
      <c r="C31" s="80" t="s">
        <v>117</v>
      </c>
      <c r="D31" s="80"/>
      <c r="E31" s="80"/>
      <c r="F31" s="80"/>
      <c r="G31" s="254">
        <f>G22</f>
        <v>46575</v>
      </c>
      <c r="H31" s="418"/>
    </row>
    <row r="32" spans="1:143" s="69" customFormat="1" ht="20.25" x14ac:dyDescent="0.2">
      <c r="A32" s="68"/>
      <c r="B32" s="450"/>
      <c r="C32" s="80" t="s">
        <v>128</v>
      </c>
      <c r="D32" s="80"/>
      <c r="E32" s="80"/>
      <c r="F32" s="80"/>
      <c r="G32" s="254">
        <v>14000</v>
      </c>
      <c r="H32" s="418"/>
    </row>
    <row r="33" spans="1:8" s="69" customFormat="1" ht="20.25" x14ac:dyDescent="0.2">
      <c r="A33" s="68"/>
      <c r="B33" s="450"/>
      <c r="C33" s="80" t="s">
        <v>129</v>
      </c>
      <c r="D33" s="80"/>
      <c r="E33" s="80"/>
      <c r="F33" s="80"/>
      <c r="G33" s="254">
        <v>3500</v>
      </c>
      <c r="H33" s="418"/>
    </row>
    <row r="34" spans="1:8" s="69" customFormat="1" ht="20.25" x14ac:dyDescent="0.2">
      <c r="A34" s="68"/>
      <c r="B34" s="450"/>
      <c r="C34" s="80" t="s">
        <v>130</v>
      </c>
      <c r="D34" s="80"/>
      <c r="E34" s="80"/>
      <c r="F34" s="80"/>
      <c r="G34" s="254">
        <v>7000</v>
      </c>
      <c r="H34" s="418"/>
    </row>
    <row r="35" spans="1:8" s="69" customFormat="1" ht="20.25" x14ac:dyDescent="0.2">
      <c r="A35" s="68"/>
      <c r="B35" s="450"/>
      <c r="C35" s="80" t="s">
        <v>131</v>
      </c>
      <c r="D35" s="80"/>
      <c r="E35" s="80"/>
      <c r="F35" s="80"/>
      <c r="G35" s="254">
        <v>13500</v>
      </c>
      <c r="H35" s="418"/>
    </row>
    <row r="36" spans="1:8" s="69" customFormat="1" ht="20.25" x14ac:dyDescent="0.2">
      <c r="A36" s="68"/>
      <c r="B36" s="450"/>
      <c r="C36" s="80" t="s">
        <v>132</v>
      </c>
      <c r="D36" s="80"/>
      <c r="E36" s="80"/>
      <c r="F36" s="80"/>
      <c r="G36" s="254">
        <v>40000</v>
      </c>
      <c r="H36" s="418"/>
    </row>
    <row r="37" spans="1:8" s="69" customFormat="1" ht="20.25" x14ac:dyDescent="0.2">
      <c r="A37" s="68"/>
      <c r="B37" s="450"/>
      <c r="C37" s="80" t="s">
        <v>133</v>
      </c>
      <c r="D37" s="80"/>
      <c r="E37" s="80"/>
      <c r="F37" s="80"/>
      <c r="G37" s="254">
        <v>6600</v>
      </c>
      <c r="H37" s="418"/>
    </row>
    <row r="38" spans="1:8" s="69" customFormat="1" ht="20.25" x14ac:dyDescent="0.2">
      <c r="A38" s="68"/>
      <c r="B38" s="450"/>
      <c r="C38" s="80" t="s">
        <v>134</v>
      </c>
      <c r="D38" s="80"/>
      <c r="E38" s="80"/>
      <c r="F38" s="80"/>
      <c r="G38" s="254">
        <v>1500</v>
      </c>
      <c r="H38" s="418"/>
    </row>
    <row r="39" spans="1:8" s="69" customFormat="1" ht="20.25" x14ac:dyDescent="0.2">
      <c r="A39" s="68"/>
      <c r="B39" s="450"/>
      <c r="C39" s="80" t="s">
        <v>190</v>
      </c>
      <c r="D39" s="80"/>
      <c r="E39" s="80"/>
      <c r="F39" s="80"/>
      <c r="G39" s="254">
        <v>13700</v>
      </c>
      <c r="H39" s="418"/>
    </row>
    <row r="40" spans="1:8" s="77" customFormat="1" ht="20.25" x14ac:dyDescent="0.2">
      <c r="A40" s="80"/>
      <c r="B40" s="446"/>
      <c r="C40" s="80" t="s">
        <v>135</v>
      </c>
      <c r="D40" s="80"/>
      <c r="E40" s="80"/>
      <c r="F40" s="80"/>
      <c r="G40" s="358">
        <f>ROUNDUP(13248.87*1.05,-2)</f>
        <v>14000</v>
      </c>
      <c r="H40" s="417"/>
    </row>
    <row r="41" spans="1:8" s="77" customFormat="1" ht="20.25" x14ac:dyDescent="0.2">
      <c r="A41" s="80"/>
      <c r="B41" s="446"/>
      <c r="C41" s="80" t="s">
        <v>136</v>
      </c>
      <c r="D41" s="80"/>
      <c r="E41" s="80"/>
      <c r="F41" s="80"/>
      <c r="G41" s="254">
        <f>ROUNDUP(12343.85*1.03,-2)</f>
        <v>12800</v>
      </c>
      <c r="H41" s="417"/>
    </row>
    <row r="42" spans="1:8" s="77" customFormat="1" ht="20.25" x14ac:dyDescent="0.2">
      <c r="A42" s="80"/>
      <c r="B42" s="446"/>
      <c r="C42" s="80" t="s">
        <v>145</v>
      </c>
      <c r="D42" s="80"/>
      <c r="E42" s="80"/>
      <c r="F42" s="80"/>
      <c r="G42" s="254">
        <v>3000</v>
      </c>
      <c r="H42" s="417"/>
    </row>
    <row r="43" spans="1:8" s="77" customFormat="1" ht="20.25" x14ac:dyDescent="0.2">
      <c r="A43" s="80"/>
      <c r="B43" s="446"/>
      <c r="C43" s="80" t="s">
        <v>137</v>
      </c>
      <c r="D43" s="80"/>
      <c r="E43" s="80"/>
      <c r="F43" s="80"/>
      <c r="G43" s="358">
        <f>ROUNDUP((3067.88+8008.83)*1.05,-2)</f>
        <v>11700</v>
      </c>
      <c r="H43" s="417"/>
    </row>
    <row r="44" spans="1:8" s="69" customFormat="1" ht="20.25" x14ac:dyDescent="0.2">
      <c r="A44" s="68"/>
      <c r="B44" s="450"/>
      <c r="C44" s="80" t="s">
        <v>238</v>
      </c>
      <c r="D44" s="80"/>
      <c r="E44" s="80"/>
      <c r="F44" s="80"/>
      <c r="G44" s="254">
        <v>17000</v>
      </c>
      <c r="H44" s="418"/>
    </row>
    <row r="45" spans="1:8" s="77" customFormat="1" ht="20.25" x14ac:dyDescent="0.2">
      <c r="A45" s="80"/>
      <c r="B45" s="446"/>
      <c r="C45" s="80" t="s">
        <v>138</v>
      </c>
      <c r="D45" s="80"/>
      <c r="E45" s="80"/>
      <c r="F45" s="80"/>
      <c r="G45" s="358">
        <v>41000</v>
      </c>
      <c r="H45" s="417"/>
    </row>
    <row r="46" spans="1:8" s="77" customFormat="1" ht="20.25" x14ac:dyDescent="0.2">
      <c r="A46" s="80"/>
      <c r="B46" s="446"/>
      <c r="C46" s="80" t="s">
        <v>139</v>
      </c>
      <c r="D46" s="80"/>
      <c r="E46" s="80"/>
      <c r="F46" s="80"/>
      <c r="G46" s="358">
        <f>ROUNDUP((1800+4675.64+34905.29+1033.01-10000-2673-17150-1033+14000)*1.01,-2)</f>
        <v>25900</v>
      </c>
      <c r="H46" s="417"/>
    </row>
    <row r="47" spans="1:8" s="77" customFormat="1" ht="20.25" x14ac:dyDescent="0.2">
      <c r="A47" s="80"/>
      <c r="B47" s="446"/>
      <c r="C47" s="80" t="s">
        <v>191</v>
      </c>
      <c r="D47" s="80"/>
      <c r="E47" s="80"/>
      <c r="F47" s="80"/>
      <c r="G47" s="254">
        <v>36000</v>
      </c>
      <c r="H47" s="417"/>
    </row>
    <row r="48" spans="1:8" s="77" customFormat="1" ht="20.25" x14ac:dyDescent="0.2">
      <c r="A48" s="80"/>
      <c r="B48" s="446"/>
      <c r="C48" s="80" t="s">
        <v>189</v>
      </c>
      <c r="D48" s="80"/>
      <c r="E48" s="80"/>
      <c r="F48" s="80"/>
      <c r="G48" s="254">
        <f>ROUNDUP(46266.27*1.02,-2)</f>
        <v>47200</v>
      </c>
      <c r="H48" s="417"/>
    </row>
    <row r="49" spans="1:8" s="77" customFormat="1" ht="20.25" x14ac:dyDescent="0.2">
      <c r="A49" s="80"/>
      <c r="B49" s="446"/>
      <c r="C49" s="80" t="s">
        <v>140</v>
      </c>
      <c r="D49" s="80"/>
      <c r="E49" s="80"/>
      <c r="F49" s="80"/>
      <c r="G49" s="254">
        <f>ROUND((2604.31+166143.24-12000)*1.01,-2)</f>
        <v>158300</v>
      </c>
      <c r="H49" s="417"/>
    </row>
    <row r="50" spans="1:8" s="77" customFormat="1" ht="20.25" hidden="1" x14ac:dyDescent="0.2">
      <c r="A50" s="80"/>
      <c r="B50" s="446"/>
      <c r="C50" s="80" t="s">
        <v>347</v>
      </c>
      <c r="D50" s="80"/>
      <c r="E50" s="80"/>
      <c r="F50" s="80"/>
      <c r="G50" s="254"/>
      <c r="H50" s="417"/>
    </row>
    <row r="51" spans="1:8" s="69" customFormat="1" ht="20.25" x14ac:dyDescent="0.2">
      <c r="A51" s="68"/>
      <c r="B51" s="450"/>
      <c r="C51" s="68"/>
      <c r="D51" s="74" t="s">
        <v>141</v>
      </c>
      <c r="E51" s="68"/>
      <c r="F51" s="68"/>
      <c r="G51" s="259">
        <f>SUM(G28:G50)</f>
        <v>1659631</v>
      </c>
      <c r="H51" s="418"/>
    </row>
    <row r="52" spans="1:8" s="69" customFormat="1" ht="10.5" customHeight="1" thickBot="1" x14ac:dyDescent="0.25">
      <c r="A52" s="68"/>
      <c r="B52" s="450"/>
      <c r="C52" s="68"/>
      <c r="D52" s="74"/>
      <c r="E52" s="68"/>
      <c r="F52" s="68"/>
      <c r="G52" s="264"/>
      <c r="H52" s="418"/>
    </row>
    <row r="53" spans="1:8" s="69" customFormat="1" ht="21" thickBot="1" x14ac:dyDescent="0.25">
      <c r="A53" s="68"/>
      <c r="B53" s="450"/>
      <c r="C53" s="68"/>
      <c r="D53" s="68" t="s">
        <v>142</v>
      </c>
      <c r="E53" s="68"/>
      <c r="F53" s="68"/>
      <c r="G53" s="264">
        <f>G25-G51</f>
        <v>21344</v>
      </c>
      <c r="H53" s="418"/>
    </row>
    <row r="54" spans="1:8" s="69" customFormat="1" ht="11.25" customHeight="1" x14ac:dyDescent="0.2">
      <c r="A54" s="68"/>
      <c r="B54" s="450"/>
      <c r="C54" s="68"/>
      <c r="D54" s="68"/>
      <c r="E54" s="68"/>
      <c r="F54" s="68"/>
      <c r="G54" s="254"/>
      <c r="H54" s="418"/>
    </row>
    <row r="55" spans="1:8" s="77" customFormat="1" ht="20.25" x14ac:dyDescent="0.2">
      <c r="A55" s="80"/>
      <c r="B55" s="446"/>
      <c r="C55" s="80"/>
      <c r="D55" s="80"/>
      <c r="F55" s="80"/>
      <c r="G55" s="269"/>
      <c r="H55" s="417"/>
    </row>
    <row r="56" spans="1:8" s="77" customFormat="1" ht="20.25" x14ac:dyDescent="0.2">
      <c r="A56" s="80"/>
      <c r="B56" s="446"/>
      <c r="C56" s="80"/>
      <c r="D56" s="80"/>
      <c r="F56" s="80"/>
      <c r="G56" s="254"/>
      <c r="H56" s="417"/>
    </row>
    <row r="57" spans="1:8" s="77" customFormat="1" ht="20.25" x14ac:dyDescent="0.2">
      <c r="A57" s="80"/>
      <c r="B57" s="446"/>
      <c r="C57" s="80"/>
      <c r="D57" s="80"/>
      <c r="F57" s="80"/>
      <c r="G57" s="254"/>
      <c r="H57" s="417"/>
    </row>
    <row r="58" spans="1:8" s="77" customFormat="1" ht="20.25" x14ac:dyDescent="0.2">
      <c r="A58" s="80"/>
      <c r="B58" s="80"/>
      <c r="C58" s="80"/>
      <c r="D58" s="80"/>
      <c r="F58" s="80"/>
      <c r="G58" s="254"/>
      <c r="H58" s="417"/>
    </row>
    <row r="59" spans="1:8" s="77" customFormat="1" ht="20.25" x14ac:dyDescent="0.2">
      <c r="A59" s="80"/>
      <c r="B59" s="80"/>
      <c r="C59" s="80"/>
      <c r="D59" s="80"/>
      <c r="F59" s="80"/>
      <c r="G59" s="254"/>
      <c r="H59" s="417"/>
    </row>
    <row r="60" spans="1:8" s="77" customFormat="1" ht="20.25" x14ac:dyDescent="0.2">
      <c r="A60" s="80"/>
      <c r="B60" s="80"/>
      <c r="C60" s="80"/>
      <c r="D60" s="80"/>
      <c r="F60" s="80"/>
      <c r="G60" s="254"/>
      <c r="H60" s="417"/>
    </row>
    <row r="61" spans="1:8" s="77" customFormat="1" ht="20.25" x14ac:dyDescent="0.2">
      <c r="A61" s="80"/>
      <c r="B61" s="80"/>
      <c r="C61" s="68"/>
      <c r="D61" s="80"/>
      <c r="F61" s="80"/>
      <c r="G61" s="254"/>
      <c r="H61" s="417"/>
    </row>
    <row r="62" spans="1:8" s="77" customFormat="1" ht="20.25" x14ac:dyDescent="0.2">
      <c r="A62" s="80"/>
      <c r="B62" s="80"/>
      <c r="C62" s="80"/>
      <c r="D62" s="80"/>
      <c r="E62" s="80"/>
      <c r="F62" s="80"/>
      <c r="G62" s="254"/>
      <c r="H62" s="417"/>
    </row>
    <row r="63" spans="1:8" s="77" customFormat="1" ht="20.25" x14ac:dyDescent="0.2">
      <c r="A63" s="80"/>
      <c r="B63" s="80"/>
      <c r="C63" s="68"/>
      <c r="D63" s="68"/>
      <c r="G63" s="254"/>
      <c r="H63" s="417"/>
    </row>
    <row r="64" spans="1:8" s="77" customFormat="1" ht="20.25" x14ac:dyDescent="0.2">
      <c r="A64" s="80"/>
      <c r="B64" s="80"/>
      <c r="C64" s="80"/>
      <c r="D64" s="80"/>
      <c r="E64" s="80"/>
      <c r="F64" s="80"/>
      <c r="G64" s="254"/>
      <c r="H64" s="417"/>
    </row>
    <row r="65" spans="1:8" s="77" customFormat="1" ht="20.25" x14ac:dyDescent="0.2">
      <c r="A65" s="80"/>
      <c r="B65" s="80"/>
      <c r="C65" s="80"/>
      <c r="D65" s="80"/>
      <c r="E65" s="80"/>
      <c r="F65" s="80"/>
      <c r="G65" s="254"/>
      <c r="H65" s="417"/>
    </row>
    <row r="66" spans="1:8" s="77" customFormat="1" ht="20.25" x14ac:dyDescent="0.2">
      <c r="A66" s="80"/>
      <c r="B66" s="80"/>
      <c r="C66" s="80"/>
      <c r="D66" s="80"/>
      <c r="E66" s="80"/>
      <c r="F66" s="80"/>
      <c r="G66" s="254"/>
      <c r="H66" s="417"/>
    </row>
    <row r="67" spans="1:8" s="77" customFormat="1" ht="20.25" x14ac:dyDescent="0.2">
      <c r="A67" s="80"/>
      <c r="B67" s="80"/>
      <c r="C67" s="80"/>
      <c r="D67" s="80"/>
      <c r="E67" s="80"/>
      <c r="F67" s="80"/>
      <c r="G67" s="254"/>
      <c r="H67" s="417"/>
    </row>
    <row r="68" spans="1:8" s="77" customFormat="1" ht="20.25" x14ac:dyDescent="0.2">
      <c r="A68" s="80"/>
      <c r="B68" s="80"/>
      <c r="C68" s="68"/>
      <c r="D68" s="80"/>
      <c r="F68" s="80"/>
      <c r="G68" s="254"/>
      <c r="H68" s="417"/>
    </row>
    <row r="69" spans="1:8" s="77" customFormat="1" ht="20.25" x14ac:dyDescent="0.2">
      <c r="A69" s="80"/>
      <c r="B69" s="80"/>
      <c r="C69" s="80"/>
      <c r="D69" s="80"/>
      <c r="E69" s="80"/>
      <c r="F69" s="80"/>
      <c r="G69" s="254"/>
      <c r="H69" s="417"/>
    </row>
    <row r="70" spans="1:8" s="69" customFormat="1" ht="20.25" x14ac:dyDescent="0.2">
      <c r="A70" s="68"/>
      <c r="B70" s="68"/>
      <c r="C70" s="68"/>
      <c r="D70" s="68"/>
      <c r="E70" s="68"/>
      <c r="F70" s="68"/>
      <c r="G70" s="259"/>
      <c r="H70" s="418"/>
    </row>
    <row r="71" spans="1:8" s="69" customFormat="1" ht="20.25" x14ac:dyDescent="0.2">
      <c r="A71" s="68"/>
      <c r="B71" s="68"/>
      <c r="C71" s="68"/>
      <c r="D71" s="68"/>
      <c r="E71" s="68"/>
      <c r="F71" s="68"/>
      <c r="G71" s="259"/>
      <c r="H71" s="418"/>
    </row>
    <row r="72" spans="1:8" s="69" customFormat="1" ht="23.25" x14ac:dyDescent="0.2">
      <c r="A72" s="68"/>
      <c r="B72" s="297"/>
      <c r="C72" s="68"/>
      <c r="D72" s="68"/>
      <c r="E72" s="68"/>
      <c r="F72" s="68"/>
      <c r="G72" s="254"/>
      <c r="H72" s="418"/>
    </row>
    <row r="73" spans="1:8" s="77" customFormat="1" ht="20.25" x14ac:dyDescent="0.2">
      <c r="A73" s="80"/>
      <c r="B73" s="80"/>
      <c r="D73" s="80"/>
      <c r="E73" s="80"/>
      <c r="F73" s="80"/>
      <c r="G73" s="254"/>
      <c r="H73" s="417"/>
    </row>
    <row r="74" spans="1:8" s="77" customFormat="1" ht="20.25" x14ac:dyDescent="0.2">
      <c r="A74" s="80"/>
      <c r="B74" s="80"/>
      <c r="D74" s="80"/>
      <c r="E74" s="80"/>
      <c r="F74" s="80"/>
      <c r="G74" s="254"/>
      <c r="H74" s="417"/>
    </row>
    <row r="75" spans="1:8" s="69" customFormat="1" ht="20.25" x14ac:dyDescent="0.2">
      <c r="A75" s="68"/>
      <c r="B75" s="68"/>
      <c r="D75" s="80"/>
      <c r="E75" s="68"/>
      <c r="F75" s="68"/>
      <c r="G75" s="254"/>
      <c r="H75" s="418"/>
    </row>
    <row r="76" spans="1:8" s="69" customFormat="1" ht="23.25" x14ac:dyDescent="0.2">
      <c r="A76" s="68"/>
      <c r="B76" s="297"/>
      <c r="C76" s="68"/>
      <c r="D76" s="68"/>
      <c r="E76" s="68"/>
      <c r="F76" s="68"/>
      <c r="G76" s="259"/>
      <c r="H76" s="418"/>
    </row>
    <row r="77" spans="1:8" s="69" customFormat="1" ht="20.25" x14ac:dyDescent="0.2">
      <c r="A77" s="68"/>
      <c r="B77" s="68"/>
      <c r="C77" s="68"/>
      <c r="D77" s="68"/>
      <c r="E77" s="68"/>
      <c r="F77" s="68"/>
      <c r="G77" s="254"/>
      <c r="H77" s="418"/>
    </row>
    <row r="78" spans="1:8" s="83" customFormat="1" ht="26.25" x14ac:dyDescent="0.2">
      <c r="A78" s="294"/>
      <c r="B78" s="294"/>
      <c r="C78" s="294"/>
      <c r="D78" s="294"/>
      <c r="E78" s="294"/>
      <c r="F78" s="294"/>
      <c r="G78" s="295"/>
      <c r="H78" s="608"/>
    </row>
    <row r="79" spans="1:8" s="18" customFormat="1" x14ac:dyDescent="0.2">
      <c r="A79" s="123"/>
      <c r="B79" s="123"/>
      <c r="C79" s="123"/>
      <c r="D79" s="123"/>
      <c r="E79" s="123"/>
      <c r="F79" s="123"/>
      <c r="G79" s="298"/>
      <c r="H79" s="1"/>
    </row>
  </sheetData>
  <pageMargins left="0.45" right="0.45" top="0.5" bottom="0.5" header="0.3" footer="0.3"/>
  <pageSetup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106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215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356"/>
    </row>
    <row r="4" spans="1:23" ht="27.75" thickTop="1" thickBot="1" x14ac:dyDescent="0.25">
      <c r="A4" s="65"/>
      <c r="B4" s="65"/>
      <c r="C4" s="65"/>
      <c r="D4" s="65" t="s">
        <v>58</v>
      </c>
      <c r="E4" s="65"/>
      <c r="F4" s="65"/>
      <c r="G4" s="465" t="s">
        <v>59</v>
      </c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468"/>
      <c r="B6" s="714" t="s">
        <v>216</v>
      </c>
      <c r="C6" s="714"/>
      <c r="D6" s="714"/>
      <c r="E6" s="714"/>
      <c r="F6" s="714"/>
      <c r="G6" s="469">
        <v>42004</v>
      </c>
      <c r="H6" s="469">
        <v>41639</v>
      </c>
      <c r="I6" s="469">
        <v>41274</v>
      </c>
      <c r="J6" s="469">
        <v>41090</v>
      </c>
      <c r="K6" s="469">
        <v>40724</v>
      </c>
      <c r="L6" s="469">
        <v>40359</v>
      </c>
      <c r="M6" s="469">
        <v>39994</v>
      </c>
      <c r="N6" s="469">
        <v>39629</v>
      </c>
      <c r="O6" s="469">
        <v>39263</v>
      </c>
      <c r="P6" s="469">
        <v>38898</v>
      </c>
      <c r="Q6" s="469">
        <v>38533</v>
      </c>
      <c r="R6" s="469">
        <v>38168</v>
      </c>
      <c r="S6" s="469">
        <v>37802</v>
      </c>
      <c r="T6" s="469">
        <v>37437</v>
      </c>
      <c r="U6" s="469">
        <v>37072</v>
      </c>
      <c r="V6" s="469">
        <v>36707</v>
      </c>
      <c r="W6" s="469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217</v>
      </c>
      <c r="D8" s="74"/>
      <c r="E8" s="74"/>
      <c r="F8" s="74"/>
      <c r="G8" s="267">
        <v>333525.67</v>
      </c>
      <c r="H8" s="267">
        <v>210919</v>
      </c>
      <c r="I8" s="267">
        <v>214148</v>
      </c>
      <c r="J8" s="267">
        <v>156809</v>
      </c>
      <c r="K8" s="267">
        <v>240314</v>
      </c>
      <c r="L8" s="267">
        <v>142815</v>
      </c>
      <c r="M8" s="267">
        <v>82502</v>
      </c>
      <c r="N8" s="267">
        <v>45758</v>
      </c>
      <c r="O8" s="267">
        <v>105458</v>
      </c>
      <c r="P8" s="267">
        <v>29475</v>
      </c>
      <c r="Q8" s="267">
        <v>22537</v>
      </c>
      <c r="R8" s="267">
        <v>42935</v>
      </c>
      <c r="S8" s="267">
        <v>144393</v>
      </c>
      <c r="T8" s="267">
        <v>42414</v>
      </c>
      <c r="U8" s="267">
        <f>69880+9123</f>
        <v>79003</v>
      </c>
      <c r="V8" s="267">
        <v>92767</v>
      </c>
      <c r="W8" s="267">
        <v>13150</v>
      </c>
    </row>
    <row r="9" spans="1:23" ht="20.25" x14ac:dyDescent="0.2">
      <c r="A9" s="466"/>
      <c r="B9" s="466"/>
      <c r="C9" s="74" t="s">
        <v>218</v>
      </c>
      <c r="D9" s="80"/>
      <c r="E9" s="80"/>
      <c r="F9" s="80"/>
      <c r="G9" s="307">
        <v>247907.12</v>
      </c>
      <c r="H9" s="307">
        <v>311775</v>
      </c>
      <c r="I9" s="307">
        <v>243797</v>
      </c>
      <c r="J9" s="307">
        <v>347870</v>
      </c>
      <c r="K9" s="307">
        <v>298266</v>
      </c>
      <c r="L9" s="307">
        <v>296605</v>
      </c>
      <c r="M9" s="307">
        <v>349918</v>
      </c>
      <c r="N9" s="307">
        <v>366842</v>
      </c>
      <c r="O9" s="307">
        <v>209667</v>
      </c>
      <c r="P9" s="307">
        <v>234735</v>
      </c>
      <c r="Q9" s="307">
        <v>254712</v>
      </c>
      <c r="R9" s="307">
        <v>250225</v>
      </c>
      <c r="S9" s="307">
        <v>85795</v>
      </c>
      <c r="T9" s="307">
        <v>185461</v>
      </c>
      <c r="U9" s="307">
        <v>99322</v>
      </c>
      <c r="V9" s="307">
        <v>80619</v>
      </c>
      <c r="W9" s="307">
        <v>49127</v>
      </c>
    </row>
    <row r="10" spans="1:23" ht="20.25" x14ac:dyDescent="0.2">
      <c r="A10" s="466"/>
      <c r="B10" s="466"/>
      <c r="C10" s="715" t="s">
        <v>183</v>
      </c>
      <c r="D10" s="715"/>
      <c r="E10" s="715"/>
      <c r="F10" s="715"/>
      <c r="G10" s="307">
        <v>0</v>
      </c>
      <c r="H10" s="307">
        <v>5142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>
        <v>23</v>
      </c>
      <c r="S10" s="307">
        <v>4823</v>
      </c>
      <c r="T10" s="307">
        <v>6130</v>
      </c>
      <c r="U10" s="307">
        <v>19833</v>
      </c>
      <c r="V10" s="307"/>
      <c r="W10" s="307"/>
    </row>
    <row r="11" spans="1:23" ht="20.25" x14ac:dyDescent="0.2">
      <c r="A11" s="466"/>
      <c r="B11" s="466"/>
      <c r="C11" s="74" t="s">
        <v>219</v>
      </c>
      <c r="D11" s="466"/>
      <c r="E11" s="466"/>
      <c r="F11" s="466"/>
      <c r="G11" s="256">
        <v>31129.64</v>
      </c>
      <c r="H11" s="256">
        <v>30012</v>
      </c>
      <c r="I11" s="256">
        <v>30964</v>
      </c>
      <c r="J11" s="256">
        <v>30506</v>
      </c>
      <c r="K11" s="256">
        <v>28900</v>
      </c>
      <c r="L11" s="256">
        <v>28036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20.25" x14ac:dyDescent="0.2">
      <c r="A12" s="466"/>
      <c r="B12" s="466"/>
      <c r="C12" s="74" t="s">
        <v>177</v>
      </c>
      <c r="D12" s="79"/>
      <c r="E12" s="79"/>
      <c r="F12" s="79"/>
      <c r="G12" s="257">
        <v>5968.8799999999992</v>
      </c>
      <c r="H12" s="257">
        <v>4730</v>
      </c>
      <c r="I12" s="257">
        <v>3598</v>
      </c>
      <c r="J12" s="257">
        <f>1663+577</f>
        <v>2240</v>
      </c>
      <c r="K12" s="257">
        <f>5202</f>
        <v>5202</v>
      </c>
      <c r="L12" s="257">
        <v>1840</v>
      </c>
      <c r="M12" s="257">
        <v>1427</v>
      </c>
      <c r="N12" s="257">
        <v>360</v>
      </c>
      <c r="O12" s="257">
        <v>312</v>
      </c>
      <c r="P12" s="257"/>
      <c r="Q12" s="257">
        <v>5593</v>
      </c>
      <c r="R12" s="257">
        <v>3952</v>
      </c>
      <c r="S12" s="257">
        <v>13154</v>
      </c>
      <c r="T12" s="257">
        <v>2441</v>
      </c>
      <c r="U12" s="257"/>
      <c r="V12" s="257"/>
      <c r="W12" s="257"/>
    </row>
    <row r="13" spans="1:23" ht="20.25" x14ac:dyDescent="0.2">
      <c r="A13" s="74"/>
      <c r="B13" s="68"/>
      <c r="C13" s="68" t="s">
        <v>66</v>
      </c>
      <c r="D13" s="68"/>
      <c r="E13" s="68"/>
      <c r="F13" s="68"/>
      <c r="G13" s="259">
        <f>SUM(G8:G12)</f>
        <v>618531.31000000006</v>
      </c>
      <c r="H13" s="259">
        <f>SUM(H8:H12)</f>
        <v>562578</v>
      </c>
      <c r="I13" s="259">
        <f>SUM(I8:I12)</f>
        <v>492507</v>
      </c>
      <c r="J13" s="259">
        <f>SUM(J8:J12)</f>
        <v>537425</v>
      </c>
      <c r="K13" s="259">
        <f>SUM(K8:K12)</f>
        <v>572682</v>
      </c>
      <c r="L13" s="259">
        <f t="shared" ref="L13:W13" si="0">SUM(L8:L12)</f>
        <v>469296</v>
      </c>
      <c r="M13" s="259">
        <f t="shared" si="0"/>
        <v>433847</v>
      </c>
      <c r="N13" s="259">
        <f t="shared" si="0"/>
        <v>412960</v>
      </c>
      <c r="O13" s="259">
        <f t="shared" si="0"/>
        <v>315437</v>
      </c>
      <c r="P13" s="259">
        <f t="shared" si="0"/>
        <v>264210</v>
      </c>
      <c r="Q13" s="259">
        <f t="shared" si="0"/>
        <v>282842</v>
      </c>
      <c r="R13" s="259">
        <f t="shared" si="0"/>
        <v>297135</v>
      </c>
      <c r="S13" s="259">
        <f t="shared" si="0"/>
        <v>248165</v>
      </c>
      <c r="T13" s="259">
        <f t="shared" si="0"/>
        <v>236446</v>
      </c>
      <c r="U13" s="259">
        <f t="shared" si="0"/>
        <v>198158</v>
      </c>
      <c r="V13" s="259">
        <f t="shared" si="0"/>
        <v>173386</v>
      </c>
      <c r="W13" s="259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20.25" x14ac:dyDescent="0.3">
      <c r="A15" s="70"/>
      <c r="B15" s="292" t="s">
        <v>220</v>
      </c>
      <c r="C15" s="292"/>
      <c r="D15" s="292"/>
      <c r="E15" s="292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</row>
    <row r="16" spans="1:23" ht="20.25" x14ac:dyDescent="0.3">
      <c r="A16" s="70"/>
      <c r="B16" s="292"/>
      <c r="C16" s="292"/>
      <c r="D16" s="292"/>
      <c r="E16" s="292"/>
      <c r="F16" s="292"/>
      <c r="G16" s="293">
        <v>121148.45000000001</v>
      </c>
      <c r="H16" s="293">
        <v>88948</v>
      </c>
      <c r="I16" s="293">
        <v>81381</v>
      </c>
      <c r="J16" s="293">
        <v>85951</v>
      </c>
      <c r="K16" s="293">
        <v>75213</v>
      </c>
      <c r="L16" s="293">
        <v>103757</v>
      </c>
      <c r="M16" s="293">
        <v>72661</v>
      </c>
      <c r="N16" s="293">
        <v>91918</v>
      </c>
      <c r="O16" s="293">
        <v>80411</v>
      </c>
      <c r="P16" s="293">
        <v>57354</v>
      </c>
      <c r="Q16" s="293">
        <v>59451</v>
      </c>
      <c r="R16" s="293">
        <v>70947</v>
      </c>
      <c r="S16" s="293">
        <v>80279</v>
      </c>
      <c r="T16" s="293">
        <v>84266</v>
      </c>
      <c r="U16" s="293">
        <v>45164</v>
      </c>
      <c r="V16" s="293">
        <v>15210</v>
      </c>
      <c r="W16" s="293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spans="1:23" ht="20.25" hidden="1" x14ac:dyDescent="0.2">
      <c r="A18" s="74"/>
      <c r="B18" s="74"/>
      <c r="C18" s="74"/>
      <c r="D18" s="74"/>
      <c r="E18" s="74"/>
      <c r="F18" s="7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</row>
    <row r="19" spans="1:23" ht="27" thickBot="1" x14ac:dyDescent="0.25">
      <c r="A19" s="82" t="s">
        <v>69</v>
      </c>
      <c r="B19" s="82"/>
      <c r="C19" s="82"/>
      <c r="D19" s="82"/>
      <c r="E19" s="82"/>
      <c r="F19" s="82"/>
      <c r="G19" s="268">
        <f>G13+G16</f>
        <v>739679.76</v>
      </c>
      <c r="H19" s="268">
        <f>H13+H16</f>
        <v>651526</v>
      </c>
      <c r="I19" s="268">
        <f>I13+I16</f>
        <v>573888</v>
      </c>
      <c r="J19" s="268">
        <f>J13+J16</f>
        <v>623376</v>
      </c>
      <c r="K19" s="268">
        <f>K13+K16</f>
        <v>647895</v>
      </c>
      <c r="L19" s="268">
        <f t="shared" ref="L19:W19" si="1">L13+L16</f>
        <v>573053</v>
      </c>
      <c r="M19" s="268">
        <f t="shared" si="1"/>
        <v>506508</v>
      </c>
      <c r="N19" s="268">
        <f t="shared" si="1"/>
        <v>504878</v>
      </c>
      <c r="O19" s="268">
        <f t="shared" si="1"/>
        <v>395848</v>
      </c>
      <c r="P19" s="268">
        <f t="shared" si="1"/>
        <v>321564</v>
      </c>
      <c r="Q19" s="268">
        <f t="shared" si="1"/>
        <v>342293</v>
      </c>
      <c r="R19" s="268">
        <f t="shared" si="1"/>
        <v>368082</v>
      </c>
      <c r="S19" s="268">
        <f t="shared" si="1"/>
        <v>328444</v>
      </c>
      <c r="T19" s="268">
        <f t="shared" si="1"/>
        <v>320712</v>
      </c>
      <c r="U19" s="268">
        <f t="shared" si="1"/>
        <v>243322</v>
      </c>
      <c r="V19" s="268">
        <f t="shared" si="1"/>
        <v>188596</v>
      </c>
      <c r="W19" s="268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27.75" thickTop="1" thickBot="1" x14ac:dyDescent="0.25">
      <c r="A21" s="65"/>
      <c r="B21" s="65"/>
      <c r="C21" s="65"/>
      <c r="D21" s="65" t="s">
        <v>70</v>
      </c>
      <c r="E21" s="65"/>
      <c r="F21" s="65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21" thickTop="1" x14ac:dyDescent="0.2">
      <c r="A22" s="74"/>
      <c r="B22" s="74"/>
      <c r="C22" s="74"/>
      <c r="D22" s="74"/>
      <c r="E22" s="74"/>
      <c r="F22" s="74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24" hidden="1" thickBot="1" x14ac:dyDescent="0.25">
      <c r="A23" s="74"/>
      <c r="B23" s="87" t="s">
        <v>71</v>
      </c>
      <c r="C23" s="88"/>
      <c r="D23" s="88"/>
      <c r="E23" s="88"/>
      <c r="F23" s="88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20.25" hidden="1" x14ac:dyDescent="0.2">
      <c r="A24" s="74"/>
      <c r="B24" s="74"/>
      <c r="C24" s="74"/>
      <c r="D24" s="74"/>
      <c r="E24" s="74"/>
      <c r="F24" s="74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21" thickBot="1" x14ac:dyDescent="0.35">
      <c r="A25" s="70"/>
      <c r="B25" s="155" t="s">
        <v>221</v>
      </c>
      <c r="C25" s="156"/>
      <c r="D25" s="155"/>
      <c r="E25" s="155"/>
      <c r="F25" s="1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20.25" x14ac:dyDescent="0.2">
      <c r="A26" s="466"/>
      <c r="B26" s="466"/>
      <c r="C26" s="466"/>
      <c r="D26" s="466" t="s">
        <v>166</v>
      </c>
      <c r="E26" s="78"/>
      <c r="F26" s="466"/>
      <c r="G26" s="269">
        <v>31278.429999999997</v>
      </c>
      <c r="H26" s="269">
        <v>51714</v>
      </c>
      <c r="I26" s="269">
        <v>52083</v>
      </c>
      <c r="J26" s="269">
        <v>69820</v>
      </c>
      <c r="K26" s="269">
        <v>81032</v>
      </c>
      <c r="L26" s="269">
        <v>64928</v>
      </c>
      <c r="M26" s="269">
        <v>89064</v>
      </c>
      <c r="N26" s="269">
        <v>102814</v>
      </c>
      <c r="O26" s="269">
        <v>27734</v>
      </c>
      <c r="P26" s="269">
        <v>33537</v>
      </c>
      <c r="Q26" s="269">
        <v>47914</v>
      </c>
      <c r="R26" s="269">
        <v>42054</v>
      </c>
      <c r="S26" s="269">
        <v>32004</v>
      </c>
      <c r="T26" s="269">
        <v>28904</v>
      </c>
      <c r="U26" s="269">
        <v>2405</v>
      </c>
      <c r="V26" s="269">
        <v>7686</v>
      </c>
      <c r="W26" s="269">
        <v>0</v>
      </c>
    </row>
    <row r="27" spans="1:23" ht="20.25" x14ac:dyDescent="0.2">
      <c r="A27" s="466"/>
      <c r="B27" s="466"/>
      <c r="C27" s="466"/>
      <c r="D27" s="466" t="s">
        <v>222</v>
      </c>
      <c r="E27" s="78"/>
      <c r="F27" s="466"/>
      <c r="G27" s="254">
        <v>16019.88</v>
      </c>
      <c r="H27" s="254">
        <v>26466</v>
      </c>
      <c r="I27" s="254">
        <v>33722</v>
      </c>
      <c r="J27" s="254">
        <v>37279</v>
      </c>
      <c r="K27" s="254">
        <v>34130</v>
      </c>
      <c r="L27" s="254">
        <v>30917</v>
      </c>
      <c r="M27" s="254">
        <v>24891</v>
      </c>
      <c r="N27" s="254">
        <v>22167</v>
      </c>
      <c r="O27" s="254">
        <v>16739</v>
      </c>
      <c r="P27" s="254">
        <v>13502</v>
      </c>
      <c r="Q27" s="254">
        <v>10581</v>
      </c>
      <c r="R27" s="254">
        <v>28556</v>
      </c>
      <c r="S27" s="254">
        <v>22953</v>
      </c>
      <c r="T27" s="254">
        <v>13246</v>
      </c>
      <c r="U27" s="254">
        <v>10214</v>
      </c>
      <c r="V27" s="254">
        <v>5966</v>
      </c>
      <c r="W27" s="254">
        <v>2341</v>
      </c>
    </row>
    <row r="28" spans="1:23" ht="20.25" x14ac:dyDescent="0.2">
      <c r="A28" s="466"/>
      <c r="B28" s="466"/>
      <c r="C28" s="466"/>
      <c r="D28" s="466" t="s">
        <v>100</v>
      </c>
      <c r="E28" s="78"/>
      <c r="F28" s="466"/>
      <c r="G28" s="256">
        <v>19094</v>
      </c>
      <c r="H28" s="256">
        <v>21990</v>
      </c>
      <c r="I28" s="256">
        <v>17053</v>
      </c>
      <c r="J28" s="256">
        <v>23081</v>
      </c>
      <c r="K28" s="256">
        <v>20125</v>
      </c>
      <c r="L28" s="256">
        <v>23900</v>
      </c>
      <c r="M28" s="256">
        <v>25993</v>
      </c>
      <c r="N28" s="256">
        <v>25084</v>
      </c>
      <c r="O28" s="256">
        <v>17164</v>
      </c>
      <c r="P28" s="256">
        <v>23194</v>
      </c>
      <c r="Q28" s="256">
        <v>17986</v>
      </c>
      <c r="R28" s="256">
        <v>19684</v>
      </c>
      <c r="S28" s="256">
        <v>15461</v>
      </c>
      <c r="T28" s="256">
        <v>11736</v>
      </c>
      <c r="U28" s="256">
        <v>6552</v>
      </c>
      <c r="V28" s="256">
        <v>4625</v>
      </c>
      <c r="W28" s="256"/>
    </row>
    <row r="29" spans="1:23" ht="20.25" x14ac:dyDescent="0.2">
      <c r="A29" s="466"/>
      <c r="B29" s="466"/>
      <c r="C29" s="466"/>
      <c r="D29" s="466" t="s">
        <v>223</v>
      </c>
      <c r="E29" s="78"/>
      <c r="F29" s="466"/>
      <c r="G29" s="256"/>
      <c r="H29" s="256">
        <v>463</v>
      </c>
      <c r="I29" s="256">
        <f>1236+16400</f>
        <v>17636</v>
      </c>
      <c r="J29" s="256">
        <v>13302</v>
      </c>
      <c r="K29" s="256">
        <v>5311</v>
      </c>
      <c r="L29" s="256">
        <v>12315</v>
      </c>
      <c r="M29" s="256"/>
      <c r="N29" s="256"/>
      <c r="O29" s="256"/>
      <c r="P29" s="256">
        <v>20000</v>
      </c>
      <c r="Q29" s="256"/>
      <c r="R29" s="256">
        <v>25000</v>
      </c>
      <c r="S29" s="256"/>
      <c r="T29" s="256"/>
      <c r="U29" s="256"/>
      <c r="V29" s="256"/>
      <c r="W29" s="256">
        <v>48000</v>
      </c>
    </row>
    <row r="30" spans="1:23" ht="20.25" x14ac:dyDescent="0.2">
      <c r="A30" s="466"/>
      <c r="B30" s="466"/>
      <c r="C30" s="466"/>
      <c r="D30" s="80" t="s">
        <v>107</v>
      </c>
      <c r="E30" s="78"/>
      <c r="F30" s="466"/>
      <c r="G30" s="256">
        <v>136592.41</v>
      </c>
      <c r="H30" s="256">
        <v>101837</v>
      </c>
      <c r="I30" s="256">
        <v>31429</v>
      </c>
      <c r="J30" s="256">
        <v>21927</v>
      </c>
      <c r="K30" s="256">
        <v>24493</v>
      </c>
      <c r="L30" s="256">
        <v>23546</v>
      </c>
      <c r="M30" s="256">
        <v>29986</v>
      </c>
      <c r="N30" s="256">
        <v>97627</v>
      </c>
      <c r="O30" s="256">
        <v>91085</v>
      </c>
      <c r="P30" s="256">
        <v>6118</v>
      </c>
      <c r="Q30" s="256">
        <v>42621</v>
      </c>
      <c r="R30" s="256"/>
      <c r="S30" s="256">
        <v>13218</v>
      </c>
      <c r="T30" s="256">
        <v>36938</v>
      </c>
      <c r="U30" s="256">
        <v>40000</v>
      </c>
      <c r="V30" s="256">
        <v>38354</v>
      </c>
      <c r="W30" s="256">
        <v>11775</v>
      </c>
    </row>
    <row r="31" spans="1:23" ht="20.25" x14ac:dyDescent="0.2">
      <c r="A31" s="466"/>
      <c r="B31" s="466"/>
      <c r="C31" s="466"/>
      <c r="D31" s="79" t="s">
        <v>224</v>
      </c>
      <c r="E31" s="154"/>
      <c r="F31" s="79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3" ht="20.25" x14ac:dyDescent="0.2">
      <c r="A32" s="466"/>
      <c r="B32" s="466"/>
      <c r="C32" s="81" t="s">
        <v>83</v>
      </c>
      <c r="D32" s="466"/>
      <c r="E32" s="78"/>
      <c r="F32" s="466"/>
      <c r="G32" s="265">
        <f>SUM(G26:G31)</f>
        <v>202984.72</v>
      </c>
      <c r="H32" s="265">
        <f>SUM(H26:H31)</f>
        <v>202470</v>
      </c>
      <c r="I32" s="265">
        <f>SUM(I26:I31)</f>
        <v>151923</v>
      </c>
      <c r="J32" s="265">
        <f>SUM(J26:J31)</f>
        <v>165409</v>
      </c>
      <c r="K32" s="265">
        <f>SUM(K26:K31)</f>
        <v>165091</v>
      </c>
      <c r="L32" s="265">
        <f t="shared" ref="L32:W32" si="2">SUM(L26:L31)</f>
        <v>155606</v>
      </c>
      <c r="M32" s="265">
        <f t="shared" si="2"/>
        <v>169934</v>
      </c>
      <c r="N32" s="265">
        <f t="shared" si="2"/>
        <v>247692</v>
      </c>
      <c r="O32" s="265">
        <f t="shared" si="2"/>
        <v>152722</v>
      </c>
      <c r="P32" s="265">
        <f t="shared" si="2"/>
        <v>96351</v>
      </c>
      <c r="Q32" s="265">
        <f t="shared" si="2"/>
        <v>119102</v>
      </c>
      <c r="R32" s="265">
        <f t="shared" si="2"/>
        <v>115294</v>
      </c>
      <c r="S32" s="265">
        <f t="shared" si="2"/>
        <v>83636</v>
      </c>
      <c r="T32" s="265">
        <f t="shared" si="2"/>
        <v>90824</v>
      </c>
      <c r="U32" s="265">
        <f t="shared" si="2"/>
        <v>59171</v>
      </c>
      <c r="V32" s="265">
        <f t="shared" si="2"/>
        <v>56631</v>
      </c>
      <c r="W32" s="265">
        <f t="shared" si="2"/>
        <v>62116</v>
      </c>
    </row>
    <row r="33" spans="1:23" ht="20.25" x14ac:dyDescent="0.2">
      <c r="A33" s="466"/>
      <c r="B33" s="466"/>
      <c r="C33" s="466"/>
      <c r="D33" s="466"/>
      <c r="E33" s="466"/>
      <c r="F33" s="46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ht="20.25" x14ac:dyDescent="0.2">
      <c r="A34" s="74"/>
      <c r="B34" s="74"/>
      <c r="C34" s="74"/>
      <c r="D34" s="74"/>
      <c r="E34" s="74"/>
      <c r="F34" s="74"/>
      <c r="G34" s="471"/>
      <c r="H34" s="471"/>
      <c r="I34" s="471"/>
      <c r="J34" s="471"/>
      <c r="K34" s="471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24" thickBot="1" x14ac:dyDescent="0.25">
      <c r="A35" s="74"/>
      <c r="B35" s="87" t="s">
        <v>225</v>
      </c>
      <c r="C35" s="88"/>
      <c r="D35" s="88"/>
      <c r="E35" s="88"/>
      <c r="F35" s="88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</row>
    <row r="36" spans="1:23" ht="23.25" x14ac:dyDescent="0.2">
      <c r="A36" s="74"/>
      <c r="B36" s="297"/>
      <c r="C36" s="68"/>
      <c r="D36" s="466" t="s">
        <v>103</v>
      </c>
      <c r="E36" s="68"/>
      <c r="F36" s="68"/>
      <c r="G36" s="254">
        <v>55367.21</v>
      </c>
      <c r="H36" s="254">
        <v>52578</v>
      </c>
      <c r="I36" s="254">
        <v>54372</v>
      </c>
      <c r="J36" s="254">
        <v>74343</v>
      </c>
      <c r="K36" s="254">
        <v>140489</v>
      </c>
      <c r="L36" s="254">
        <v>85282</v>
      </c>
      <c r="M36" s="254">
        <v>9601</v>
      </c>
      <c r="N36" s="254">
        <v>9601</v>
      </c>
      <c r="O36" s="254">
        <v>5248</v>
      </c>
      <c r="P36" s="254">
        <v>4472</v>
      </c>
      <c r="Q36" s="254">
        <v>15207</v>
      </c>
      <c r="R36" s="254"/>
      <c r="S36" s="254"/>
      <c r="T36" s="254"/>
      <c r="U36" s="254"/>
      <c r="V36" s="254"/>
      <c r="W36" s="254"/>
    </row>
    <row r="37" spans="1:23" ht="21" thickBot="1" x14ac:dyDescent="0.25">
      <c r="A37" s="466"/>
      <c r="B37" s="466"/>
      <c r="C37" s="78"/>
      <c r="D37" s="466" t="s">
        <v>97</v>
      </c>
      <c r="E37" s="467"/>
      <c r="F37" s="467"/>
      <c r="G37" s="264">
        <v>481327.83000000013</v>
      </c>
      <c r="H37" s="264">
        <v>396478</v>
      </c>
      <c r="I37" s="264">
        <v>367593</v>
      </c>
      <c r="J37" s="264">
        <v>383624</v>
      </c>
      <c r="K37" s="264">
        <v>342315</v>
      </c>
      <c r="L37" s="264">
        <v>332165</v>
      </c>
      <c r="M37" s="264">
        <v>326973</v>
      </c>
      <c r="N37" s="264">
        <v>247585</v>
      </c>
      <c r="O37" s="264">
        <v>237878</v>
      </c>
      <c r="P37" s="264">
        <v>220741</v>
      </c>
      <c r="Q37" s="264">
        <v>207984</v>
      </c>
      <c r="R37" s="264">
        <v>252788</v>
      </c>
      <c r="S37" s="264">
        <v>244808</v>
      </c>
      <c r="T37" s="264">
        <v>229888</v>
      </c>
      <c r="U37" s="264">
        <v>184151</v>
      </c>
      <c r="V37" s="264">
        <v>131965</v>
      </c>
      <c r="W37" s="264">
        <v>15760</v>
      </c>
    </row>
    <row r="38" spans="1:23" ht="23.25" x14ac:dyDescent="0.2">
      <c r="A38" s="74"/>
      <c r="B38" s="90" t="s">
        <v>74</v>
      </c>
      <c r="C38" s="91"/>
      <c r="D38" s="91"/>
      <c r="E38" s="68"/>
      <c r="F38" s="68"/>
      <c r="G38" s="259">
        <f>G36+G37</f>
        <v>536695.04000000015</v>
      </c>
      <c r="H38" s="259">
        <f>H36+H37</f>
        <v>449056</v>
      </c>
      <c r="I38" s="259">
        <f>I36+I37</f>
        <v>421965</v>
      </c>
      <c r="J38" s="259">
        <f>J36+J37</f>
        <v>457967</v>
      </c>
      <c r="K38" s="259">
        <f>K36+K37</f>
        <v>482804</v>
      </c>
      <c r="L38" s="259">
        <f t="shared" ref="L38:W38" si="3">L36+L37</f>
        <v>417447</v>
      </c>
      <c r="M38" s="259">
        <f t="shared" si="3"/>
        <v>336574</v>
      </c>
      <c r="N38" s="259">
        <f t="shared" si="3"/>
        <v>257186</v>
      </c>
      <c r="O38" s="259">
        <f t="shared" si="3"/>
        <v>243126</v>
      </c>
      <c r="P38" s="259">
        <f t="shared" si="3"/>
        <v>225213</v>
      </c>
      <c r="Q38" s="259">
        <f t="shared" si="3"/>
        <v>223191</v>
      </c>
      <c r="R38" s="259">
        <f t="shared" si="3"/>
        <v>252788</v>
      </c>
      <c r="S38" s="259">
        <f t="shared" si="3"/>
        <v>244808</v>
      </c>
      <c r="T38" s="259">
        <f t="shared" si="3"/>
        <v>229888</v>
      </c>
      <c r="U38" s="259">
        <f t="shared" si="3"/>
        <v>184151</v>
      </c>
      <c r="V38" s="259">
        <f t="shared" si="3"/>
        <v>131965</v>
      </c>
      <c r="W38" s="259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</row>
    <row r="40" spans="1:23" ht="27" thickBot="1" x14ac:dyDescent="0.25">
      <c r="A40" s="82" t="s">
        <v>75</v>
      </c>
      <c r="B40" s="82"/>
      <c r="C40" s="82"/>
      <c r="D40" s="82"/>
      <c r="E40" s="82"/>
      <c r="F40" s="82"/>
      <c r="G40" s="395">
        <f>G32+G38</f>
        <v>739679.76000000013</v>
      </c>
      <c r="H40" s="395">
        <f>H32+H38</f>
        <v>651526</v>
      </c>
      <c r="I40" s="395">
        <f>I32+I38</f>
        <v>573888</v>
      </c>
      <c r="J40" s="395">
        <f>J32+J38</f>
        <v>623376</v>
      </c>
      <c r="K40" s="395">
        <f>K32+K38</f>
        <v>647895</v>
      </c>
      <c r="L40" s="395">
        <f t="shared" ref="L40:W40" si="4">L32+L38</f>
        <v>573053</v>
      </c>
      <c r="M40" s="395">
        <f t="shared" si="4"/>
        <v>506508</v>
      </c>
      <c r="N40" s="395">
        <f t="shared" si="4"/>
        <v>504878</v>
      </c>
      <c r="O40" s="395">
        <f t="shared" si="4"/>
        <v>395848</v>
      </c>
      <c r="P40" s="395">
        <f t="shared" si="4"/>
        <v>321564</v>
      </c>
      <c r="Q40" s="395">
        <f t="shared" si="4"/>
        <v>342293</v>
      </c>
      <c r="R40" s="395">
        <f t="shared" si="4"/>
        <v>368082</v>
      </c>
      <c r="S40" s="395">
        <f t="shared" si="4"/>
        <v>328444</v>
      </c>
      <c r="T40" s="395">
        <f t="shared" si="4"/>
        <v>320712</v>
      </c>
      <c r="U40" s="395">
        <f t="shared" si="4"/>
        <v>243322</v>
      </c>
      <c r="V40" s="395">
        <f t="shared" si="4"/>
        <v>188596</v>
      </c>
      <c r="W40" s="395">
        <f t="shared" si="4"/>
        <v>77876</v>
      </c>
    </row>
    <row r="41" spans="1:23" ht="15" thickTop="1" x14ac:dyDescent="0.2">
      <c r="D41" s="38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66" customFormat="1" x14ac:dyDescent="0.2">
      <c r="A42" s="470"/>
      <c r="B42" s="470"/>
      <c r="C42" s="470"/>
      <c r="D42" s="470"/>
      <c r="E42" s="470"/>
      <c r="F42" s="470"/>
      <c r="G42" s="298"/>
    </row>
    <row r="43" spans="1:23" s="266" customFormat="1" x14ac:dyDescent="0.2">
      <c r="A43" s="470"/>
      <c r="B43" s="470"/>
      <c r="C43" s="470"/>
      <c r="D43" s="470"/>
      <c r="E43" s="470"/>
      <c r="F43" s="470"/>
      <c r="G43" s="298"/>
    </row>
    <row r="44" spans="1:23" s="266" customFormat="1" x14ac:dyDescent="0.2">
      <c r="A44" s="470"/>
      <c r="B44" s="470"/>
      <c r="C44" s="470"/>
      <c r="D44" s="470"/>
      <c r="E44" s="470"/>
      <c r="F44" s="470"/>
      <c r="G44" s="298"/>
    </row>
    <row r="45" spans="1:23" s="266" customFormat="1" x14ac:dyDescent="0.2">
      <c r="A45" s="470"/>
      <c r="B45" s="470"/>
      <c r="C45" s="470"/>
      <c r="D45" s="470"/>
      <c r="E45" s="470"/>
      <c r="F45" s="470"/>
      <c r="G45" s="298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Notes</vt:lpstr>
      <vt:lpstr>Data</vt:lpstr>
      <vt:lpstr>June'17 Revenues &amp; Expenses</vt:lpstr>
      <vt:lpstr>June'17 AR Aging </vt:lpstr>
      <vt:lpstr>Jun'17 Financial Position</vt:lpstr>
      <vt:lpstr>Jun'17 State of Activities</vt:lpstr>
      <vt:lpstr>Jun'17 Transportation</vt:lpstr>
      <vt:lpstr>Budget</vt:lpstr>
      <vt:lpstr>YE Historic Data</vt:lpstr>
      <vt:lpstr>Budget!Print_Area</vt:lpstr>
      <vt:lpstr>'Jun''17 Financial Position'!Print_Area</vt:lpstr>
      <vt:lpstr>'Jun''17 State of Activities'!Print_Area</vt:lpstr>
      <vt:lpstr>'Jun''17 Transportation'!Print_Area</vt:lpstr>
      <vt:lpstr>'June''17 AR Aging '!Print_Area</vt:lpstr>
      <vt:lpstr>'June''17 Revenues &amp; Expenses'!Print_Area</vt:lpstr>
      <vt:lpstr>Notes!Print_Area</vt:lpstr>
      <vt:lpstr>'YE Historic Data'!Print_Area</vt:lpstr>
      <vt:lpstr>Notes!Print_Titles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John Ray</cp:lastModifiedBy>
  <cp:lastPrinted>2017-07-18T18:09:47Z</cp:lastPrinted>
  <dcterms:created xsi:type="dcterms:W3CDTF">2011-11-03T17:20:29Z</dcterms:created>
  <dcterms:modified xsi:type="dcterms:W3CDTF">2017-07-26T16:54:19Z</dcterms:modified>
</cp:coreProperties>
</file>