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17\"/>
    </mc:Choice>
  </mc:AlternateContent>
  <bookViews>
    <workbookView xWindow="90" yWindow="29220" windowWidth="14955" windowHeight="9060" tabRatio="787"/>
  </bookViews>
  <sheets>
    <sheet name="Notes" sheetId="15" r:id="rId1"/>
    <sheet name="Data" sheetId="19" state="hidden" r:id="rId2"/>
    <sheet name="August'17 Revenues &amp; Expenses" sheetId="3" r:id="rId3"/>
    <sheet name="August'17 AR Aging " sheetId="6" r:id="rId4"/>
    <sheet name="August'17 Financial Position" sheetId="5" r:id="rId5"/>
    <sheet name="August'17 State of Activities" sheetId="12" r:id="rId6"/>
    <sheet name="August'17 Transportation" sheetId="18" r:id="rId7"/>
    <sheet name="Budget" sheetId="20" state="hidden" r:id="rId8"/>
    <sheet name="YE Historic Data" sheetId="17" state="hidden" r:id="rId9"/>
  </sheets>
  <definedNames>
    <definedName name="_xlnm.Print_Area" localSheetId="3">'August''17 AR Aging '!$A$1:$G$108</definedName>
    <definedName name="_xlnm.Print_Area" localSheetId="4">'August''17 Financial Position'!$A$1:$N$67</definedName>
    <definedName name="_xlnm.Print_Area" localSheetId="2">'August''17 Revenues &amp; Expenses'!$A$1:$L$63</definedName>
    <definedName name="_xlnm.Print_Area" localSheetId="5">'August''17 State of Activities'!$A$1:$T$71</definedName>
    <definedName name="_xlnm.Print_Area" localSheetId="6">'August''17 Transportation'!$A$1:$R$50</definedName>
    <definedName name="_xlnm.Print_Area" localSheetId="7">Budget!$A$1:$G$54</definedName>
    <definedName name="_xlnm.Print_Area" localSheetId="0">Notes!$A$4:$H$92</definedName>
    <definedName name="_xlnm.Print_Area" localSheetId="8">'YE Historic Data'!$A$1:$W$41</definedName>
    <definedName name="_xlnm.Print_Titles" localSheetId="0">Notes!$1:$3</definedName>
  </definedNames>
  <calcPr calcId="152511"/>
</workbook>
</file>

<file path=xl/calcChain.xml><?xml version="1.0" encoding="utf-8"?>
<calcChain xmlns="http://schemas.openxmlformats.org/spreadsheetml/2006/main">
  <c r="E64" i="15" l="1"/>
  <c r="E60" i="15"/>
  <c r="E34" i="15"/>
  <c r="E33" i="15"/>
  <c r="E32" i="15"/>
  <c r="E30" i="15"/>
  <c r="E29" i="15"/>
  <c r="B485" i="19" l="1"/>
  <c r="B484" i="19"/>
  <c r="B515" i="19" l="1"/>
  <c r="B516" i="19"/>
  <c r="M26" i="18"/>
  <c r="M41" i="18" l="1"/>
  <c r="M39" i="18"/>
  <c r="M38" i="18"/>
  <c r="M34" i="18"/>
  <c r="M10" i="18"/>
  <c r="M13" i="18"/>
  <c r="M12" i="18"/>
  <c r="J26" i="18"/>
  <c r="J41" i="18"/>
  <c r="J40" i="18"/>
  <c r="J39" i="18"/>
  <c r="J38" i="18"/>
  <c r="J36" i="18"/>
  <c r="M35" i="18"/>
  <c r="J35" i="18"/>
  <c r="J34" i="18"/>
  <c r="J10" i="18"/>
  <c r="J19" i="18"/>
  <c r="J13" i="18"/>
  <c r="J12" i="18"/>
  <c r="J16" i="18"/>
  <c r="J64" i="12"/>
  <c r="J53" i="12"/>
  <c r="J50" i="12"/>
  <c r="J47" i="12"/>
  <c r="J46" i="12"/>
  <c r="J40" i="12"/>
  <c r="J34" i="12"/>
  <c r="L9" i="12"/>
  <c r="G64" i="12"/>
  <c r="G53" i="12"/>
  <c r="H42" i="5"/>
  <c r="G50" i="12"/>
  <c r="G47" i="12"/>
  <c r="G46" i="12"/>
  <c r="G40" i="12"/>
  <c r="G34" i="12"/>
  <c r="L50" i="5"/>
  <c r="L42" i="5"/>
  <c r="L22" i="5"/>
  <c r="H50" i="5"/>
  <c r="H22" i="5"/>
  <c r="J54" i="3" l="1"/>
  <c r="K56" i="3"/>
  <c r="J53" i="3"/>
  <c r="J52" i="3"/>
  <c r="I24" i="3" l="1"/>
  <c r="J10" i="3"/>
  <c r="C91" i="6" l="1"/>
  <c r="C13" i="6"/>
  <c r="D13" i="6"/>
  <c r="C46" i="6"/>
  <c r="D46" i="6"/>
  <c r="E42" i="6"/>
  <c r="C41" i="6"/>
  <c r="C52" i="6"/>
  <c r="E14" i="6"/>
  <c r="G55" i="15" l="1"/>
  <c r="G50" i="15"/>
  <c r="M37" i="18"/>
  <c r="J26" i="12"/>
  <c r="H59" i="5"/>
  <c r="G24" i="12"/>
  <c r="G8" i="12"/>
  <c r="C36" i="15" l="1"/>
  <c r="F86" i="15"/>
  <c r="F85" i="15"/>
  <c r="F73" i="15"/>
  <c r="E65" i="15"/>
  <c r="E27" i="15"/>
  <c r="G34" i="15"/>
  <c r="G33" i="15"/>
  <c r="G32" i="15"/>
  <c r="D31" i="15"/>
  <c r="G30" i="15"/>
  <c r="G29" i="15"/>
  <c r="D27" i="15" l="1"/>
  <c r="G31" i="15"/>
  <c r="B323" i="19" l="1"/>
  <c r="M27" i="18" l="1"/>
  <c r="M45" i="18" s="1"/>
  <c r="M49" i="18"/>
  <c r="K21" i="18"/>
  <c r="K46" i="18" s="1"/>
  <c r="K18" i="18"/>
  <c r="Q20" i="18"/>
  <c r="M19" i="18"/>
  <c r="Q19" i="18" s="1"/>
  <c r="M14" i="18"/>
  <c r="J15" i="18"/>
  <c r="Q15" i="18" s="1"/>
  <c r="Q41" i="18"/>
  <c r="Q40" i="18"/>
  <c r="Q39" i="18"/>
  <c r="Q48" i="18"/>
  <c r="Q44" i="18"/>
  <c r="Q43" i="18"/>
  <c r="Q42" i="18"/>
  <c r="Q38" i="18"/>
  <c r="Q37" i="18"/>
  <c r="Q36" i="18"/>
  <c r="Q35" i="18"/>
  <c r="Q34" i="18"/>
  <c r="Q33" i="18"/>
  <c r="Q32" i="18"/>
  <c r="Q31" i="18"/>
  <c r="Q30" i="18"/>
  <c r="Q29" i="18"/>
  <c r="Q28" i="18"/>
  <c r="Q26" i="18"/>
  <c r="Q25" i="18"/>
  <c r="Q16" i="18"/>
  <c r="Q13" i="18"/>
  <c r="Q12" i="18"/>
  <c r="Q10" i="18"/>
  <c r="M17" i="18"/>
  <c r="J17" i="18"/>
  <c r="Q17" i="18" l="1"/>
  <c r="M9" i="18"/>
  <c r="M18" i="18" s="1"/>
  <c r="M21" i="18" s="1"/>
  <c r="M46" i="18" s="1"/>
  <c r="M50" i="18" s="1"/>
  <c r="J9" i="18"/>
  <c r="J8" i="18"/>
  <c r="A4" i="18"/>
  <c r="A3" i="18"/>
  <c r="J27" i="18"/>
  <c r="Q27" i="18" s="1"/>
  <c r="J49" i="18"/>
  <c r="Q49" i="18" s="1"/>
  <c r="Q9" i="18" l="1"/>
  <c r="J45" i="18"/>
  <c r="Q45" i="18" s="1"/>
  <c r="J8" i="12" l="1"/>
  <c r="M8" i="18" s="1"/>
  <c r="R26" i="18"/>
  <c r="R25" i="18"/>
  <c r="R39" i="18"/>
  <c r="R19" i="18"/>
  <c r="R44" i="18"/>
  <c r="R43" i="18"/>
  <c r="R42" i="18"/>
  <c r="R41" i="18"/>
  <c r="R40" i="18"/>
  <c r="R38" i="18"/>
  <c r="R37" i="18"/>
  <c r="R36" i="18"/>
  <c r="R35" i="18"/>
  <c r="R34" i="18"/>
  <c r="R33" i="18"/>
  <c r="R32" i="18"/>
  <c r="R31" i="18"/>
  <c r="R30" i="18"/>
  <c r="R29" i="18"/>
  <c r="R20" i="18"/>
  <c r="R15" i="18"/>
  <c r="R13" i="18"/>
  <c r="R12" i="18"/>
  <c r="R10" i="18"/>
  <c r="R9" i="18" l="1"/>
  <c r="R27" i="18" l="1"/>
  <c r="R45" i="18" l="1"/>
  <c r="M62" i="12" l="1"/>
  <c r="L28" i="12"/>
  <c r="M28" i="12" s="1"/>
  <c r="M63" i="12"/>
  <c r="L53" i="12"/>
  <c r="M53" i="12" s="1"/>
  <c r="L52" i="12"/>
  <c r="M52" i="12" s="1"/>
  <c r="L51" i="12"/>
  <c r="L50" i="12"/>
  <c r="M50" i="12" s="1"/>
  <c r="L49" i="12"/>
  <c r="M49" i="12" s="1"/>
  <c r="L48" i="12"/>
  <c r="M48" i="12" s="1"/>
  <c r="L47" i="12"/>
  <c r="M47" i="12" s="1"/>
  <c r="L46" i="12"/>
  <c r="M46" i="12" s="1"/>
  <c r="L45" i="12"/>
  <c r="M45" i="12" s="1"/>
  <c r="L44" i="12"/>
  <c r="M44" i="12" s="1"/>
  <c r="L43" i="12"/>
  <c r="M43" i="12" s="1"/>
  <c r="L42" i="12"/>
  <c r="M42" i="12" s="1"/>
  <c r="L41" i="12"/>
  <c r="M41" i="12" s="1"/>
  <c r="L40" i="12"/>
  <c r="M40" i="12" s="1"/>
  <c r="L39" i="12"/>
  <c r="M39" i="12" s="1"/>
  <c r="L38" i="12"/>
  <c r="M38" i="12" s="1"/>
  <c r="L37" i="12"/>
  <c r="M37" i="12" s="1"/>
  <c r="L36" i="12"/>
  <c r="M36" i="12" s="1"/>
  <c r="L33" i="12"/>
  <c r="M33" i="12" s="1"/>
  <c r="L32" i="12"/>
  <c r="M32" i="12" s="1"/>
  <c r="L24" i="12"/>
  <c r="M24" i="12" s="1"/>
  <c r="L23" i="12"/>
  <c r="M23" i="12" s="1"/>
  <c r="L22" i="12"/>
  <c r="L21" i="12"/>
  <c r="M21" i="12" s="1"/>
  <c r="L20" i="12"/>
  <c r="M20" i="12" s="1"/>
  <c r="L19" i="12"/>
  <c r="M19" i="12" s="1"/>
  <c r="L17" i="12"/>
  <c r="L16" i="12"/>
  <c r="M16" i="12" s="1"/>
  <c r="L15" i="12"/>
  <c r="M15" i="12" s="1"/>
  <c r="L14" i="12"/>
  <c r="M14" i="12" s="1"/>
  <c r="L13" i="12"/>
  <c r="L12" i="12"/>
  <c r="M12" i="12" s="1"/>
  <c r="L11" i="12"/>
  <c r="M11" i="12" s="1"/>
  <c r="L10" i="12"/>
  <c r="M9" i="12"/>
  <c r="J63" i="12"/>
  <c r="J62" i="12"/>
  <c r="G35" i="12"/>
  <c r="G56" i="12" s="1"/>
  <c r="G18" i="12"/>
  <c r="H64" i="12"/>
  <c r="H50" i="12"/>
  <c r="H40" i="12"/>
  <c r="H34" i="12"/>
  <c r="H11" i="12"/>
  <c r="H24" i="12"/>
  <c r="H53" i="12"/>
  <c r="H47" i="12"/>
  <c r="H46" i="12"/>
  <c r="H35" i="12"/>
  <c r="H21" i="12"/>
  <c r="H17" i="12"/>
  <c r="J61" i="5"/>
  <c r="J59" i="5" s="1"/>
  <c r="J19" i="5"/>
  <c r="L18" i="12" l="1"/>
  <c r="M18" i="12" s="1"/>
  <c r="J14" i="18"/>
  <c r="L59" i="5"/>
  <c r="H27" i="12"/>
  <c r="H29" i="12" s="1"/>
  <c r="J50" i="5"/>
  <c r="J46" i="5"/>
  <c r="J42" i="5"/>
  <c r="K57" i="3"/>
  <c r="K53" i="3"/>
  <c r="K52" i="3"/>
  <c r="I41" i="3"/>
  <c r="K41" i="3" s="1"/>
  <c r="G38" i="3"/>
  <c r="I42" i="3"/>
  <c r="I37" i="3"/>
  <c r="Q14" i="18" l="1"/>
  <c r="J18" i="18"/>
  <c r="J21" i="18" s="1"/>
  <c r="J25" i="3"/>
  <c r="Q21" i="18" l="1"/>
  <c r="R21" i="18" s="1"/>
  <c r="J46" i="18"/>
  <c r="R14" i="18"/>
  <c r="Q18" i="18"/>
  <c r="R18" i="18" s="1"/>
  <c r="C86" i="6"/>
  <c r="G45" i="6"/>
  <c r="H25" i="3" s="1"/>
  <c r="G25" i="3" s="1"/>
  <c r="J50" i="18" l="1"/>
  <c r="Q50" i="18" s="1"/>
  <c r="Q46" i="18"/>
  <c r="R46" i="18" s="1"/>
  <c r="G14" i="20"/>
  <c r="G46" i="20"/>
  <c r="G49" i="20"/>
  <c r="G48" i="20"/>
  <c r="G43" i="20"/>
  <c r="G41" i="20"/>
  <c r="G40" i="20"/>
  <c r="G28" i="20"/>
  <c r="G29" i="20" s="1"/>
  <c r="G24" i="20"/>
  <c r="G19" i="20"/>
  <c r="G31" i="20"/>
  <c r="G30" i="20"/>
  <c r="F90" i="15"/>
  <c r="G23" i="20" l="1"/>
  <c r="G25" i="20" s="1"/>
  <c r="G51" i="20"/>
  <c r="G53" i="20" l="1"/>
  <c r="L54" i="12" l="1"/>
  <c r="J31" i="5"/>
  <c r="J22" i="5"/>
  <c r="L53" i="3"/>
  <c r="F53" i="3"/>
  <c r="L52" i="3"/>
  <c r="H52" i="3"/>
  <c r="D32" i="6" l="1"/>
  <c r="G27" i="15" l="1"/>
  <c r="G36" i="15" s="1"/>
  <c r="H36" i="15" s="1"/>
  <c r="A132" i="19"/>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N50" i="5" l="1"/>
  <c r="N42" i="5"/>
  <c r="N31" i="5"/>
  <c r="N22" i="5"/>
  <c r="F24" i="3"/>
  <c r="J26" i="3" l="1"/>
  <c r="J24" i="3" l="1"/>
  <c r="G47" i="6"/>
  <c r="D49" i="6"/>
  <c r="F78" i="15" l="1"/>
  <c r="J11" i="3" l="1"/>
  <c r="B80" i="15" l="1"/>
  <c r="D81" i="15"/>
  <c r="E80" i="15"/>
  <c r="E81" i="15" s="1"/>
  <c r="G79" i="15"/>
  <c r="F79" i="15" s="1"/>
  <c r="G74" i="15"/>
  <c r="F72" i="15"/>
  <c r="I38" i="3"/>
  <c r="F89" i="15"/>
  <c r="G80" i="15" l="1"/>
  <c r="G81" i="15" s="1"/>
  <c r="G56" i="6" l="1"/>
  <c r="C49" i="6"/>
  <c r="C42" i="6"/>
  <c r="D23" i="6"/>
  <c r="C23" i="6"/>
  <c r="G17" i="6"/>
  <c r="H12" i="3" s="1"/>
  <c r="I12" i="3" s="1"/>
  <c r="J12" i="3" s="1"/>
  <c r="G18" i="6" l="1"/>
  <c r="F88" i="15"/>
  <c r="F87" i="15"/>
  <c r="D92" i="15"/>
  <c r="G91" i="15"/>
  <c r="G90" i="15"/>
  <c r="G89" i="15"/>
  <c r="L26" i="12" l="1"/>
  <c r="M26" i="12" s="1"/>
  <c r="L62" i="12"/>
  <c r="L25" i="12"/>
  <c r="H56" i="12" l="1"/>
  <c r="N8" i="5"/>
  <c r="G86" i="15"/>
  <c r="F76" i="15"/>
  <c r="F81" i="15" s="1"/>
  <c r="K39" i="3"/>
  <c r="E87" i="15" l="1"/>
  <c r="F92" i="15"/>
  <c r="G85" i="15"/>
  <c r="G87" i="15" l="1"/>
  <c r="N59" i="5"/>
  <c r="G60" i="6" l="1"/>
  <c r="I52" i="3" s="1"/>
  <c r="K38" i="3" l="1"/>
  <c r="G13" i="6" l="1"/>
  <c r="H11" i="3" l="1"/>
  <c r="G11" i="3" s="1"/>
  <c r="U8" i="17"/>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63" i="12" l="1"/>
  <c r="G21" i="6"/>
  <c r="H16" i="3" s="1"/>
  <c r="J16" i="3" l="1"/>
  <c r="G16" i="3"/>
  <c r="G65" i="12"/>
  <c r="L54" i="5" l="1"/>
  <c r="L47" i="5"/>
  <c r="L30" i="5"/>
  <c r="L16" i="5"/>
  <c r="K61" i="3"/>
  <c r="K37" i="3"/>
  <c r="G41" i="6" l="1"/>
  <c r="E15" i="15" l="1"/>
  <c r="J65" i="3"/>
  <c r="G46" i="6" l="1"/>
  <c r="H27" i="3" s="1"/>
  <c r="J27" i="3" l="1"/>
  <c r="G65" i="3"/>
  <c r="G27" i="3" l="1"/>
  <c r="N54" i="5"/>
  <c r="N47" i="5"/>
  <c r="N32" i="5"/>
  <c r="N23" i="5"/>
  <c r="N16" i="5"/>
  <c r="L56" i="5"/>
  <c r="L32" i="5"/>
  <c r="L23" i="5"/>
  <c r="L25" i="5" s="1"/>
  <c r="J54" i="5"/>
  <c r="H54" i="5"/>
  <c r="J32" i="5"/>
  <c r="H32" i="5"/>
  <c r="J16" i="5"/>
  <c r="H16" i="5"/>
  <c r="L67" i="5" l="1"/>
  <c r="N25" i="5"/>
  <c r="N35" i="5" s="1"/>
  <c r="N56" i="5"/>
  <c r="N67" i="5" s="1"/>
  <c r="L35" i="5"/>
  <c r="G27" i="12" l="1"/>
  <c r="D186" i="6" l="1"/>
  <c r="D187" i="6"/>
  <c r="D188" i="6"/>
  <c r="J65" i="12" l="1"/>
  <c r="L65" i="12" s="1"/>
  <c r="M65" i="12" s="1"/>
  <c r="M19" i="3"/>
  <c r="N19" i="3" s="1"/>
  <c r="M18" i="3"/>
  <c r="N18" i="3" s="1"/>
  <c r="F186" i="6" l="1"/>
  <c r="G31" i="6" l="1"/>
  <c r="H22" i="3" s="1"/>
  <c r="G22" i="3" s="1"/>
  <c r="G58" i="6"/>
  <c r="E17" i="15" s="1"/>
  <c r="G49" i="6"/>
  <c r="G48" i="6"/>
  <c r="H26" i="3" l="1"/>
  <c r="G26" i="3" s="1"/>
  <c r="H29" i="3"/>
  <c r="J29" i="3" l="1"/>
  <c r="F42" i="3"/>
  <c r="G29" i="3" l="1"/>
  <c r="N190" i="6"/>
  <c r="M190" i="6"/>
  <c r="L190" i="6"/>
  <c r="K190" i="6"/>
  <c r="J190" i="6"/>
  <c r="I190" i="6"/>
  <c r="H190" i="6"/>
  <c r="G190" i="6"/>
  <c r="C54" i="6" l="1"/>
  <c r="F27" i="6"/>
  <c r="F62" i="6" s="1"/>
  <c r="G30" i="6"/>
  <c r="H21" i="3" s="1"/>
  <c r="C32" i="6"/>
  <c r="C189" i="6" l="1"/>
  <c r="D42" i="6" l="1"/>
  <c r="G52" i="6"/>
  <c r="G53" i="6"/>
  <c r="G54" i="6" l="1"/>
  <c r="H28" i="3" l="1"/>
  <c r="J28" i="3" l="1"/>
  <c r="G20" i="6"/>
  <c r="G19" i="6"/>
  <c r="H14" i="3" s="1"/>
  <c r="G40" i="6"/>
  <c r="J68" i="3" s="1"/>
  <c r="D14" i="6"/>
  <c r="D62" i="6" s="1"/>
  <c r="C14" i="6"/>
  <c r="G12" i="6"/>
  <c r="H10" i="3" s="1"/>
  <c r="G10" i="3" s="1"/>
  <c r="G6" i="6"/>
  <c r="G28" i="3" l="1"/>
  <c r="G14" i="3"/>
  <c r="J14" i="3"/>
  <c r="J35" i="12"/>
  <c r="J27" i="12"/>
  <c r="L27" i="12" s="1"/>
  <c r="L34" i="12" l="1"/>
  <c r="L35" i="12"/>
  <c r="M35" i="12" s="1"/>
  <c r="M27" i="12"/>
  <c r="L29" i="12"/>
  <c r="J56" i="12"/>
  <c r="J29" i="12"/>
  <c r="J66" i="12"/>
  <c r="J68" i="12" s="1"/>
  <c r="M34" i="12" l="1"/>
  <c r="L56" i="12"/>
  <c r="M56" i="12" s="1"/>
  <c r="M29" i="12"/>
  <c r="J58" i="12"/>
  <c r="L61" i="5" s="1"/>
  <c r="N61" i="5" l="1"/>
  <c r="J22" i="3"/>
  <c r="I35" i="3" l="1"/>
  <c r="K35" i="3" s="1"/>
  <c r="K44" i="3" s="1"/>
  <c r="I65" i="3" l="1"/>
  <c r="H65" i="12"/>
  <c r="K30" i="3"/>
  <c r="L44" i="3" s="1"/>
  <c r="H46" i="5" s="1"/>
  <c r="H47" i="5" s="1"/>
  <c r="H56" i="5" s="1"/>
  <c r="H66" i="12" l="1"/>
  <c r="G29" i="12"/>
  <c r="G58" i="12" s="1"/>
  <c r="H61" i="5" s="1"/>
  <c r="C8" i="6"/>
  <c r="C62" i="6" s="1"/>
  <c r="H58" i="12" l="1"/>
  <c r="H68" i="12" s="1"/>
  <c r="J42" i="3"/>
  <c r="J70" i="12" l="1"/>
  <c r="N62" i="5"/>
  <c r="N64" i="5" s="1"/>
  <c r="L62" i="5"/>
  <c r="L58" i="12"/>
  <c r="M58" i="12" s="1"/>
  <c r="G70" i="12" l="1"/>
  <c r="L64" i="5"/>
  <c r="J71" i="12"/>
  <c r="E62" i="6"/>
  <c r="C188" i="6" s="1"/>
  <c r="G7" i="6"/>
  <c r="H8" i="3" s="1"/>
  <c r="J8" i="3" s="1"/>
  <c r="G22" i="6"/>
  <c r="H17" i="3" s="1"/>
  <c r="D19" i="3"/>
  <c r="C19" i="3"/>
  <c r="G8" i="3" l="1"/>
  <c r="G17" i="3"/>
  <c r="G23" i="6"/>
  <c r="E14" i="15" s="1"/>
  <c r="C187" i="6"/>
  <c r="G8" i="6"/>
  <c r="G39" i="6"/>
  <c r="G32" i="6"/>
  <c r="E12" i="15" s="1"/>
  <c r="G11" i="6"/>
  <c r="H9" i="3" s="1"/>
  <c r="I9" i="3" s="1"/>
  <c r="G9" i="3" l="1"/>
  <c r="J9" i="3"/>
  <c r="H24" i="3"/>
  <c r="G24" i="3" s="1"/>
  <c r="E16" i="15"/>
  <c r="I30" i="3"/>
  <c r="E11" i="15"/>
  <c r="H65" i="3"/>
  <c r="K65" i="3" s="1"/>
  <c r="C186" i="6"/>
  <c r="C190" i="6" s="1"/>
  <c r="D190" i="6"/>
  <c r="G14" i="6"/>
  <c r="E13" i="15" s="1"/>
  <c r="G27" i="6"/>
  <c r="G42" i="6"/>
  <c r="H30" i="3" l="1"/>
  <c r="E18" i="15"/>
  <c r="G62" i="6"/>
  <c r="F190" i="6"/>
  <c r="H44" i="3"/>
  <c r="H19" i="5" l="1"/>
  <c r="E196" i="19"/>
  <c r="C88" i="6"/>
  <c r="G30" i="3"/>
  <c r="J70" i="3"/>
  <c r="H67" i="5" l="1"/>
  <c r="H23" i="5"/>
  <c r="H25" i="5" s="1"/>
  <c r="H35" i="5" s="1"/>
  <c r="J23" i="5"/>
  <c r="J25" i="5" s="1"/>
  <c r="J35" i="5" s="1"/>
  <c r="M61" i="3"/>
  <c r="I61" i="3"/>
  <c r="J69" i="3" s="1"/>
  <c r="J71" i="3" s="1"/>
  <c r="J61" i="3"/>
  <c r="G61" i="3"/>
  <c r="F61" i="3"/>
  <c r="L58" i="3"/>
  <c r="L56" i="3"/>
  <c r="L55" i="3"/>
  <c r="F44" i="3"/>
  <c r="G44" i="3"/>
  <c r="J44" i="3"/>
  <c r="J30" i="3"/>
  <c r="J47" i="5" l="1"/>
  <c r="J56" i="5" s="1"/>
  <c r="J67" i="5" s="1"/>
  <c r="I44" i="3"/>
  <c r="L57" i="3" l="1"/>
  <c r="L61" i="3" l="1"/>
  <c r="L63" i="3" s="1"/>
  <c r="H61" i="3"/>
  <c r="L64" i="12"/>
  <c r="M64" i="12" s="1"/>
  <c r="G66" i="12"/>
  <c r="E88" i="15"/>
  <c r="J62" i="5" l="1"/>
  <c r="J64" i="5" s="1"/>
  <c r="J70" i="5" s="1"/>
  <c r="H60" i="5"/>
  <c r="H62" i="5" s="1"/>
  <c r="H64" i="5" s="1"/>
  <c r="H70" i="5" s="1"/>
  <c r="G68" i="12"/>
  <c r="G71" i="12" s="1"/>
  <c r="L66" i="12"/>
  <c r="M66" i="12" s="1"/>
  <c r="E92" i="15"/>
  <c r="G88" i="15"/>
  <c r="G92" i="15" s="1"/>
  <c r="L68" i="12" l="1"/>
  <c r="F36" i="15"/>
</calcChain>
</file>

<file path=xl/comments1.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<sst xmlns="http://schemas.openxmlformats.org/spreadsheetml/2006/main" count="625" uniqueCount="458">
  <si>
    <t>Columbia County Community Healthcare Consortium, Inc.</t>
  </si>
  <si>
    <t>Grant No.</t>
  </si>
  <si>
    <t>Start Date</t>
  </si>
  <si>
    <t>End Date</t>
  </si>
  <si>
    <t>Deferred Revenue</t>
  </si>
  <si>
    <t>Facilitated Enrollment</t>
  </si>
  <si>
    <t>C-021701</t>
  </si>
  <si>
    <t>Contract</t>
  </si>
  <si>
    <t>Jan Koweek Memorial Fund-Restricted to Health Use</t>
  </si>
  <si>
    <t>Cancer Donations - Columbia County</t>
  </si>
  <si>
    <t>Cancer Donations - Greene County</t>
  </si>
  <si>
    <t>Temporary Restricted Net Assets</t>
  </si>
  <si>
    <t>Temporarily Restricted Net Assets</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</si>
  <si>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</si>
  <si>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</si>
  <si>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</si>
  <si>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</si>
  <si>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</si>
  <si>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</si>
  <si>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</si>
  <si>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</si>
  <si>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</si>
  <si>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</si>
  <si>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</si>
  <si>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</si>
  <si>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</si>
  <si>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</si>
  <si>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</si>
  <si>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</si>
  <si>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</si>
  <si>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</si>
  <si>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</si>
  <si>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</si>
  <si>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</si>
  <si>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</si>
  <si>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</si>
  <si>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</si>
  <si>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</si>
  <si>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</si>
  <si>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</si>
  <si>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</si>
  <si>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</si>
  <si>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</si>
  <si>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</si>
  <si>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</si>
  <si>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</si>
  <si>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</si>
  <si>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</si>
  <si>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</si>
  <si>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</si>
  <si>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</si>
  <si>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</si>
  <si>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</si>
  <si>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</si>
  <si>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</si>
  <si>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</si>
  <si>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Childhood Obesity - COLA</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</si>
  <si>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</si>
  <si>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</si>
  <si>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</si>
  <si>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</si>
  <si>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</si>
  <si>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</si>
  <si>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</si>
  <si>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</si>
  <si>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</si>
  <si>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</si>
  <si>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</si>
  <si>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</si>
  <si>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</si>
  <si>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</si>
  <si>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</si>
  <si>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</si>
  <si>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</si>
  <si>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</si>
  <si>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</si>
  <si>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</si>
  <si>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</si>
  <si>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</si>
  <si>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</si>
  <si>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</si>
  <si>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</si>
  <si>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</si>
  <si>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</si>
  <si>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</si>
  <si>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</si>
  <si>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</si>
  <si>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</si>
  <si>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</si>
  <si>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</si>
  <si>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</si>
  <si>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</si>
  <si>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</si>
  <si>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</si>
  <si>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</si>
  <si>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</si>
  <si>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</si>
  <si>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</si>
  <si>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</si>
  <si>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</si>
  <si>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</si>
  <si>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</si>
  <si>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</si>
  <si>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</si>
  <si>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</si>
  <si>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</si>
  <si>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</si>
  <si>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</si>
  <si>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</si>
  <si>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</si>
  <si>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</si>
  <si>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Total Temp Restricted</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</si>
  <si>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</si>
  <si>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</si>
  <si>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</si>
  <si>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</si>
  <si>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</si>
  <si>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</si>
  <si>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</si>
  <si>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</si>
  <si>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</si>
  <si>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</si>
  <si>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</si>
  <si>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</si>
  <si>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</si>
  <si>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</si>
  <si>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</si>
  <si>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</si>
  <si>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</si>
  <si>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</si>
  <si>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</si>
  <si>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</si>
  <si>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</si>
  <si>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</si>
  <si>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</si>
  <si>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</si>
  <si>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</si>
  <si>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</si>
  <si>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</si>
  <si>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</si>
  <si>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</si>
  <si>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</si>
  <si>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</si>
  <si>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Changes in Temporarily Restricted Net Assets</t>
  </si>
  <si>
    <t>Change in Temporarily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</si>
  <si>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</si>
  <si>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</si>
  <si>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</si>
  <si>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</si>
  <si>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</si>
  <si>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</si>
  <si>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</si>
  <si>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</si>
  <si>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</si>
  <si>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Greene County</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</si>
  <si>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</si>
  <si>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</si>
  <si>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</si>
  <si>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</si>
  <si>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</si>
  <si>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</si>
  <si>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</si>
  <si>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</si>
  <si>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</si>
  <si>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</si>
  <si>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</si>
  <si>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</si>
  <si>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</si>
  <si>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</si>
  <si>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</si>
  <si>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</si>
  <si>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</si>
  <si>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C-028699</t>
  </si>
  <si>
    <t>C-028916</t>
  </si>
  <si>
    <t>Accrued-Medicaid Billing Error</t>
  </si>
  <si>
    <t>HRI-Health Research Institute</t>
  </si>
  <si>
    <t>Prepaid Expenses</t>
  </si>
  <si>
    <t>GRANT AND CONTRACT REVENUE (all sources of revenue operating on a reimbursement basis, occurring on a contract rather than fiscal year, and w/o carryover from one contract year to the next)</t>
  </si>
  <si>
    <t>Dept. of Human Services</t>
  </si>
  <si>
    <t>C-029670</t>
  </si>
  <si>
    <t>C-028809</t>
  </si>
  <si>
    <t>C-028810</t>
  </si>
  <si>
    <t>Miscellaneous Receivable</t>
  </si>
  <si>
    <t>Donations - Others</t>
  </si>
  <si>
    <t>Income Received YTD</t>
  </si>
  <si>
    <t>Actual Expenses YTD</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</si>
  <si>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</si>
  <si>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</si>
  <si>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</si>
  <si>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</si>
  <si>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</si>
  <si>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</si>
  <si>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Statement of Activities </t>
    </r>
    <r>
      <rPr>
        <b/>
        <sz val="12"/>
        <color theme="1"/>
        <rFont val="Calibri"/>
        <family val="2"/>
        <scheme val="minor"/>
      </rPr>
      <t>(Income Statement)</t>
    </r>
  </si>
  <si>
    <r>
      <t xml:space="preserve">Columbia County Departments </t>
    </r>
    <r>
      <rPr>
        <sz val="10"/>
        <color rgb="FF000000"/>
        <rFont val="Arial"/>
        <family val="2"/>
      </rPr>
      <t>(C.A.R.T.S)</t>
    </r>
  </si>
  <si>
    <t>CoCo Dept of Human Services</t>
  </si>
  <si>
    <t>Expenses from 01/2014 to 8/2014</t>
  </si>
  <si>
    <t>Finance &amp; Budget Committee Meeting</t>
  </si>
  <si>
    <t xml:space="preserve">   Fiscal Highlights</t>
  </si>
  <si>
    <t>Grants - Federal (HRI)</t>
  </si>
  <si>
    <t>Other Receipts of Interest:</t>
  </si>
  <si>
    <t>Prescription Access (21-Months)</t>
  </si>
  <si>
    <t>Prescription Access (24-Months)</t>
  </si>
  <si>
    <t>Columbia County Dept. of Human Services</t>
  </si>
  <si>
    <t>Total Columbia County Dept. Human Services</t>
  </si>
  <si>
    <t>Rural Health Network Program</t>
  </si>
  <si>
    <t xml:space="preserve">CSP - Patient Services Grant </t>
  </si>
  <si>
    <t>CSP - Patient Services Grant</t>
  </si>
  <si>
    <t>Ancram/Copake Prescription Access (2015)</t>
  </si>
  <si>
    <t>Operating - Bank of Greene Co.</t>
  </si>
  <si>
    <t>Payroll - Bank of Greene Co.</t>
  </si>
  <si>
    <t>MIPPA</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</si>
  <si>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</si>
  <si>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</si>
  <si>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</si>
  <si>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</si>
  <si>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</si>
  <si>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</si>
  <si>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</si>
  <si>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</si>
  <si>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</si>
  <si>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</si>
  <si>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</si>
  <si>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</si>
  <si>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</si>
  <si>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</si>
  <si>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</si>
  <si>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</si>
  <si>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</si>
  <si>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</si>
  <si>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</si>
  <si>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</si>
  <si>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NYSDOH 10/15 to 09/16</t>
  </si>
  <si>
    <t>NY Connects Year #10  10/15 to 9/16</t>
  </si>
  <si>
    <t>COLA CSP Infrastructure</t>
  </si>
  <si>
    <t>Ratio of (Cash &amp; Receivables) to Liabilities</t>
  </si>
  <si>
    <t>Travel, Meals and Conferences</t>
  </si>
  <si>
    <t>Columbia County (2nd Half of $49,000)</t>
  </si>
  <si>
    <t>Ancram/Copake Prescription Access (2016)</t>
  </si>
  <si>
    <t>Navigator Health Exchange Program</t>
  </si>
  <si>
    <t>Tobacco-Free Program</t>
  </si>
  <si>
    <t>Cancer Services Program</t>
  </si>
  <si>
    <t>Transportation-Medicaid</t>
  </si>
  <si>
    <t>Other Columbia County Programs</t>
  </si>
  <si>
    <t>Total Grant Receivable</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</si>
  <si>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</si>
  <si>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</si>
  <si>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</si>
  <si>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</si>
  <si>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</si>
  <si>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</si>
  <si>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</si>
  <si>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Complementary Therapies</t>
  </si>
  <si>
    <t>Jan Koweek Fund</t>
  </si>
  <si>
    <t>Totals of Temporary Restricted Funds</t>
  </si>
  <si>
    <t>Total AP from Above</t>
  </si>
  <si>
    <t>NYSDOH 04/16 to 03/17 (Quarterly Voucher)</t>
  </si>
  <si>
    <t>NYSDOH Infrastructure Grant 04/16 to 03/17</t>
  </si>
  <si>
    <t>NYSDOH Clinical Services Grant 04/16 to 03/17</t>
  </si>
  <si>
    <t>Transportation Services (Quarterly Voucher)</t>
  </si>
  <si>
    <t>Grant Development Services (Quarterly Voucher)</t>
  </si>
  <si>
    <t>OMH &amp; OASAS</t>
  </si>
  <si>
    <t>Health &amp; Recovery Plan (HCBS - HARP)</t>
  </si>
  <si>
    <t>Start-Up Funding</t>
  </si>
  <si>
    <t>Investment</t>
  </si>
  <si>
    <t>Dept. of Health</t>
  </si>
  <si>
    <t>Unrealized Gain (Loss) on Investments</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</si>
  <si>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</si>
  <si>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</si>
  <si>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</si>
  <si>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</si>
  <si>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</si>
  <si>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</si>
  <si>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</si>
  <si>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</si>
  <si>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</si>
  <si>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</si>
  <si>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r>
      <t xml:space="preserve">Transportation Services </t>
    </r>
    <r>
      <rPr>
        <sz val="11"/>
        <color rgb="FF000000"/>
        <rFont val="Arial"/>
        <family val="2"/>
      </rPr>
      <t>(Fuel, Insurance, Lease, Maintenance)</t>
    </r>
  </si>
  <si>
    <t xml:space="preserve">Vehicle Fuel </t>
  </si>
  <si>
    <t>Vehicle Insurance</t>
  </si>
  <si>
    <t>Vehicle Maintanance &amp; Repairs</t>
  </si>
  <si>
    <t>Vehicle Lease with County - $550/mth</t>
  </si>
  <si>
    <t>Vehicle Licenses &amp; Permits</t>
  </si>
  <si>
    <t>Depreciation-Vehicles</t>
  </si>
  <si>
    <t>Audit</t>
  </si>
  <si>
    <t>Office &amp; Program Supplies</t>
  </si>
  <si>
    <t>General Insurance</t>
  </si>
  <si>
    <t>Other Expenses</t>
  </si>
  <si>
    <t>Add Back Deprecation</t>
  </si>
  <si>
    <t>Net Cash</t>
  </si>
  <si>
    <t>RountingBox Software</t>
  </si>
  <si>
    <t>Gain (Loss) on Sale of Vehicles</t>
  </si>
  <si>
    <t>Various Medical Providers</t>
  </si>
  <si>
    <t>Prescription Rx Access</t>
  </si>
  <si>
    <t>Transportation: Acram/Copake</t>
  </si>
  <si>
    <t>Children's Mental Health Project</t>
  </si>
  <si>
    <t>NYS Grant Advances</t>
  </si>
  <si>
    <t>Tobacco Free Program</t>
  </si>
  <si>
    <t>Total Advance Funding Payable</t>
  </si>
  <si>
    <t>Investment Income</t>
  </si>
  <si>
    <t>Foundation Revenue - FCH &amp; Dyson</t>
  </si>
  <si>
    <t>Purchases</t>
  </si>
  <si>
    <t>Income</t>
  </si>
  <si>
    <t>Unrealized Gains</t>
  </si>
  <si>
    <t>Ending Balance</t>
  </si>
  <si>
    <t>Cash</t>
  </si>
  <si>
    <t xml:space="preserve">FCISX </t>
  </si>
  <si>
    <t xml:space="preserve">FRUGX </t>
  </si>
  <si>
    <t xml:space="preserve">FRGSX </t>
  </si>
  <si>
    <t>FCSCX</t>
  </si>
  <si>
    <t xml:space="preserve">FSGCX </t>
  </si>
  <si>
    <t>TEGBX</t>
  </si>
  <si>
    <t>Beginning</t>
  </si>
  <si>
    <t>Month in Service</t>
  </si>
  <si>
    <t>Funding Source</t>
  </si>
  <si>
    <t>Supplier</t>
  </si>
  <si>
    <t>Cost</t>
  </si>
  <si>
    <t>Total</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</si>
  <si>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</si>
  <si>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</si>
  <si>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</si>
  <si>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</si>
  <si>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</si>
  <si>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</si>
  <si>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</si>
  <si>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NYSDOH 07/16 to 06/17</t>
  </si>
  <si>
    <t>Tobacco Free Communities Grant - COLA</t>
  </si>
  <si>
    <t>CSP-  Infrastructure Grant - COLA</t>
  </si>
  <si>
    <t>4695-04</t>
  </si>
  <si>
    <t>Totals</t>
  </si>
  <si>
    <t>NYSDOH 10/16 to 09/17</t>
  </si>
  <si>
    <t>NY Connects Year #11  10/16 to 9/17</t>
  </si>
  <si>
    <t>Col Cty Dept of Human Services - Transportation Services</t>
  </si>
  <si>
    <t>Col Cty Dept of Human Services - Grant Development</t>
  </si>
  <si>
    <t>Tobacco Free Communities Grant - Yr#3 of 5</t>
  </si>
  <si>
    <t>CSP - Infrastructure Grant - Yr# 4 of 5</t>
  </si>
  <si>
    <t>NY Connects Year #11</t>
  </si>
  <si>
    <t>In Person Assistors &amp; Navigators - Yr#3 of 5</t>
  </si>
  <si>
    <t>In Person Assistors &amp; Navigators - Yr#4 of 5</t>
  </si>
  <si>
    <t>Rural Health Network Program - Yr#4 of 5</t>
  </si>
  <si>
    <t>Senior Transportation Services - 2017</t>
  </si>
  <si>
    <t>Ten Months Ended October 31, 2016 and 2015</t>
  </si>
  <si>
    <t>Albany Medical Center</t>
  </si>
  <si>
    <t>Bank Fees</t>
  </si>
  <si>
    <t>OFA: MIPPA - September 2016 Voucher</t>
  </si>
  <si>
    <t>OFA: NY Connects E&amp;EP - September 2016 Voucher</t>
  </si>
  <si>
    <t>OFA: NY Connects Yr.#10 - September 2016 Voucher</t>
  </si>
  <si>
    <t>Date</t>
  </si>
  <si>
    <t>Balance</t>
  </si>
  <si>
    <t>Transportation Services (2017)</t>
  </si>
  <si>
    <t>County Government - 2017</t>
  </si>
  <si>
    <t>County Departments - 2017</t>
  </si>
  <si>
    <t>Columbia County Departments 2017 Donations (CARTS)</t>
  </si>
  <si>
    <t>Columbia County BOS 2017 Budget Appropriation</t>
  </si>
  <si>
    <t>Organizational Budget</t>
  </si>
  <si>
    <t>Twelve Months Ended December 31, 2017</t>
  </si>
  <si>
    <t>NY Connects E&amp;EP         01/17 to 12/17</t>
  </si>
  <si>
    <t>Balance as of 01/01/2017</t>
  </si>
  <si>
    <t>Less: Purchase of Vehicles</t>
  </si>
  <si>
    <t>Twelve Months Ended December 31 2016</t>
  </si>
  <si>
    <t>NYSDOH 04/17 to 03/18 (Quarterly Voucher)</t>
  </si>
  <si>
    <t>NYSDOH Infrastructure Grant 04/17 to 03/18</t>
  </si>
  <si>
    <t>NYSDOH Clinical Services Grant 04/17 to 03/18</t>
  </si>
  <si>
    <t>Columbia County - Office of the Aging</t>
  </si>
  <si>
    <t>OFA: Senior Transportation - March 2017 Voucher</t>
  </si>
  <si>
    <t>OFA: MIPPA - March 2017 Voucher</t>
  </si>
  <si>
    <t>OFA: NY Connects #11 - March 2017 Voucher</t>
  </si>
  <si>
    <t>OFA: NY Connects Expansion &amp; Enhancement  Jan'17- Mar'2017 Voucher</t>
  </si>
  <si>
    <t>Columbia County - BOS 2nd Half of $49,000</t>
  </si>
  <si>
    <t>CC Dept of Human Services - March 2017 Voucher</t>
  </si>
  <si>
    <t>Rural Health Network Program - Yr#5 of 5</t>
  </si>
  <si>
    <t>CSP - Infrastructure Grant - Yr# 5 of 5</t>
  </si>
  <si>
    <t xml:space="preserve">Diff </t>
  </si>
  <si>
    <t>Max</t>
  </si>
  <si>
    <t>Min</t>
  </si>
  <si>
    <t>Agency</t>
  </si>
  <si>
    <t>2017 Ford Taurus</t>
  </si>
  <si>
    <t>2010 Ford Van</t>
  </si>
  <si>
    <t>Columbia County</t>
  </si>
  <si>
    <t>2017 Dodge Caravan</t>
  </si>
  <si>
    <t>Central Dodge</t>
  </si>
  <si>
    <t>Henderson Ford</t>
  </si>
  <si>
    <t>Same trend as previous year</t>
  </si>
  <si>
    <t>$1.6K Tobacco's Conference in Austin TX</t>
  </si>
  <si>
    <t>June</t>
  </si>
  <si>
    <r>
      <t xml:space="preserve">Greene County DSS </t>
    </r>
    <r>
      <rPr>
        <sz val="10"/>
        <color theme="1"/>
        <rFont val="Arial"/>
        <family val="2"/>
      </rPr>
      <t>(Community Service Workers )</t>
    </r>
  </si>
  <si>
    <t>DSRIP Funds</t>
  </si>
  <si>
    <t>Web Redesign in Tobacco in 2017</t>
  </si>
  <si>
    <r>
      <t>è</t>
    </r>
    <r>
      <rPr>
        <b/>
        <sz val="12"/>
        <color theme="1"/>
        <rFont val="Times New Roman"/>
        <family val="1"/>
      </rPr>
      <t xml:space="preserve"> Equipment, Furniture &amp; Vehicles</t>
    </r>
    <r>
      <rPr>
        <sz val="12"/>
        <color theme="1"/>
        <rFont val="Calibri"/>
        <family val="2"/>
      </rPr>
      <t xml:space="preserve"> -Agency purchased and sold the following capital equipment. </t>
    </r>
  </si>
  <si>
    <t xml:space="preserve">2010 Chevy Impala </t>
  </si>
  <si>
    <t>Sold in Month</t>
  </si>
  <si>
    <t>Revenue</t>
  </si>
  <si>
    <t>2010 Dodge Caravan</t>
  </si>
  <si>
    <t>Mileage</t>
  </si>
  <si>
    <t>158.3K</t>
  </si>
  <si>
    <t>144.9K</t>
  </si>
  <si>
    <t>Auctions International</t>
  </si>
  <si>
    <t>Sold thru</t>
  </si>
  <si>
    <t>Vehicle Fuel &amp; Repairs</t>
  </si>
  <si>
    <t>Pinckney Hugo Group</t>
  </si>
  <si>
    <t>CSP Clinical Services</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</si>
  <si>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another twelve months until August 1, 2018.</t>
    </r>
  </si>
  <si>
    <t>August</t>
  </si>
  <si>
    <t>Grants Receivable Aging Summary as of August 31, 2017</t>
  </si>
  <si>
    <t>July</t>
  </si>
  <si>
    <t>May &amp; Older</t>
  </si>
  <si>
    <t>NYSDOH 07/17 to 06/18</t>
  </si>
  <si>
    <t>HRI Clinical Services 07/17 to 06/18</t>
  </si>
  <si>
    <t>Grants Receivable at 08/31/2017</t>
  </si>
  <si>
    <t>MIPPA                              01/17 to 9/17</t>
  </si>
  <si>
    <t>Payments Received After August 31, 2017</t>
  </si>
  <si>
    <t>Tobacco-Free Program - June 2017 Voucher</t>
  </si>
  <si>
    <t>Navigator Program - July 2017 Voucher</t>
  </si>
  <si>
    <t>OFA: MIPPA - July 2017 Voucher</t>
  </si>
  <si>
    <t>OFA: NY Connects E&amp;EP - July 2017 Voucher</t>
  </si>
  <si>
    <t>OFA: NY Connects Year #11 - July 2017 Voucher</t>
  </si>
  <si>
    <t>OFA: Senior Transportation - July 2017 Voucher</t>
  </si>
  <si>
    <t>Total AR Payments Received After August 31, 2017</t>
  </si>
  <si>
    <t>Tobacco-Free Program - July 2017 Voucher</t>
  </si>
  <si>
    <t>CSP Clinical Services - July 2017 Voucher</t>
  </si>
  <si>
    <t>CSP Infrastructure - July 2017 Voucher</t>
  </si>
  <si>
    <t>Pending on NYS Statewide Financial System Website</t>
  </si>
  <si>
    <t>Greene County-Dept of Social Services</t>
  </si>
  <si>
    <t>Donations for Columbia Cty Cancer Fund  (Ed Habeck, Jr.)</t>
  </si>
  <si>
    <t>August 31st AR Balance at September 18, 2017</t>
  </si>
  <si>
    <t>As of  August 31, 2017</t>
  </si>
  <si>
    <t>Tobacco Free Communities Grant - Yr#4 of 5</t>
  </si>
  <si>
    <t>T.B.D</t>
  </si>
  <si>
    <t>QuickBooks AR at 08/31/2017</t>
  </si>
  <si>
    <t>Eight Months Ended August 31, 2017 and 2016</t>
  </si>
  <si>
    <t>August '17 vs. '16</t>
  </si>
  <si>
    <t>Tobacco Free Grant Advance</t>
  </si>
  <si>
    <t>CSP - Grant Advance</t>
  </si>
  <si>
    <t>Sale of Vehicle - 2010 Chevy Impala</t>
  </si>
  <si>
    <t>Sale of Vehicle - 2010 Dodge Grand Caravan</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</si>
  <si>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August 31, 2017 our Grant Receivable is $200,884. Expectation is that we will collect on all receivables.  Summary as follows:</t>
    </r>
  </si>
  <si>
    <r>
      <t>è</t>
    </r>
    <r>
      <rPr>
        <b/>
        <sz val="12"/>
        <color theme="1"/>
        <rFont val="Times New Roman"/>
        <family val="1"/>
      </rPr>
      <t xml:space="preserve"> Cash</t>
    </r>
    <r>
      <rPr>
        <sz val="12"/>
        <color theme="1"/>
        <rFont val="Calibri"/>
        <family val="2"/>
      </rPr>
      <t xml:space="preserve"> -  Cash balance in the operating checking account started the year off with $355K and ended with $389K at August 31, 2017. Low balance on June 26th was $199K &amp; the high balance on February 17th was $405K. Average daily balance for 2017 is $318K. During the month of July'17, we received two grant advances from NYSDOH totaling $102K (Tobacco $80K + CSP $22K)</t>
    </r>
  </si>
  <si>
    <r>
      <t>è</t>
    </r>
    <r>
      <rPr>
        <b/>
        <sz val="12"/>
        <color theme="1"/>
        <rFont val="Times New Roman"/>
        <family val="1"/>
      </rPr>
      <t xml:space="preserve">Accounts Payable - </t>
    </r>
    <r>
      <rPr>
        <sz val="12"/>
        <color theme="1"/>
        <rFont val="Calibri"/>
        <family val="2"/>
        <scheme val="minor"/>
      </rPr>
      <t xml:space="preserve">At August 31, 2017, accounts payable lability is $32,599 and all AP liability is being paid timely within 28 days except CSP Clinical Services which gets paid once NYS pays CCCHC. The following is a list of vendors who's liability exceed $1,000. </t>
    </r>
  </si>
  <si>
    <t>American Lung Association</t>
  </si>
  <si>
    <t>Tobacco-Statewide Advertise</t>
  </si>
  <si>
    <t>Tobacco-No Smoking Advertise</t>
  </si>
  <si>
    <t>Johnny's Ideal Printing</t>
  </si>
  <si>
    <t>NY Connects - Printing</t>
  </si>
  <si>
    <t>Ending Balance at August 31, 2017</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</si>
  <si>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August 31, 2017,</t>
    </r>
  </si>
  <si>
    <r>
      <t>è</t>
    </r>
    <r>
      <rPr>
        <sz val="12"/>
        <color theme="1"/>
        <rFont val="Times New Roman"/>
        <family val="1"/>
      </rPr>
      <t xml:space="preserve"> </t>
    </r>
    <r>
      <rPr>
        <b/>
        <sz val="12"/>
        <color theme="1"/>
        <rFont val="Calibri"/>
        <family val="2"/>
      </rPr>
      <t>Temporary Restricted Funds</t>
    </r>
    <r>
      <rPr>
        <sz val="12"/>
        <color theme="1"/>
        <rFont val="Calibri"/>
        <family val="2"/>
      </rPr>
      <t xml:space="preserve"> - Temporarily restricted net assets are donated contributions that have only a one-sided economic benefit and are restricted to a specific period of time or set of conditions. To decrease this revenue employ another account named Net Assets Released From Restrictions, which reports revenue.  Below temporarily restricted net assets represents donations to be used for the following specific program purpose as of August 31, 2017: </t>
    </r>
  </si>
  <si>
    <t>CSP Down $21K, RHN down $17K, Tobacco down $10K</t>
  </si>
  <si>
    <t>Full 8 Months of NY Connects E&amp;EP, up $22K</t>
  </si>
  <si>
    <t>Down $15K-1st Quarter &amp; $5K-3rd Quarter</t>
  </si>
  <si>
    <t>Sale of '10 Impala &amp; '10 Dodge Grand Caravan</t>
  </si>
  <si>
    <t>$3K decrease in Dyson Rx + $7K FCH: Children Mental Health</t>
  </si>
  <si>
    <t>Wages that are down: Driver's $10K, Tobacco Youth Corrdinator $7K</t>
  </si>
  <si>
    <t>Lower '17 SUI &amp; W/C Rates plus Health Ins and Accrued Paid Leave</t>
  </si>
  <si>
    <t>Tobacco No Smoking Supplies down $5K</t>
  </si>
  <si>
    <t>$1,250 in 2016 for Sexual Harassment - Staff Training</t>
  </si>
  <si>
    <t>Lease down $3K + Vehicle Fuel down $1K</t>
  </si>
  <si>
    <t>Tobacco advertising down $13K + CSP down $10K</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</si>
  <si>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</si>
  <si>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r>
      <t>è</t>
    </r>
    <r>
      <rPr>
        <b/>
        <sz val="12"/>
        <color theme="1"/>
        <rFont val="Times New Roman"/>
        <family val="1"/>
      </rPr>
      <t xml:space="preserve"> Investment - Infinex Financial-Securities</t>
    </r>
    <r>
      <rPr>
        <sz val="12"/>
        <color theme="1"/>
        <rFont val="Calibri"/>
        <family val="2"/>
      </rPr>
      <t xml:space="preserve"> - As of August 31, 2017, investment account value of six mutual funds is $162,013. Initial investment was $25K per mutual fund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</si>
</sst>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s>
  <fonts count="60"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s>
  <borders count="67">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718">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2"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3" xfId="0" applyFont="1" applyFill="1" applyBorder="1" applyAlignment="1"/>
    <xf numFmtId="0" fontId="6" fillId="4" borderId="14" xfId="0" applyFont="1" applyFill="1" applyBorder="1" applyAlignment="1"/>
    <xf numFmtId="0" fontId="6" fillId="3" borderId="16"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0" xfId="0" applyNumberFormat="1" applyFont="1" applyBorder="1" applyAlignment="1">
      <alignment vertical="center"/>
    </xf>
    <xf numFmtId="0" fontId="14" fillId="0" borderId="0" xfId="0" applyFont="1" applyBorder="1" applyAlignment="1">
      <alignment vertical="center"/>
    </xf>
    <xf numFmtId="0" fontId="14" fillId="0" borderId="30"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1" xfId="0" applyNumberFormat="1" applyFont="1" applyBorder="1" applyAlignment="1">
      <alignment vertical="center"/>
    </xf>
    <xf numFmtId="0" fontId="12" fillId="0" borderId="0" xfId="0" applyFont="1" applyBorder="1" applyAlignment="1">
      <alignment vertical="center"/>
    </xf>
    <xf numFmtId="0" fontId="12" fillId="0" borderId="3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27" xfId="0" applyNumberFormat="1" applyFont="1" applyBorder="1" applyAlignment="1">
      <alignment vertical="center"/>
    </xf>
    <xf numFmtId="49" fontId="11" fillId="0" borderId="27" xfId="0" applyNumberFormat="1" applyFont="1" applyBorder="1" applyAlignment="1">
      <alignment vertical="center"/>
    </xf>
    <xf numFmtId="49" fontId="11" fillId="0" borderId="2" xfId="0" applyNumberFormat="1" applyFont="1" applyBorder="1" applyAlignment="1">
      <alignment vertical="center"/>
    </xf>
    <xf numFmtId="49" fontId="16" fillId="0" borderId="28" xfId="0" applyNumberFormat="1" applyFont="1" applyBorder="1" applyAlignment="1">
      <alignment vertical="center"/>
    </xf>
    <xf numFmtId="49" fontId="11" fillId="0" borderId="28"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19" fillId="6" borderId="0" xfId="0" applyNumberFormat="1" applyFont="1" applyFill="1" applyBorder="1"/>
    <xf numFmtId="0" fontId="0" fillId="7" borderId="0" xfId="0" applyFont="1" applyFill="1"/>
    <xf numFmtId="49" fontId="19" fillId="7" borderId="0" xfId="0" applyNumberFormat="1" applyFont="1" applyFill="1" applyBorder="1"/>
    <xf numFmtId="0" fontId="0" fillId="7"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0" borderId="0" xfId="0" applyFont="1" applyFill="1"/>
    <xf numFmtId="0" fontId="0" fillId="8" borderId="0" xfId="0" applyFont="1" applyFill="1"/>
    <xf numFmtId="49" fontId="18" fillId="0" borderId="0" xfId="0" applyNumberFormat="1" applyFont="1" applyFill="1" applyBorder="1"/>
    <xf numFmtId="0" fontId="0" fillId="0" borderId="3" xfId="0" applyFont="1" applyFill="1" applyBorder="1"/>
    <xf numFmtId="0" fontId="0" fillId="8" borderId="3" xfId="0" applyFont="1" applyFill="1" applyBorder="1"/>
    <xf numFmtId="49" fontId="19"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19" fillId="11" borderId="0" xfId="0" applyNumberFormat="1" applyFont="1" applyFill="1" applyBorder="1" applyAlignment="1">
      <alignment horizontal="left"/>
    </xf>
    <xf numFmtId="0" fontId="0" fillId="9"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2"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7" borderId="0" xfId="0" applyNumberFormat="1" applyFont="1" applyFill="1" applyBorder="1" applyAlignment="1">
      <alignment horizontal="left"/>
    </xf>
    <xf numFmtId="49" fontId="19" fillId="10" borderId="0" xfId="0" applyNumberFormat="1" applyFont="1" applyFill="1" applyBorder="1"/>
    <xf numFmtId="49" fontId="19" fillId="11" borderId="0" xfId="0" applyNumberFormat="1" applyFont="1" applyFill="1" applyBorder="1"/>
    <xf numFmtId="0" fontId="5" fillId="0" borderId="0" xfId="0" applyFont="1" applyBorder="1" applyAlignment="1">
      <alignment horizontal="center"/>
    </xf>
    <xf numFmtId="49" fontId="18" fillId="5" borderId="16" xfId="0" applyNumberFormat="1" applyFont="1" applyFill="1" applyBorder="1"/>
    <xf numFmtId="49" fontId="18" fillId="6" borderId="34" xfId="0" applyNumberFormat="1" applyFont="1" applyFill="1" applyBorder="1"/>
    <xf numFmtId="49" fontId="18" fillId="6" borderId="28" xfId="0" applyNumberFormat="1" applyFont="1" applyFill="1" applyBorder="1"/>
    <xf numFmtId="49" fontId="18" fillId="6" borderId="16" xfId="0" applyNumberFormat="1" applyFont="1" applyFill="1" applyBorder="1"/>
    <xf numFmtId="49" fontId="18" fillId="7" borderId="34" xfId="0" applyNumberFormat="1" applyFont="1" applyFill="1" applyBorder="1"/>
    <xf numFmtId="49" fontId="18" fillId="7" borderId="28" xfId="0" applyNumberFormat="1" applyFont="1" applyFill="1" applyBorder="1"/>
    <xf numFmtId="49" fontId="18" fillId="7" borderId="16" xfId="0" applyNumberFormat="1" applyFont="1" applyFill="1" applyBorder="1"/>
    <xf numFmtId="49" fontId="18" fillId="7" borderId="16" xfId="0" applyNumberFormat="1" applyFont="1" applyFill="1" applyBorder="1" applyAlignment="1">
      <alignment horizontal="center"/>
    </xf>
    <xf numFmtId="49" fontId="18" fillId="10" borderId="34" xfId="0" applyNumberFormat="1" applyFont="1" applyFill="1" applyBorder="1"/>
    <xf numFmtId="49" fontId="18" fillId="10" borderId="28" xfId="0" applyNumberFormat="1" applyFont="1" applyFill="1" applyBorder="1"/>
    <xf numFmtId="49" fontId="18" fillId="10" borderId="16" xfId="0" applyNumberFormat="1" applyFont="1" applyFill="1" applyBorder="1"/>
    <xf numFmtId="49" fontId="18" fillId="8" borderId="34" xfId="0" applyNumberFormat="1" applyFont="1" applyFill="1" applyBorder="1"/>
    <xf numFmtId="49" fontId="18" fillId="8" borderId="28" xfId="0" applyNumberFormat="1" applyFont="1" applyFill="1" applyBorder="1"/>
    <xf numFmtId="49" fontId="19" fillId="8" borderId="16" xfId="0" applyNumberFormat="1" applyFont="1" applyFill="1" applyBorder="1"/>
    <xf numFmtId="49" fontId="18" fillId="11" borderId="34" xfId="0" applyNumberFormat="1" applyFont="1" applyFill="1" applyBorder="1" applyAlignment="1">
      <alignment horizontal="left"/>
    </xf>
    <xf numFmtId="49" fontId="18" fillId="11" borderId="28" xfId="0" applyNumberFormat="1" applyFont="1" applyFill="1" applyBorder="1" applyAlignment="1">
      <alignment horizontal="center"/>
    </xf>
    <xf numFmtId="0" fontId="5" fillId="11" borderId="16" xfId="0" applyFont="1" applyFill="1" applyBorder="1" applyAlignment="1">
      <alignment horizontal="center"/>
    </xf>
    <xf numFmtId="49" fontId="18" fillId="9" borderId="34" xfId="0" applyNumberFormat="1" applyFont="1" applyFill="1" applyBorder="1"/>
    <xf numFmtId="49" fontId="18" fillId="5" borderId="36" xfId="0" applyNumberFormat="1" applyFont="1" applyFill="1" applyBorder="1" applyAlignment="1"/>
    <xf numFmtId="49" fontId="18" fillId="5" borderId="37" xfId="0" applyNumberFormat="1" applyFont="1" applyFill="1" applyBorder="1" applyAlignment="1"/>
    <xf numFmtId="49" fontId="18" fillId="8" borderId="24"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2" xfId="0" applyFont="1" applyFill="1" applyBorder="1" applyAlignment="1">
      <alignment horizontal="center" vertical="center"/>
    </xf>
    <xf numFmtId="0" fontId="0" fillId="0" borderId="2" xfId="0" applyFont="1" applyBorder="1" applyAlignment="1">
      <alignment vertical="center"/>
    </xf>
    <xf numFmtId="49" fontId="11" fillId="0" borderId="27" xfId="0" applyNumberFormat="1" applyFont="1" applyBorder="1" applyAlignment="1"/>
    <xf numFmtId="0" fontId="0" fillId="0" borderId="27" xfId="0" applyBorder="1" applyAlignment="1"/>
    <xf numFmtId="49" fontId="18"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9" fillId="5" borderId="17" xfId="1" applyNumberFormat="1" applyFont="1" applyFill="1" applyBorder="1" applyAlignment="1">
      <alignment horizontal="right"/>
    </xf>
    <xf numFmtId="38" fontId="18" fillId="0" borderId="0" xfId="0" applyNumberFormat="1" applyFont="1" applyBorder="1" applyAlignment="1">
      <alignment horizontal="right"/>
    </xf>
    <xf numFmtId="38" fontId="19" fillId="6" borderId="37" xfId="0" applyNumberFormat="1" applyFont="1" applyFill="1" applyBorder="1" applyAlignment="1">
      <alignment horizontal="right"/>
    </xf>
    <xf numFmtId="38" fontId="19" fillId="6" borderId="39" xfId="0" applyNumberFormat="1" applyFont="1" applyFill="1" applyBorder="1" applyAlignment="1">
      <alignment horizontal="right"/>
    </xf>
    <xf numFmtId="38" fontId="19" fillId="6" borderId="36" xfId="0" applyNumberFormat="1" applyFont="1" applyFill="1" applyBorder="1" applyAlignment="1">
      <alignment horizontal="right"/>
    </xf>
    <xf numFmtId="38" fontId="19" fillId="6" borderId="1" xfId="1" applyNumberFormat="1" applyFont="1" applyFill="1" applyBorder="1" applyAlignment="1">
      <alignment horizontal="right"/>
    </xf>
    <xf numFmtId="38" fontId="19" fillId="6" borderId="9" xfId="1" applyNumberFormat="1" applyFont="1" applyFill="1" applyBorder="1" applyAlignment="1">
      <alignment horizontal="right"/>
    </xf>
    <xf numFmtId="38" fontId="19" fillId="6" borderId="17"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7" borderId="37" xfId="1" applyNumberFormat="1" applyFont="1" applyFill="1" applyBorder="1" applyAlignment="1">
      <alignment horizontal="right"/>
    </xf>
    <xf numFmtId="38" fontId="19" fillId="7" borderId="39" xfId="1" applyNumberFormat="1" applyFont="1" applyFill="1" applyBorder="1" applyAlignment="1">
      <alignment horizontal="right"/>
    </xf>
    <xf numFmtId="38" fontId="19" fillId="7" borderId="36" xfId="1"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9" fillId="7" borderId="17"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0" borderId="37" xfId="1" applyNumberFormat="1" applyFont="1" applyFill="1" applyBorder="1" applyAlignment="1">
      <alignment horizontal="right"/>
    </xf>
    <xf numFmtId="38" fontId="19" fillId="10" borderId="39" xfId="1" applyNumberFormat="1" applyFont="1" applyFill="1" applyBorder="1" applyAlignment="1">
      <alignment horizontal="right"/>
    </xf>
    <xf numFmtId="38" fontId="19" fillId="10" borderId="36" xfId="1" applyNumberFormat="1" applyFont="1" applyFill="1" applyBorder="1" applyAlignment="1">
      <alignment horizontal="right"/>
    </xf>
    <xf numFmtId="38" fontId="19" fillId="10" borderId="1" xfId="1" applyNumberFormat="1" applyFont="1" applyFill="1" applyBorder="1" applyAlignment="1">
      <alignment horizontal="right"/>
    </xf>
    <xf numFmtId="38" fontId="19" fillId="10" borderId="9" xfId="1" applyNumberFormat="1" applyFont="1" applyFill="1" applyBorder="1" applyAlignment="1">
      <alignment horizontal="right"/>
    </xf>
    <xf numFmtId="38" fontId="19" fillId="10" borderId="17" xfId="1" applyNumberFormat="1" applyFont="1" applyFill="1" applyBorder="1" applyAlignment="1">
      <alignment horizontal="right"/>
    </xf>
    <xf numFmtId="38" fontId="19" fillId="8" borderId="37" xfId="1" applyNumberFormat="1" applyFont="1" applyFill="1" applyBorder="1" applyAlignment="1">
      <alignment horizontal="right"/>
    </xf>
    <xf numFmtId="38" fontId="19" fillId="8" borderId="39" xfId="1" applyNumberFormat="1" applyFont="1" applyFill="1" applyBorder="1" applyAlignment="1">
      <alignment horizontal="right"/>
    </xf>
    <xf numFmtId="38" fontId="19" fillId="8" borderId="36"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9" fillId="8" borderId="17" xfId="1" applyNumberFormat="1" applyFont="1" applyFill="1" applyBorder="1" applyAlignment="1">
      <alignment horizontal="right"/>
    </xf>
    <xf numFmtId="38" fontId="18" fillId="8" borderId="37" xfId="1" applyNumberFormat="1" applyFont="1" applyFill="1" applyBorder="1" applyAlignment="1">
      <alignment horizontal="right"/>
    </xf>
    <xf numFmtId="38" fontId="18" fillId="8" borderId="39" xfId="1" applyNumberFormat="1" applyFont="1" applyFill="1" applyBorder="1" applyAlignment="1">
      <alignment horizontal="right"/>
    </xf>
    <xf numFmtId="38" fontId="18" fillId="8" borderId="36" xfId="1" applyNumberFormat="1" applyFont="1" applyFill="1" applyBorder="1" applyAlignment="1">
      <alignment horizontal="right"/>
    </xf>
    <xf numFmtId="38" fontId="18" fillId="11" borderId="37" xfId="1" applyNumberFormat="1" applyFont="1" applyFill="1" applyBorder="1" applyAlignment="1">
      <alignment horizontal="right"/>
    </xf>
    <xf numFmtId="38" fontId="18" fillId="11" borderId="39" xfId="1" applyNumberFormat="1" applyFont="1" applyFill="1" applyBorder="1" applyAlignment="1">
      <alignment horizontal="right"/>
    </xf>
    <xf numFmtId="38" fontId="18" fillId="11" borderId="36" xfId="1" applyNumberFormat="1" applyFont="1" applyFill="1" applyBorder="1" applyAlignment="1">
      <alignment horizontal="right"/>
    </xf>
    <xf numFmtId="38" fontId="19" fillId="11" borderId="1" xfId="1" applyNumberFormat="1" applyFont="1" applyFill="1" applyBorder="1" applyAlignment="1">
      <alignment horizontal="right"/>
    </xf>
    <xf numFmtId="38" fontId="19" fillId="11" borderId="9" xfId="1" applyNumberFormat="1" applyFont="1" applyFill="1" applyBorder="1" applyAlignment="1">
      <alignment horizontal="right"/>
    </xf>
    <xf numFmtId="38" fontId="19" fillId="11" borderId="17"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18" fillId="5" borderId="19" xfId="0" applyNumberFormat="1" applyFont="1" applyFill="1" applyBorder="1" applyAlignment="1">
      <alignment horizontal="center"/>
    </xf>
    <xf numFmtId="6" fontId="18" fillId="5" borderId="20" xfId="1" applyNumberFormat="1" applyFont="1" applyFill="1" applyBorder="1" applyAlignment="1">
      <alignment horizontal="right"/>
    </xf>
    <xf numFmtId="6" fontId="18" fillId="5" borderId="21"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18" fillId="6" borderId="19" xfId="0" applyNumberFormat="1" applyFont="1" applyFill="1" applyBorder="1" applyAlignment="1">
      <alignment horizontal="center"/>
    </xf>
    <xf numFmtId="6" fontId="18" fillId="6" borderId="25" xfId="1" applyNumberFormat="1" applyFont="1" applyFill="1" applyBorder="1" applyAlignment="1">
      <alignment horizontal="right"/>
    </xf>
    <xf numFmtId="6" fontId="18" fillId="6" borderId="21"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18" fillId="7" borderId="19" xfId="0" applyNumberFormat="1" applyFont="1" applyFill="1" applyBorder="1" applyAlignment="1">
      <alignment horizontal="center"/>
    </xf>
    <xf numFmtId="6" fontId="18" fillId="7" borderId="25" xfId="1" applyNumberFormat="1" applyFont="1" applyFill="1" applyBorder="1" applyAlignment="1">
      <alignment horizontal="right"/>
    </xf>
    <xf numFmtId="6" fontId="18" fillId="7" borderId="21"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18" fillId="10" borderId="19" xfId="0" applyNumberFormat="1" applyFont="1" applyFill="1" applyBorder="1" applyAlignment="1">
      <alignment horizontal="center"/>
    </xf>
    <xf numFmtId="6" fontId="18" fillId="10" borderId="25" xfId="1" applyNumberFormat="1" applyFont="1" applyFill="1" applyBorder="1" applyAlignment="1">
      <alignment horizontal="right"/>
    </xf>
    <xf numFmtId="6" fontId="18" fillId="10" borderId="20" xfId="1" applyNumberFormat="1" applyFont="1" applyFill="1" applyBorder="1" applyAlignment="1">
      <alignment horizontal="right"/>
    </xf>
    <xf numFmtId="6" fontId="18" fillId="10" borderId="21"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18" fillId="8" borderId="19" xfId="0" applyNumberFormat="1" applyFont="1" applyFill="1" applyBorder="1" applyAlignment="1">
      <alignment horizontal="center"/>
    </xf>
    <xf numFmtId="6" fontId="18" fillId="8" borderId="25" xfId="1" applyNumberFormat="1" applyFont="1" applyFill="1" applyBorder="1" applyAlignment="1">
      <alignment horizontal="right"/>
    </xf>
    <xf numFmtId="6" fontId="18" fillId="8" borderId="20" xfId="1" applyNumberFormat="1" applyFont="1" applyFill="1" applyBorder="1" applyAlignment="1">
      <alignment horizontal="right"/>
    </xf>
    <xf numFmtId="6" fontId="18" fillId="8" borderId="21"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4" fillId="11" borderId="19" xfId="0" applyNumberFormat="1" applyFont="1" applyFill="1" applyBorder="1" applyAlignment="1">
      <alignment horizontal="center"/>
    </xf>
    <xf numFmtId="6" fontId="18" fillId="11" borderId="25" xfId="1" applyNumberFormat="1" applyFont="1" applyFill="1" applyBorder="1" applyAlignment="1">
      <alignment horizontal="right"/>
    </xf>
    <xf numFmtId="6" fontId="18" fillId="11" borderId="21"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18"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27"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1"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0" xfId="0" applyNumberFormat="1" applyFont="1" applyBorder="1" applyAlignment="1">
      <alignment vertical="center"/>
    </xf>
    <xf numFmtId="41" fontId="15" fillId="0" borderId="27"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1"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45" xfId="0" applyNumberFormat="1" applyFont="1" applyFill="1" applyBorder="1" applyAlignment="1">
      <alignment horizontal="center"/>
    </xf>
    <xf numFmtId="40" fontId="3" fillId="0" borderId="44" xfId="0" applyNumberFormat="1" applyFont="1" applyFill="1" applyBorder="1" applyAlignment="1">
      <alignment horizontal="center"/>
    </xf>
    <xf numFmtId="0" fontId="6" fillId="4" borderId="32" xfId="0" applyFont="1" applyFill="1" applyBorder="1" applyAlignment="1">
      <alignment vertical="center"/>
    </xf>
    <xf numFmtId="0" fontId="6" fillId="4" borderId="33" xfId="0" applyFont="1" applyFill="1" applyBorder="1" applyAlignment="1">
      <alignment vertical="center"/>
    </xf>
    <xf numFmtId="0" fontId="6" fillId="4" borderId="42" xfId="0" applyFont="1" applyFill="1" applyBorder="1" applyAlignment="1">
      <alignment vertical="center"/>
    </xf>
    <xf numFmtId="40" fontId="3" fillId="3" borderId="47" xfId="0" applyNumberFormat="1" applyFont="1" applyFill="1" applyBorder="1" applyAlignment="1">
      <alignment horizontal="center" vertical="center" wrapText="1"/>
    </xf>
    <xf numFmtId="0" fontId="6" fillId="3" borderId="35" xfId="0" applyFont="1" applyFill="1" applyBorder="1"/>
    <xf numFmtId="0" fontId="6" fillId="3" borderId="27" xfId="0" applyFont="1" applyFill="1" applyBorder="1"/>
    <xf numFmtId="0" fontId="6" fillId="3" borderId="27" xfId="0" applyFont="1" applyFill="1" applyBorder="1" applyAlignment="1">
      <alignment horizontal="center"/>
    </xf>
    <xf numFmtId="14" fontId="6" fillId="3" borderId="27" xfId="0" applyNumberFormat="1" applyFont="1" applyFill="1" applyBorder="1" applyAlignment="1">
      <alignment horizontal="center"/>
    </xf>
    <xf numFmtId="42" fontId="23"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27"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4" fillId="0" borderId="0" xfId="0" applyFont="1" applyBorder="1"/>
    <xf numFmtId="41" fontId="24"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4" fillId="0" borderId="0" xfId="0" applyNumberFormat="1" applyFont="1" applyBorder="1"/>
    <xf numFmtId="0" fontId="0" fillId="0" borderId="0" xfId="0" applyFill="1" applyBorder="1" applyAlignment="1">
      <alignment horizontal="left"/>
    </xf>
    <xf numFmtId="6" fontId="4" fillId="13" borderId="38" xfId="1" applyNumberFormat="1" applyFont="1" applyFill="1" applyBorder="1" applyAlignment="1">
      <alignment horizontal="right"/>
    </xf>
    <xf numFmtId="0" fontId="25" fillId="0" borderId="0" xfId="0" applyNumberFormat="1" applyFont="1"/>
    <xf numFmtId="38" fontId="15" fillId="0" borderId="0" xfId="0" applyNumberFormat="1" applyFont="1" applyBorder="1" applyAlignment="1">
      <alignment vertical="center"/>
    </xf>
    <xf numFmtId="166" fontId="26" fillId="0" borderId="27" xfId="0" applyNumberFormat="1" applyFont="1" applyBorder="1" applyAlignment="1">
      <alignment horizontal="center"/>
    </xf>
    <xf numFmtId="10" fontId="0" fillId="0" borderId="0" xfId="0" applyNumberFormat="1" applyFill="1" applyBorder="1" applyAlignment="1"/>
    <xf numFmtId="0" fontId="27" fillId="0" borderId="0" xfId="0" applyFont="1" applyFill="1" applyBorder="1" applyAlignment="1">
      <alignment horizontal="left"/>
    </xf>
    <xf numFmtId="42" fontId="6" fillId="3" borderId="46" xfId="1" applyNumberFormat="1" applyFont="1" applyFill="1" applyBorder="1" applyAlignment="1"/>
    <xf numFmtId="42" fontId="3" fillId="3" borderId="35" xfId="0" applyNumberFormat="1" applyFont="1" applyFill="1" applyBorder="1"/>
    <xf numFmtId="0" fontId="0" fillId="0" borderId="49" xfId="0" applyFill="1" applyBorder="1"/>
    <xf numFmtId="0" fontId="0" fillId="0" borderId="46" xfId="0" applyFill="1" applyBorder="1"/>
    <xf numFmtId="42" fontId="3" fillId="3" borderId="27" xfId="0" applyNumberFormat="1" applyFont="1" applyFill="1" applyBorder="1"/>
    <xf numFmtId="42" fontId="3"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0" fontId="0" fillId="0" borderId="46" xfId="0" applyFill="1" applyBorder="1" applyAlignment="1">
      <alignment horizontal="center"/>
    </xf>
    <xf numFmtId="42" fontId="3"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3" fillId="3" borderId="27" xfId="0" applyNumberFormat="1" applyFont="1" applyFill="1" applyBorder="1" applyAlignment="1"/>
    <xf numFmtId="42" fontId="3" fillId="3" borderId="52" xfId="0" applyNumberFormat="1" applyFont="1" applyFill="1" applyBorder="1" applyAlignment="1"/>
    <xf numFmtId="42" fontId="3" fillId="3" borderId="53" xfId="0" applyNumberFormat="1" applyFont="1" applyFill="1" applyBorder="1" applyAlignment="1"/>
    <xf numFmtId="0" fontId="6" fillId="4" borderId="34" xfId="0" applyFont="1" applyFill="1" applyBorder="1"/>
    <xf numFmtId="0" fontId="4" fillId="4" borderId="28" xfId="0" applyFont="1" applyFill="1" applyBorder="1"/>
    <xf numFmtId="0" fontId="4"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4"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4" fillId="4" borderId="41" xfId="0" applyNumberFormat="1" applyFont="1" applyFill="1" applyBorder="1" applyAlignment="1"/>
    <xf numFmtId="40" fontId="4" fillId="4" borderId="36" xfId="0" applyNumberFormat="1" applyFont="1" applyFill="1" applyBorder="1" applyAlignment="1"/>
    <xf numFmtId="14" fontId="0" fillId="0" borderId="48" xfId="0" applyNumberFormat="1" applyFill="1" applyBorder="1" applyAlignment="1">
      <alignment horizontal="center"/>
    </xf>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2" fillId="0" borderId="0" xfId="0" applyNumberFormat="1" applyFont="1" applyBorder="1" applyAlignment="1">
      <alignment horizontal="left"/>
    </xf>
    <xf numFmtId="0" fontId="28" fillId="0" borderId="0" xfId="0" applyNumberFormat="1" applyFont="1" applyBorder="1" applyAlignment="1">
      <alignment horizontal="center"/>
    </xf>
    <xf numFmtId="0" fontId="22" fillId="0" borderId="0" xfId="0" applyNumberFormat="1" applyFont="1"/>
    <xf numFmtId="14" fontId="0" fillId="0" borderId="29" xfId="0" applyNumberFormat="1" applyFill="1" applyBorder="1" applyAlignment="1">
      <alignment horizontal="center"/>
    </xf>
    <xf numFmtId="14" fontId="0" fillId="0" borderId="53" xfId="0" applyNumberFormat="1" applyFill="1" applyBorder="1" applyAlignment="1">
      <alignment horizontal="center"/>
    </xf>
    <xf numFmtId="0" fontId="3" fillId="3" borderId="44" xfId="0" applyFont="1" applyFill="1" applyBorder="1" applyAlignment="1">
      <alignment horizontal="center" vertical="center"/>
    </xf>
    <xf numFmtId="42" fontId="3" fillId="3" borderId="32" xfId="0" applyNumberFormat="1" applyFont="1" applyFill="1" applyBorder="1"/>
    <xf numFmtId="42" fontId="3" fillId="3" borderId="33" xfId="0" applyNumberFormat="1" applyFont="1" applyFill="1" applyBorder="1"/>
    <xf numFmtId="42" fontId="3" fillId="3" borderId="42" xfId="0" applyNumberFormat="1" applyFont="1" applyFill="1" applyBorder="1"/>
    <xf numFmtId="40" fontId="3" fillId="3" borderId="44" xfId="0" applyNumberFormat="1" applyFont="1" applyFill="1" applyBorder="1" applyAlignment="1">
      <alignment horizontal="center" vertical="center"/>
    </xf>
    <xf numFmtId="40" fontId="3" fillId="3" borderId="44" xfId="0" applyNumberFormat="1" applyFont="1" applyFill="1" applyBorder="1" applyAlignment="1">
      <alignment horizontal="center" vertical="center" wrapText="1"/>
    </xf>
    <xf numFmtId="0" fontId="0" fillId="0" borderId="48" xfId="0" applyFill="1" applyBorder="1" applyAlignment="1">
      <alignment horizontal="center"/>
    </xf>
    <xf numFmtId="0" fontId="0" fillId="0" borderId="57" xfId="0" applyBorder="1" applyAlignment="1">
      <alignment horizontal="center" vertical="center"/>
    </xf>
    <xf numFmtId="42" fontId="11" fillId="0" borderId="31" xfId="0" applyNumberFormat="1" applyFont="1" applyBorder="1" applyAlignment="1">
      <alignment vertical="center"/>
    </xf>
    <xf numFmtId="41" fontId="15" fillId="0" borderId="0" xfId="0" applyNumberFormat="1" applyFont="1" applyFill="1" applyBorder="1" applyAlignment="1">
      <alignment vertical="center"/>
    </xf>
    <xf numFmtId="166" fontId="26" fillId="0" borderId="0" xfId="0" applyNumberFormat="1" applyFont="1" applyBorder="1" applyAlignment="1">
      <alignment horizontal="center"/>
    </xf>
    <xf numFmtId="41" fontId="13" fillId="0" borderId="57" xfId="0" applyNumberFormat="1" applyFont="1" applyBorder="1" applyAlignment="1">
      <alignment vertical="center"/>
    </xf>
    <xf numFmtId="41" fontId="11" fillId="0" borderId="57" xfId="0" applyNumberFormat="1" applyFont="1" applyBorder="1" applyAlignment="1">
      <alignment vertical="center"/>
    </xf>
    <xf numFmtId="42" fontId="15" fillId="0" borderId="0" xfId="0" applyNumberFormat="1" applyFont="1" applyFill="1" applyBorder="1" applyAlignment="1">
      <alignment vertical="center"/>
    </xf>
    <xf numFmtId="41" fontId="18" fillId="5" borderId="16"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29" fillId="0" borderId="0" xfId="0" applyNumberFormat="1" applyFont="1" applyBorder="1" applyAlignment="1">
      <alignment vertical="center"/>
    </xf>
    <xf numFmtId="49" fontId="18" fillId="12" borderId="34" xfId="0" applyNumberFormat="1" applyFont="1" applyFill="1" applyBorder="1"/>
    <xf numFmtId="49" fontId="18" fillId="12" borderId="28" xfId="0" applyNumberFormat="1" applyFont="1" applyFill="1" applyBorder="1"/>
    <xf numFmtId="6" fontId="18" fillId="12" borderId="39" xfId="1" applyNumberFormat="1" applyFont="1" applyFill="1" applyBorder="1" applyAlignment="1">
      <alignment horizontal="right"/>
    </xf>
    <xf numFmtId="6" fontId="18" fillId="12" borderId="41" xfId="1" applyNumberFormat="1" applyFont="1" applyFill="1" applyBorder="1" applyAlignment="1">
      <alignment horizontal="right"/>
    </xf>
    <xf numFmtId="49" fontId="18" fillId="12" borderId="16" xfId="0" applyNumberFormat="1" applyFont="1" applyFill="1" applyBorder="1"/>
    <xf numFmtId="49" fontId="18" fillId="12" borderId="24" xfId="0" applyNumberFormat="1" applyFont="1" applyFill="1" applyBorder="1"/>
    <xf numFmtId="6" fontId="18" fillId="12" borderId="40" xfId="1" applyNumberFormat="1" applyFont="1" applyFill="1" applyBorder="1" applyAlignment="1">
      <alignment horizontal="right"/>
    </xf>
    <xf numFmtId="49" fontId="19" fillId="12" borderId="0" xfId="0" applyNumberFormat="1" applyFont="1" applyFill="1" applyBorder="1"/>
    <xf numFmtId="49" fontId="19" fillId="12" borderId="2" xfId="0" applyNumberFormat="1" applyFont="1" applyFill="1" applyBorder="1"/>
    <xf numFmtId="38" fontId="18" fillId="12" borderId="29" xfId="1" applyNumberFormat="1" applyFont="1" applyFill="1" applyBorder="1" applyAlignment="1">
      <alignment horizontal="right"/>
    </xf>
    <xf numFmtId="38" fontId="18" fillId="12" borderId="43" xfId="1" applyNumberFormat="1" applyFont="1" applyFill="1" applyBorder="1" applyAlignment="1">
      <alignment horizontal="right"/>
    </xf>
    <xf numFmtId="0" fontId="28"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2" fillId="0" borderId="57"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38" fontId="18" fillId="12" borderId="39" xfId="1" applyNumberFormat="1" applyFont="1" applyFill="1" applyBorder="1" applyAlignment="1">
      <alignment horizontal="right"/>
    </xf>
    <xf numFmtId="49" fontId="18" fillId="8" borderId="16" xfId="0" applyNumberFormat="1" applyFont="1" applyFill="1" applyBorder="1"/>
    <xf numFmtId="41" fontId="0" fillId="0" borderId="0" xfId="0" applyNumberFormat="1" applyFill="1" applyBorder="1" applyAlignment="1">
      <alignment horizontal="right"/>
    </xf>
    <xf numFmtId="41" fontId="0" fillId="0" borderId="0" xfId="0" applyNumberFormat="1" applyAlignment="1">
      <alignment horizontal="right"/>
    </xf>
    <xf numFmtId="0" fontId="0" fillId="0" borderId="59" xfId="0" applyFill="1" applyBorder="1" applyAlignment="1">
      <alignment horizontal="left"/>
    </xf>
    <xf numFmtId="0" fontId="0" fillId="0" borderId="59" xfId="0" applyFill="1" applyBorder="1" applyAlignment="1">
      <alignment horizontal="center"/>
    </xf>
    <xf numFmtId="14" fontId="0" fillId="0" borderId="59" xfId="0" applyNumberFormat="1" applyFill="1" applyBorder="1" applyAlignment="1">
      <alignment horizontal="center"/>
    </xf>
    <xf numFmtId="41" fontId="0" fillId="0" borderId="49" xfId="1" applyNumberFormat="1" applyFont="1" applyFill="1" applyBorder="1" applyAlignment="1">
      <alignment horizontal="right"/>
    </xf>
    <xf numFmtId="41" fontId="0" fillId="0" borderId="59" xfId="1" applyNumberFormat="1" applyFont="1" applyFill="1" applyBorder="1" applyAlignment="1"/>
    <xf numFmtId="41" fontId="0" fillId="0" borderId="48"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18" fillId="9" borderId="16" xfId="0" applyNumberFormat="1" applyFont="1" applyFill="1" applyBorder="1"/>
    <xf numFmtId="49" fontId="18" fillId="9" borderId="24" xfId="0" applyNumberFormat="1" applyFont="1" applyFill="1" applyBorder="1"/>
    <xf numFmtId="49" fontId="18" fillId="14" borderId="33" xfId="0" applyNumberFormat="1" applyFont="1" applyFill="1" applyBorder="1"/>
    <xf numFmtId="6" fontId="18" fillId="14" borderId="38" xfId="1" applyNumberFormat="1" applyFont="1" applyFill="1" applyBorder="1" applyAlignment="1">
      <alignment horizontal="right"/>
    </xf>
    <xf numFmtId="38" fontId="18" fillId="14" borderId="38" xfId="1" applyNumberFormat="1" applyFont="1" applyFill="1" applyBorder="1" applyAlignment="1">
      <alignment horizontal="right"/>
    </xf>
    <xf numFmtId="6" fontId="18" fillId="14" borderId="42" xfId="1" applyNumberFormat="1" applyFont="1" applyFill="1" applyBorder="1" applyAlignment="1">
      <alignment horizontal="right"/>
    </xf>
    <xf numFmtId="42" fontId="3" fillId="3" borderId="60" xfId="1" applyNumberFormat="1" applyFont="1" applyFill="1" applyBorder="1" applyAlignment="1"/>
    <xf numFmtId="42" fontId="3" fillId="3" borderId="38" xfId="1" applyNumberFormat="1" applyFont="1" applyFill="1" applyBorder="1" applyAlignment="1"/>
    <xf numFmtId="42" fontId="3" fillId="3" borderId="61" xfId="1" applyNumberFormat="1" applyFont="1" applyFill="1" applyBorder="1" applyAlignment="1"/>
    <xf numFmtId="42" fontId="3" fillId="3" borderId="62" xfId="1" applyNumberFormat="1" applyFont="1" applyFill="1" applyBorder="1" applyAlignment="1"/>
    <xf numFmtId="41" fontId="24" fillId="0" borderId="27" xfId="0" applyNumberFormat="1" applyFont="1" applyBorder="1" applyAlignment="1">
      <alignment vertical="center"/>
    </xf>
    <xf numFmtId="42" fontId="24" fillId="0" borderId="0" xfId="0" applyNumberFormat="1" applyFont="1" applyBorder="1" applyAlignment="1">
      <alignment vertical="center"/>
    </xf>
    <xf numFmtId="42" fontId="0" fillId="0" borderId="0" xfId="0" applyNumberFormat="1" applyFont="1" applyBorder="1" applyAlignment="1">
      <alignment vertical="center"/>
    </xf>
    <xf numFmtId="41" fontId="30" fillId="0" borderId="49" xfId="1" applyNumberFormat="1" applyFont="1" applyFill="1" applyBorder="1" applyAlignment="1"/>
    <xf numFmtId="38" fontId="0" fillId="0" borderId="49" xfId="1" applyNumberFormat="1" applyFont="1" applyFill="1" applyBorder="1" applyAlignment="1">
      <alignment horizontal="right"/>
    </xf>
    <xf numFmtId="38" fontId="0" fillId="0" borderId="5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14" fontId="0" fillId="0" borderId="63" xfId="0" applyNumberFormat="1" applyFill="1" applyBorder="1" applyAlignment="1">
      <alignment horizontal="center"/>
    </xf>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1" fontId="0" fillId="0" borderId="46" xfId="1" applyNumberFormat="1" applyFont="1" applyFill="1" applyBorder="1" applyAlignment="1">
      <alignment horizont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27"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applyBorder="1"/>
    <xf numFmtId="0" fontId="8" fillId="0" borderId="0" xfId="0" applyNumberFormat="1" applyFont="1" applyFill="1"/>
    <xf numFmtId="41" fontId="15" fillId="0" borderId="2" xfId="0" applyNumberFormat="1" applyFont="1" applyFill="1" applyBorder="1" applyAlignment="1">
      <alignment vertical="center"/>
    </xf>
    <xf numFmtId="41" fontId="24"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0" fontId="3" fillId="3" borderId="47" xfId="0" applyFont="1" applyFill="1" applyBorder="1" applyAlignment="1">
      <alignment horizontal="center" vertical="center"/>
    </xf>
    <xf numFmtId="42" fontId="8" fillId="0" borderId="0" xfId="0" applyNumberFormat="1" applyFont="1" applyBorder="1" applyAlignment="1">
      <alignment vertical="center"/>
    </xf>
    <xf numFmtId="0" fontId="0" fillId="0" borderId="27" xfId="0" applyFont="1" applyBorder="1" applyAlignment="1">
      <alignment vertical="center"/>
    </xf>
    <xf numFmtId="0" fontId="24" fillId="0" borderId="0" xfId="0" applyFont="1" applyBorder="1" applyAlignment="1">
      <alignment vertical="center"/>
    </xf>
    <xf numFmtId="0" fontId="11" fillId="0" borderId="0" xfId="0" applyFont="1" applyBorder="1" applyAlignment="1">
      <alignment vertical="center"/>
    </xf>
    <xf numFmtId="0" fontId="24" fillId="0" borderId="27" xfId="0" applyFont="1" applyBorder="1" applyAlignment="1">
      <alignment vertical="center"/>
    </xf>
    <xf numFmtId="41" fontId="2" fillId="0" borderId="49" xfId="1" applyNumberFormat="1" applyFont="1" applyFill="1" applyBorder="1" applyAlignment="1">
      <alignment horizontal="center"/>
    </xf>
    <xf numFmtId="41" fontId="13" fillId="0" borderId="30" xfId="0" applyNumberFormat="1" applyFont="1" applyBorder="1" applyAlignment="1">
      <alignment horizontal="center" vertical="center"/>
    </xf>
    <xf numFmtId="49" fontId="15" fillId="0" borderId="0" xfId="0" applyNumberFormat="1" applyFont="1" applyAlignment="1">
      <alignment vertical="center"/>
    </xf>
    <xf numFmtId="49" fontId="15" fillId="0" borderId="27" xfId="0" applyNumberFormat="1" applyFont="1" applyBorder="1" applyAlignment="1">
      <alignment vertical="center"/>
    </xf>
    <xf numFmtId="49" fontId="11" fillId="0" borderId="0" xfId="0" applyNumberFormat="1" applyFont="1" applyAlignment="1">
      <alignment wrapText="1"/>
    </xf>
    <xf numFmtId="166" fontId="26" fillId="0" borderId="27" xfId="0" applyNumberFormat="1" applyFont="1" applyBorder="1" applyAlignment="1">
      <alignment horizontal="center" vertical="center" wrapText="1"/>
    </xf>
    <xf numFmtId="41" fontId="8" fillId="0" borderId="0" xfId="0" applyNumberFormat="1" applyFont="1"/>
    <xf numFmtId="10" fontId="11" fillId="0" borderId="0" xfId="0" applyNumberFormat="1" applyFont="1" applyAlignment="1">
      <alignment vertical="center"/>
    </xf>
    <xf numFmtId="0" fontId="24" fillId="0" borderId="30"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27" xfId="0" applyNumberFormat="1" applyFont="1" applyBorder="1" applyAlignment="1">
      <alignment horizontal="center" vertical="center"/>
    </xf>
    <xf numFmtId="0" fontId="24" fillId="0" borderId="30" xfId="0" applyFont="1" applyBorder="1" applyAlignment="1">
      <alignment horizontal="right" vertical="center"/>
    </xf>
    <xf numFmtId="8" fontId="42" fillId="0" borderId="0" xfId="0" applyNumberFormat="1" applyFont="1" applyAlignment="1">
      <alignment vertical="center"/>
    </xf>
    <xf numFmtId="0" fontId="42" fillId="0" borderId="0" xfId="0" applyFont="1" applyAlignment="1">
      <alignment vertical="center"/>
    </xf>
    <xf numFmtId="0" fontId="42" fillId="0" borderId="0" xfId="0" applyFont="1"/>
    <xf numFmtId="8" fontId="42" fillId="0" borderId="0" xfId="0" applyNumberFormat="1" applyFont="1"/>
    <xf numFmtId="0" fontId="3" fillId="3" borderId="13" xfId="0" applyFont="1" applyFill="1" applyBorder="1" applyAlignment="1">
      <alignment horizontal="center" vertical="center"/>
    </xf>
    <xf numFmtId="0" fontId="0" fillId="0" borderId="16" xfId="0" applyFill="1" applyBorder="1"/>
    <xf numFmtId="0" fontId="0" fillId="0" borderId="24" xfId="0" applyFill="1" applyBorder="1"/>
    <xf numFmtId="41" fontId="2" fillId="0" borderId="49" xfId="1" applyNumberFormat="1" applyFont="1" applyFill="1" applyBorder="1" applyAlignment="1">
      <alignment horizontal="center" vertical="center"/>
    </xf>
    <xf numFmtId="49" fontId="15"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38" fontId="0" fillId="9" borderId="36" xfId="0" applyNumberFormat="1" applyFont="1" applyFill="1" applyBorder="1" applyAlignment="1">
      <alignment horizontal="center"/>
    </xf>
    <xf numFmtId="6" fontId="18" fillId="9" borderId="40" xfId="1" applyNumberFormat="1" applyFont="1" applyFill="1" applyBorder="1" applyAlignment="1">
      <alignment horizontal="right"/>
    </xf>
    <xf numFmtId="6" fontId="18" fillId="9" borderId="51" xfId="1" applyNumberFormat="1" applyFont="1" applyFill="1" applyBorder="1" applyAlignment="1">
      <alignment horizontal="right"/>
    </xf>
    <xf numFmtId="165" fontId="43" fillId="0" borderId="0" xfId="0" applyNumberFormat="1" applyFont="1" applyBorder="1" applyAlignment="1">
      <alignment horizontal="center" vertical="center"/>
    </xf>
    <xf numFmtId="0" fontId="25" fillId="0" borderId="0" xfId="0" applyNumberFormat="1" applyFont="1" applyFill="1"/>
    <xf numFmtId="38" fontId="0" fillId="0" borderId="48" xfId="1" applyNumberFormat="1" applyFont="1" applyFill="1" applyBorder="1" applyAlignment="1">
      <alignment horizontal="right"/>
    </xf>
    <xf numFmtId="6" fontId="19" fillId="9" borderId="0" xfId="0" applyNumberFormat="1" applyFont="1" applyFill="1" applyBorder="1"/>
    <xf numFmtId="6" fontId="18" fillId="9" borderId="19" xfId="0" applyNumberFormat="1" applyFont="1" applyFill="1" applyBorder="1" applyAlignment="1">
      <alignment horizontal="center"/>
    </xf>
    <xf numFmtId="38" fontId="18" fillId="9" borderId="9" xfId="1" applyNumberFormat="1" applyFont="1" applyFill="1" applyBorder="1" applyAlignment="1">
      <alignment horizontal="right"/>
    </xf>
    <xf numFmtId="38" fontId="18" fillId="9" borderId="1" xfId="1" applyNumberFormat="1" applyFont="1" applyFill="1" applyBorder="1" applyAlignment="1">
      <alignment horizontal="right"/>
    </xf>
    <xf numFmtId="38" fontId="18" fillId="9" borderId="17" xfId="1" applyNumberFormat="1" applyFont="1" applyFill="1" applyBorder="1" applyAlignment="1">
      <alignment horizontal="right"/>
    </xf>
    <xf numFmtId="38" fontId="18" fillId="9" borderId="10" xfId="1" applyNumberFormat="1" applyFont="1" applyFill="1" applyBorder="1" applyAlignment="1">
      <alignment horizontal="right"/>
    </xf>
    <xf numFmtId="38" fontId="18" fillId="9" borderId="4" xfId="1" applyNumberFormat="1" applyFont="1" applyFill="1" applyBorder="1" applyAlignment="1">
      <alignment horizontal="right"/>
    </xf>
    <xf numFmtId="38" fontId="18" fillId="9" borderId="64" xfId="1" applyNumberFormat="1" applyFont="1" applyFill="1" applyBorder="1" applyAlignment="1">
      <alignment horizontal="right"/>
    </xf>
    <xf numFmtId="6" fontId="18" fillId="0" borderId="0" xfId="1" applyNumberFormat="1" applyFont="1" applyFill="1" applyBorder="1" applyAlignment="1">
      <alignment horizontal="right"/>
    </xf>
    <xf numFmtId="6" fontId="18" fillId="15" borderId="38" xfId="1" applyNumberFormat="1" applyFont="1" applyFill="1" applyBorder="1" applyAlignment="1">
      <alignment horizontal="right"/>
    </xf>
    <xf numFmtId="38" fontId="18" fillId="15" borderId="38" xfId="1" applyNumberFormat="1" applyFont="1" applyFill="1" applyBorder="1" applyAlignment="1">
      <alignment horizontal="right"/>
    </xf>
    <xf numFmtId="6" fontId="18" fillId="15" borderId="42" xfId="1" applyNumberFormat="1" applyFont="1" applyFill="1" applyBorder="1" applyAlignment="1">
      <alignment horizontal="right"/>
    </xf>
    <xf numFmtId="0" fontId="28" fillId="0" borderId="0" xfId="0" applyNumberFormat="1" applyFont="1" applyFill="1" applyBorder="1" applyAlignment="1">
      <alignment horizontal="center"/>
    </xf>
    <xf numFmtId="42" fontId="3" fillId="2" borderId="44" xfId="0" applyNumberFormat="1" applyFont="1" applyFill="1" applyBorder="1" applyAlignment="1"/>
    <xf numFmtId="40" fontId="45" fillId="0" borderId="0" xfId="0" applyNumberFormat="1" applyFont="1" applyAlignment="1">
      <alignment horizontal="center" vertical="center"/>
    </xf>
    <xf numFmtId="165" fontId="44" fillId="0" borderId="0" xfId="0" applyNumberFormat="1" applyFont="1" applyBorder="1" applyAlignment="1">
      <alignment horizontal="center" vertical="center"/>
    </xf>
    <xf numFmtId="167" fontId="35" fillId="0" borderId="0" xfId="0" applyNumberFormat="1" applyFont="1" applyFill="1" applyAlignment="1">
      <alignment horizontal="right" wrapText="1"/>
    </xf>
    <xf numFmtId="0" fontId="35" fillId="0" borderId="0" xfId="0" applyFont="1" applyFill="1" applyAlignment="1">
      <alignment horizontal="right" wrapText="1"/>
    </xf>
    <xf numFmtId="41" fontId="35" fillId="0" borderId="0" xfId="0" applyNumberFormat="1" applyFont="1" applyFill="1" applyAlignment="1">
      <alignment horizontal="center" wrapText="1"/>
    </xf>
    <xf numFmtId="0" fontId="34" fillId="0" borderId="0" xfId="0" applyFont="1" applyFill="1" applyAlignment="1">
      <alignment horizontal="left" vertical="center" wrapText="1"/>
    </xf>
    <xf numFmtId="0" fontId="38" fillId="0" borderId="0" xfId="0" quotePrefix="1" applyFont="1" applyFill="1" applyAlignment="1">
      <alignment horizontal="center" vertical="center" wrapText="1"/>
    </xf>
    <xf numFmtId="42" fontId="35" fillId="0" borderId="31" xfId="0" applyNumberFormat="1" applyFont="1" applyFill="1" applyBorder="1" applyAlignment="1">
      <alignment horizontal="center" vertical="center" wrapText="1"/>
    </xf>
    <xf numFmtId="167" fontId="35" fillId="0" borderId="0" xfId="0" applyNumberFormat="1" applyFont="1" applyFill="1" applyAlignment="1">
      <alignment horizontal="center" wrapText="1"/>
    </xf>
    <xf numFmtId="41" fontId="35" fillId="0" borderId="0" xfId="0" applyNumberFormat="1" applyFont="1" applyFill="1" applyBorder="1" applyAlignment="1">
      <alignment horizontal="center" wrapText="1"/>
    </xf>
    <xf numFmtId="6" fontId="35" fillId="0" borderId="31" xfId="0" applyNumberFormat="1" applyFont="1" applyFill="1" applyBorder="1" applyAlignment="1">
      <alignment horizontal="right" wrapText="1"/>
    </xf>
    <xf numFmtId="42" fontId="35" fillId="0" borderId="31" xfId="0" applyNumberFormat="1" applyFont="1" applyFill="1" applyBorder="1" applyAlignment="1">
      <alignment horizontal="left" vertical="center" wrapText="1"/>
    </xf>
    <xf numFmtId="0" fontId="41" fillId="0" borderId="0" xfId="0" applyFont="1" applyFill="1" applyAlignment="1">
      <alignment horizontal="center" wrapText="1"/>
    </xf>
    <xf numFmtId="0" fontId="34" fillId="0" borderId="0" xfId="0" applyFont="1" applyFill="1" applyAlignment="1">
      <alignment horizontal="center"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38" fontId="19" fillId="9" borderId="9" xfId="1" applyNumberFormat="1" applyFont="1" applyFill="1" applyBorder="1" applyAlignment="1">
      <alignment horizontal="right"/>
    </xf>
    <xf numFmtId="38" fontId="19" fillId="9" borderId="10"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0" xfId="1" applyNumberFormat="1" applyFont="1" applyFill="1" applyBorder="1" applyAlignment="1">
      <alignment horizontal="right"/>
    </xf>
    <xf numFmtId="6" fontId="18" fillId="13" borderId="33" xfId="0" applyNumberFormat="1" applyFont="1" applyFill="1" applyBorder="1" applyAlignment="1">
      <alignment horizontal="center" vertical="center"/>
    </xf>
    <xf numFmtId="49" fontId="18" fillId="15" borderId="33" xfId="0" applyNumberFormat="1" applyFont="1" applyFill="1" applyBorder="1" applyAlignment="1">
      <alignment vertical="center"/>
    </xf>
    <xf numFmtId="49" fontId="18" fillId="15" borderId="32" xfId="0" applyNumberFormat="1" applyFont="1" applyFill="1" applyBorder="1" applyAlignment="1">
      <alignment vertical="center"/>
    </xf>
    <xf numFmtId="49" fontId="18" fillId="16" borderId="33" xfId="0" applyNumberFormat="1" applyFont="1" applyFill="1" applyBorder="1"/>
    <xf numFmtId="6" fontId="18" fillId="16" borderId="38" xfId="1" applyNumberFormat="1" applyFont="1" applyFill="1" applyBorder="1" applyAlignment="1">
      <alignment horizontal="right"/>
    </xf>
    <xf numFmtId="38" fontId="18" fillId="16" borderId="38" xfId="1" applyNumberFormat="1" applyFont="1" applyFill="1" applyBorder="1" applyAlignment="1">
      <alignment horizontal="right"/>
    </xf>
    <xf numFmtId="6" fontId="18" fillId="16" borderId="42" xfId="1" applyNumberFormat="1" applyFont="1" applyFill="1" applyBorder="1" applyAlignment="1">
      <alignment horizontal="right"/>
    </xf>
    <xf numFmtId="49" fontId="18" fillId="16" borderId="32" xfId="0" applyNumberFormat="1" applyFont="1" applyFill="1" applyBorder="1" applyAlignment="1">
      <alignment vertical="center"/>
    </xf>
    <xf numFmtId="43" fontId="0" fillId="0" borderId="49" xfId="1" applyNumberFormat="1" applyFont="1" applyFill="1" applyBorder="1" applyAlignment="1"/>
    <xf numFmtId="0" fontId="0" fillId="0" borderId="63" xfId="0" applyFill="1" applyBorder="1" applyAlignment="1">
      <alignment horizontal="left"/>
    </xf>
    <xf numFmtId="0" fontId="0" fillId="0" borderId="63" xfId="0" applyFill="1" applyBorder="1" applyAlignment="1">
      <alignment horizontal="center"/>
    </xf>
    <xf numFmtId="38" fontId="0" fillId="0" borderId="63" xfId="1" applyNumberFormat="1" applyFont="1" applyFill="1" applyBorder="1" applyAlignment="1"/>
    <xf numFmtId="41" fontId="0" fillId="0" borderId="63" xfId="1" applyNumberFormat="1" applyFont="1" applyFill="1" applyBorder="1" applyAlignment="1"/>
    <xf numFmtId="0" fontId="10" fillId="0" borderId="0" xfId="0" applyFont="1" applyBorder="1"/>
    <xf numFmtId="165" fontId="44" fillId="0" borderId="27" xfId="0" applyNumberFormat="1" applyFont="1" applyBorder="1" applyAlignment="1">
      <alignment horizontal="center" vertical="center"/>
    </xf>
    <xf numFmtId="42" fontId="24" fillId="0" borderId="31" xfId="0" applyNumberFormat="1" applyFont="1" applyBorder="1" applyAlignment="1">
      <alignment vertical="center"/>
    </xf>
    <xf numFmtId="166" fontId="19" fillId="0" borderId="27" xfId="0" applyNumberFormat="1" applyFont="1" applyBorder="1" applyAlignment="1">
      <alignment horizontal="center"/>
    </xf>
    <xf numFmtId="41" fontId="15" fillId="0" borderId="19" xfId="0" applyNumberFormat="1" applyFont="1" applyFill="1" applyBorder="1" applyAlignment="1">
      <alignment vertical="center"/>
    </xf>
    <xf numFmtId="42" fontId="15" fillId="0" borderId="27" xfId="0" applyNumberFormat="1" applyFont="1" applyFill="1" applyBorder="1" applyAlignment="1">
      <alignment vertical="center"/>
    </xf>
    <xf numFmtId="42" fontId="15" fillId="0" borderId="31" xfId="0" applyNumberFormat="1" applyFont="1" applyFill="1" applyBorder="1" applyAlignment="1">
      <alignment vertical="center"/>
    </xf>
    <xf numFmtId="0" fontId="3" fillId="0" borderId="0" xfId="0" applyFont="1" applyBorder="1" applyAlignment="1">
      <alignment horizontal="center" vertical="center" wrapText="1"/>
    </xf>
    <xf numFmtId="41" fontId="3" fillId="0" borderId="0" xfId="0" applyNumberFormat="1" applyFont="1" applyBorder="1" applyAlignment="1">
      <alignment horizontal="center" vertical="center" wrapText="1"/>
    </xf>
    <xf numFmtId="3" fontId="0" fillId="0" borderId="0" xfId="0" applyNumberFormat="1" applyBorder="1" applyAlignment="1">
      <alignment vertical="center"/>
    </xf>
    <xf numFmtId="0" fontId="38" fillId="0" borderId="0" xfId="0" applyFont="1" applyFill="1" applyAlignment="1">
      <alignment horizontal="right" vertical="center" wrapText="1"/>
    </xf>
    <xf numFmtId="42" fontId="35"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4" fillId="0" borderId="0" xfId="0" applyFont="1" applyFill="1" applyAlignment="1">
      <alignment horizontal="left" vertical="top" wrapText="1"/>
    </xf>
    <xf numFmtId="0" fontId="0" fillId="0" borderId="35" xfId="0" applyFill="1" applyBorder="1" applyAlignment="1"/>
    <xf numFmtId="38" fontId="0" fillId="0" borderId="0" xfId="0" applyNumberFormat="1" applyFill="1"/>
    <xf numFmtId="0" fontId="21" fillId="0" borderId="11" xfId="0" applyFont="1" applyFill="1" applyBorder="1" applyAlignment="1">
      <alignment horizontal="center" vertical="top" wrapText="1"/>
    </xf>
    <xf numFmtId="0" fontId="21"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4" fontId="0" fillId="0" borderId="11" xfId="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49"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40" fontId="0" fillId="0" borderId="11" xfId="0" applyNumberFormat="1" applyBorder="1" applyAlignment="1">
      <alignment horizontal="center"/>
    </xf>
    <xf numFmtId="0" fontId="0" fillId="0" borderId="11" xfId="0" applyBorder="1" applyAlignment="1">
      <alignment horizontal="center"/>
    </xf>
    <xf numFmtId="0" fontId="34" fillId="0" borderId="0" xfId="0" applyFont="1" applyFill="1" applyAlignment="1">
      <alignment horizontal="left" vertical="top" wrapText="1"/>
    </xf>
    <xf numFmtId="41" fontId="35" fillId="0" borderId="0" xfId="0" applyNumberFormat="1" applyFont="1" applyFill="1" applyAlignment="1">
      <alignment horizontal="center" vertical="center" wrapText="1"/>
    </xf>
    <xf numFmtId="0" fontId="34" fillId="0" borderId="0" xfId="0" applyFont="1" applyFill="1" applyAlignment="1">
      <alignment horizontal="left" vertical="top" wrapText="1"/>
    </xf>
    <xf numFmtId="38" fontId="15" fillId="0" borderId="0" xfId="0" applyNumberFormat="1" applyFont="1" applyFill="1" applyBorder="1" applyAlignment="1">
      <alignment vertical="center"/>
    </xf>
    <xf numFmtId="41" fontId="35" fillId="0" borderId="0" xfId="0" applyNumberFormat="1" applyFont="1" applyFill="1" applyAlignment="1">
      <alignment horizontal="right" vertical="center" wrapText="1"/>
    </xf>
    <xf numFmtId="40" fontId="0" fillId="0" borderId="0" xfId="0" applyNumberFormat="1" applyFill="1"/>
    <xf numFmtId="49" fontId="15" fillId="0" borderId="0" xfId="0" applyNumberFormat="1" applyFont="1" applyAlignment="1">
      <alignment horizontal="left" vertical="center"/>
    </xf>
    <xf numFmtId="38" fontId="0" fillId="0" borderId="0" xfId="0" applyNumberFormat="1" applyFill="1" applyBorder="1" applyAlignment="1">
      <alignment horizontal="right"/>
    </xf>
    <xf numFmtId="42" fontId="6" fillId="2" borderId="44" xfId="0" applyNumberFormat="1" applyFont="1" applyFill="1" applyBorder="1" applyAlignment="1"/>
    <xf numFmtId="42" fontId="0" fillId="0" borderId="0" xfId="0" applyNumberFormat="1" applyFill="1" applyBorder="1" applyAlignment="1">
      <alignment vertical="center"/>
    </xf>
    <xf numFmtId="0" fontId="14" fillId="0" borderId="0" xfId="0" applyFont="1" applyFill="1" applyBorder="1" applyAlignment="1">
      <alignment vertical="center"/>
    </xf>
    <xf numFmtId="38" fontId="8" fillId="0" borderId="65" xfId="0" applyNumberFormat="1" applyFont="1" applyBorder="1" applyAlignment="1">
      <alignment horizontal="center"/>
    </xf>
    <xf numFmtId="38" fontId="8" fillId="0" borderId="0" xfId="0" applyNumberFormat="1" applyFont="1"/>
    <xf numFmtId="38" fontId="51" fillId="0" borderId="0" xfId="0" applyNumberFormat="1" applyFont="1"/>
    <xf numFmtId="38" fontId="51" fillId="0" borderId="0" xfId="0" applyNumberFormat="1" applyFont="1" applyBorder="1"/>
    <xf numFmtId="38" fontId="50" fillId="0" borderId="0" xfId="0" applyNumberFormat="1" applyFont="1"/>
    <xf numFmtId="168" fontId="52"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5" fillId="0" borderId="0" xfId="0" applyFont="1" applyFill="1" applyBorder="1" applyAlignment="1">
      <alignment horizontal="center" vertical="center" wrapText="1"/>
    </xf>
    <xf numFmtId="0" fontId="50" fillId="0" borderId="0" xfId="0" applyFont="1" applyFill="1" applyBorder="1" applyAlignment="1">
      <alignment horizontal="center"/>
    </xf>
    <xf numFmtId="0" fontId="50" fillId="0" borderId="0" xfId="0" applyFont="1" applyFill="1" applyBorder="1"/>
    <xf numFmtId="10" fontId="0" fillId="0" borderId="57" xfId="0" applyNumberFormat="1" applyFill="1" applyBorder="1" applyAlignment="1">
      <alignment horizontal="center"/>
    </xf>
    <xf numFmtId="41" fontId="13" fillId="0" borderId="30" xfId="0" applyNumberFormat="1" applyFont="1" applyBorder="1" applyAlignment="1">
      <alignment horizontal="center" vertical="center"/>
    </xf>
    <xf numFmtId="49" fontId="18" fillId="14" borderId="32" xfId="0" applyNumberFormat="1" applyFont="1" applyFill="1" applyBorder="1" applyAlignment="1">
      <alignment vertical="center"/>
    </xf>
    <xf numFmtId="6" fontId="0" fillId="0" borderId="0" xfId="0" applyNumberFormat="1" applyFill="1" applyBorder="1" applyAlignment="1"/>
    <xf numFmtId="165" fontId="44" fillId="0" borderId="31" xfId="0" applyNumberFormat="1" applyFont="1" applyBorder="1" applyAlignment="1">
      <alignment horizontal="center" vertical="center"/>
    </xf>
    <xf numFmtId="164" fontId="50" fillId="0" borderId="0" xfId="0" applyNumberFormat="1" applyFont="1" applyFill="1" applyBorder="1" applyAlignment="1">
      <alignment horizontal="center"/>
    </xf>
    <xf numFmtId="0" fontId="10"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2" fillId="0" borderId="0" xfId="0" applyFont="1" applyFill="1" applyBorder="1" applyAlignment="1">
      <alignment vertical="center"/>
    </xf>
    <xf numFmtId="41" fontId="13"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4" fillId="0" borderId="33" xfId="0" applyNumberFormat="1" applyFont="1" applyBorder="1" applyAlignment="1">
      <alignment horizontal="center" vertical="center"/>
    </xf>
    <xf numFmtId="41" fontId="54" fillId="0" borderId="0" xfId="0" applyNumberFormat="1" applyFont="1" applyBorder="1" applyAlignment="1">
      <alignment vertical="center"/>
    </xf>
    <xf numFmtId="41" fontId="53" fillId="0" borderId="27" xfId="0" applyNumberFormat="1" applyFont="1" applyBorder="1" applyAlignment="1">
      <alignment vertical="center"/>
    </xf>
    <xf numFmtId="165" fontId="44" fillId="0" borderId="2" xfId="0" applyNumberFormat="1" applyFont="1" applyBorder="1" applyAlignment="1">
      <alignment horizontal="center" vertical="center"/>
    </xf>
    <xf numFmtId="41" fontId="54" fillId="0" borderId="2" xfId="0" applyNumberFormat="1" applyFont="1" applyBorder="1" applyAlignment="1">
      <alignment vertical="center"/>
    </xf>
    <xf numFmtId="0" fontId="54" fillId="0" borderId="0" xfId="0" applyFont="1" applyBorder="1" applyAlignment="1">
      <alignment vertical="center"/>
    </xf>
    <xf numFmtId="0" fontId="54" fillId="0" borderId="27" xfId="0" applyFont="1" applyBorder="1" applyAlignment="1">
      <alignment vertical="center"/>
    </xf>
    <xf numFmtId="41" fontId="19" fillId="5" borderId="1" xfId="0" applyNumberFormat="1" applyFont="1" applyFill="1" applyBorder="1" applyAlignment="1"/>
    <xf numFmtId="38" fontId="19" fillId="9" borderId="1" xfId="1" applyNumberFormat="1" applyFont="1" applyFill="1" applyBorder="1" applyAlignment="1">
      <alignment horizontal="right"/>
    </xf>
    <xf numFmtId="0" fontId="0" fillId="0" borderId="66" xfId="0" applyFill="1" applyBorder="1"/>
    <xf numFmtId="168" fontId="55" fillId="0" borderId="0" xfId="0" applyNumberFormat="1" applyFont="1"/>
    <xf numFmtId="3" fontId="51" fillId="0" borderId="0" xfId="0" applyNumberFormat="1" applyFont="1"/>
    <xf numFmtId="168" fontId="8" fillId="0" borderId="65" xfId="0" applyNumberFormat="1" applyFont="1" applyBorder="1" applyAlignment="1">
      <alignment horizontal="center"/>
    </xf>
    <xf numFmtId="168" fontId="8" fillId="0" borderId="0" xfId="0" applyNumberFormat="1" applyFont="1"/>
    <xf numFmtId="168" fontId="51"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38" fontId="0" fillId="0" borderId="31" xfId="0" applyNumberFormat="1" applyBorder="1"/>
    <xf numFmtId="0" fontId="56" fillId="0" borderId="0" xfId="0" applyNumberFormat="1" applyFont="1" applyBorder="1" applyAlignment="1">
      <alignment horizontal="center"/>
    </xf>
    <xf numFmtId="0" fontId="57"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xf numFmtId="41" fontId="5" fillId="0" borderId="0" xfId="0" applyNumberFormat="1" applyFont="1" applyBorder="1" applyAlignment="1">
      <alignment vertical="center"/>
    </xf>
    <xf numFmtId="41" fontId="19" fillId="0" borderId="0" xfId="0" applyNumberFormat="1" applyFont="1" applyFill="1" applyBorder="1" applyAlignment="1">
      <alignment vertical="center"/>
    </xf>
    <xf numFmtId="43" fontId="5" fillId="0" borderId="0" xfId="0" applyNumberFormat="1" applyFont="1" applyBorder="1" applyAlignment="1">
      <alignment vertical="center"/>
    </xf>
    <xf numFmtId="0" fontId="18" fillId="0" borderId="0" xfId="0" applyFont="1" applyBorder="1" applyAlignment="1">
      <alignment vertical="center"/>
    </xf>
    <xf numFmtId="0" fontId="5" fillId="0" borderId="0" xfId="0" applyFont="1" applyBorder="1"/>
    <xf numFmtId="0" fontId="34" fillId="0" borderId="0" xfId="0" applyFont="1" applyFill="1" applyAlignment="1">
      <alignment horizontal="left" vertical="top"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43" fontId="0" fillId="0" borderId="48" xfId="1" applyNumberFormat="1" applyFont="1" applyFill="1" applyBorder="1" applyAlignment="1"/>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3" fillId="0" borderId="11"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44" fontId="3" fillId="0" borderId="11" xfId="1" applyFont="1" applyFill="1" applyBorder="1" applyAlignment="1">
      <alignment horizontal="center" vertical="center" wrapText="1"/>
    </xf>
    <xf numFmtId="41" fontId="3" fillId="0" borderId="11" xfId="0" applyNumberFormat="1" applyFont="1" applyFill="1" applyBorder="1" applyAlignment="1">
      <alignment horizontal="center" vertical="center" wrapText="1"/>
    </xf>
    <xf numFmtId="42" fontId="0" fillId="0" borderId="0" xfId="0" applyNumberFormat="1" applyFont="1" applyFill="1" applyBorder="1" applyAlignment="1">
      <alignment horizontal="left" vertical="top" wrapText="1"/>
    </xf>
    <xf numFmtId="44" fontId="58"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0" fillId="0" borderId="11" xfId="0" applyFont="1" applyBorder="1" applyAlignment="1">
      <alignment horizontal="center" vertical="center" wrapText="1"/>
    </xf>
    <xf numFmtId="42" fontId="35" fillId="0" borderId="0" xfId="0" applyNumberFormat="1" applyFont="1" applyFill="1" applyAlignment="1">
      <alignment horizontal="right" vertical="center" wrapText="1"/>
    </xf>
    <xf numFmtId="42" fontId="35" fillId="0" borderId="0" xfId="0" applyNumberFormat="1" applyFont="1" applyFill="1" applyBorder="1" applyAlignment="1">
      <alignment horizontal="left" vertical="center" wrapText="1"/>
    </xf>
    <xf numFmtId="0" fontId="34" fillId="0" borderId="0" xfId="0" applyFont="1" applyFill="1" applyAlignment="1">
      <alignment horizontal="left" vertical="top" wrapText="1"/>
    </xf>
    <xf numFmtId="0" fontId="38" fillId="0" borderId="0" xfId="0" applyFont="1" applyFill="1" applyAlignment="1">
      <alignment horizontal="center" vertical="center" wrapText="1"/>
    </xf>
    <xf numFmtId="40" fontId="0" fillId="0" borderId="0" xfId="0" applyNumberFormat="1" applyFont="1" applyFill="1" applyBorder="1"/>
    <xf numFmtId="0" fontId="59" fillId="0" borderId="0" xfId="0" applyNumberFormat="1" applyFont="1" applyFill="1" applyBorder="1" applyAlignment="1">
      <alignment horizontal="left"/>
    </xf>
    <xf numFmtId="0" fontId="56" fillId="0" borderId="0" xfId="0" applyNumberFormat="1" applyFont="1" applyFill="1"/>
    <xf numFmtId="38" fontId="7" fillId="0" borderId="0" xfId="0" applyNumberFormat="1" applyFont="1" applyBorder="1" applyAlignment="1">
      <alignment horizontal="right"/>
    </xf>
    <xf numFmtId="41" fontId="7" fillId="0" borderId="0" xfId="0" applyNumberFormat="1" applyFont="1" applyAlignment="1">
      <alignment horizontal="right"/>
    </xf>
    <xf numFmtId="38" fontId="7" fillId="0" borderId="0" xfId="0" applyNumberFormat="1" applyFont="1" applyAlignment="1">
      <alignment horizontal="right"/>
    </xf>
    <xf numFmtId="8" fontId="0" fillId="0" borderId="27" xfId="0" applyNumberFormat="1" applyFont="1" applyBorder="1" applyAlignment="1">
      <alignment vertical="center"/>
    </xf>
    <xf numFmtId="3" fontId="51" fillId="2" borderId="0" xfId="0" applyNumberFormat="1" applyFont="1" applyFill="1"/>
    <xf numFmtId="38" fontId="50" fillId="2" borderId="0" xfId="0" applyNumberFormat="1" applyFont="1" applyFill="1"/>
    <xf numFmtId="38" fontId="0" fillId="0" borderId="48" xfId="1" applyNumberFormat="1" applyFont="1" applyFill="1" applyBorder="1" applyAlignment="1">
      <alignment horizontal="center"/>
    </xf>
    <xf numFmtId="0" fontId="0"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5" fillId="0" borderId="0" xfId="0" applyFont="1" applyFill="1" applyAlignment="1">
      <alignment horizontal="center" vertical="center" wrapText="1"/>
    </xf>
    <xf numFmtId="0" fontId="0" fillId="0" borderId="0" xfId="0" applyFill="1" applyAlignment="1">
      <alignment horizontal="center"/>
    </xf>
    <xf numFmtId="0" fontId="34" fillId="0" borderId="0" xfId="0" applyFont="1" applyFill="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21" fillId="0" borderId="11" xfId="0" applyFont="1" applyFill="1" applyBorder="1" applyAlignment="1">
      <alignment horizontal="center" vertical="top" wrapText="1"/>
    </xf>
    <xf numFmtId="0" fontId="35" fillId="0" borderId="0" xfId="0" applyFont="1" applyFill="1" applyAlignment="1">
      <alignment horizontal="center" vertical="top" wrapText="1"/>
    </xf>
    <xf numFmtId="0" fontId="34" fillId="0" borderId="0" xfId="0" applyFont="1" applyFill="1" applyAlignment="1">
      <alignment horizontal="left" wrapText="1"/>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5" fillId="0" borderId="0" xfId="0" applyFont="1" applyFill="1" applyAlignment="1">
      <alignment horizontal="left" vertical="center" wrapText="1" indent="2"/>
    </xf>
    <xf numFmtId="0" fontId="38" fillId="0" borderId="0" xfId="0" applyFont="1" applyFill="1" applyAlignment="1">
      <alignment horizontal="left"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right" vertical="center" wrapText="1"/>
    </xf>
    <xf numFmtId="0" fontId="38" fillId="0" borderId="0" xfId="0" applyFont="1" applyFill="1" applyAlignment="1">
      <alignment horizontal="center" vertical="center" wrapText="1"/>
    </xf>
    <xf numFmtId="0" fontId="35" fillId="0" borderId="0" xfId="0" applyFont="1" applyFill="1" applyAlignment="1">
      <alignment horizontal="right" vertical="center" wrapText="1"/>
    </xf>
    <xf numFmtId="0" fontId="33" fillId="0" borderId="0" xfId="0" applyFont="1" applyFill="1" applyAlignment="1">
      <alignment horizontal="center" vertical="center"/>
    </xf>
    <xf numFmtId="168" fontId="33" fillId="0" borderId="0" xfId="0" applyNumberFormat="1" applyFont="1" applyFill="1" applyAlignment="1">
      <alignment horizontal="center" vertical="center"/>
    </xf>
    <xf numFmtId="0" fontId="41" fillId="0" borderId="0" xfId="0" applyFont="1" applyFill="1" applyAlignment="1">
      <alignment horizontal="center" wrapText="1"/>
    </xf>
    <xf numFmtId="0" fontId="3" fillId="3" borderId="32" xfId="0" applyFont="1" applyFill="1" applyBorder="1" applyAlignment="1">
      <alignment horizontal="center" vertical="center"/>
    </xf>
    <xf numFmtId="0" fontId="3" fillId="3" borderId="42"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3" fillId="3" borderId="33" xfId="0" applyFont="1" applyFill="1" applyBorder="1" applyAlignment="1">
      <alignment horizontal="center" vertical="center"/>
    </xf>
    <xf numFmtId="0" fontId="0" fillId="0" borderId="23" xfId="0" applyFont="1" applyFill="1" applyBorder="1" applyAlignment="1">
      <alignment horizontal="left"/>
    </xf>
    <xf numFmtId="0" fontId="0" fillId="0" borderId="17" xfId="0" applyFont="1" applyFill="1" applyBorder="1" applyAlignment="1">
      <alignment horizontal="left"/>
    </xf>
    <xf numFmtId="0" fontId="0" fillId="0" borderId="50" xfId="0" applyFill="1" applyBorder="1" applyAlignment="1">
      <alignment horizontal="left"/>
    </xf>
    <xf numFmtId="0" fontId="0" fillId="0" borderId="51"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0" fillId="0" borderId="23" xfId="0" applyFill="1" applyBorder="1" applyAlignment="1">
      <alignment horizontal="left"/>
    </xf>
    <xf numFmtId="0" fontId="0" fillId="0" borderId="17" xfId="0" applyFill="1" applyBorder="1" applyAlignment="1">
      <alignment horizontal="left"/>
    </xf>
    <xf numFmtId="49" fontId="18" fillId="5" borderId="34" xfId="0" applyNumberFormat="1" applyFont="1" applyFill="1" applyBorder="1" applyAlignment="1">
      <alignment horizontal="left"/>
    </xf>
    <xf numFmtId="49" fontId="18" fillId="5" borderId="28" xfId="0" applyNumberFormat="1" applyFont="1" applyFill="1" applyBorder="1" applyAlignment="1">
      <alignment horizontal="left"/>
    </xf>
    <xf numFmtId="49" fontId="18" fillId="12" borderId="35" xfId="0" applyNumberFormat="1" applyFont="1" applyFill="1" applyBorder="1" applyAlignment="1">
      <alignment horizontal="center" vertical="center"/>
    </xf>
    <xf numFmtId="49" fontId="18" fillId="12" borderId="52" xfId="0" applyNumberFormat="1" applyFont="1" applyFill="1" applyBorder="1" applyAlignment="1">
      <alignment horizontal="center" vertical="center"/>
    </xf>
    <xf numFmtId="41" fontId="13" fillId="0" borderId="30" xfId="0" applyNumberFormat="1" applyFont="1" applyBorder="1" applyAlignment="1">
      <alignment horizontal="center" vertical="center"/>
    </xf>
    <xf numFmtId="49" fontId="17" fillId="0" borderId="0" xfId="0" applyNumberFormat="1" applyFont="1" applyAlignment="1">
      <alignment horizontal="center" vertical="center"/>
    </xf>
    <xf numFmtId="0" fontId="0" fillId="0" borderId="27" xfId="0" applyBorder="1" applyAlignment="1">
      <alignment horizontal="center"/>
    </xf>
    <xf numFmtId="49" fontId="15" fillId="0" borderId="0" xfId="0" applyNumberFormat="1" applyFont="1" applyAlignment="1">
      <alignment horizontal="left" vertical="center"/>
    </xf>
    <xf numFmtId="49" fontId="11"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11" fillId="0" borderId="27" xfId="0" applyNumberFormat="1" applyFont="1" applyBorder="1" applyAlignment="1">
      <alignment horizontal="center" wrapText="1"/>
    </xf>
    <xf numFmtId="49" fontId="11" fillId="0" borderId="0" xfId="0" applyNumberFormat="1" applyFont="1" applyAlignment="1">
      <alignment horizontal="left" vertical="center"/>
    </xf>
  </cellXfs>
  <cellStyles count="4">
    <cellStyle name="Currency" xfId="1" builtinId="4"/>
    <cellStyle name="Currency 2" xfId="3"/>
    <cellStyle name="Normal" xfId="0" builtinId="0"/>
    <cellStyle name="Normal 2" xfId="2"/>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Data!$A$265:$A$451</c:f>
              <c:numCache>
                <c:formatCode>[$-F800]dddd\,\ mmmm\ dd\,\ yyyy</c:formatCode>
                <c:ptCount val="187"/>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42785</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numCache>
            </c:numRef>
          </c:cat>
          <c:val>
            <c:numRef>
              <c:f>Data!$B$265:$B$451</c:f>
              <c:numCache>
                <c:formatCode>#,##0</c:formatCode>
                <c:ptCount val="187"/>
                <c:pt idx="0">
                  <c:v>354814</c:v>
                </c:pt>
                <c:pt idx="1">
                  <c:v>361866.86</c:v>
                </c:pt>
                <c:pt idx="2">
                  <c:v>363519.32</c:v>
                </c:pt>
                <c:pt idx="3">
                  <c:v>361866.66</c:v>
                </c:pt>
                <c:pt idx="4">
                  <c:v>363519</c:v>
                </c:pt>
                <c:pt idx="5">
                  <c:v>363543.47</c:v>
                </c:pt>
                <c:pt idx="6">
                  <c:v>328707.83</c:v>
                </c:pt>
                <c:pt idx="7">
                  <c:v>328708</c:v>
                </c:pt>
                <c:pt idx="8">
                  <c:v>321086.01</c:v>
                </c:pt>
                <c:pt idx="9">
                  <c:v>334097.28000000003</c:v>
                </c:pt>
                <c:pt idx="10">
                  <c:v>334097</c:v>
                </c:pt>
                <c:pt idx="11">
                  <c:v>268850.96000000002</c:v>
                </c:pt>
                <c:pt idx="12">
                  <c:v>268851</c:v>
                </c:pt>
                <c:pt idx="13">
                  <c:v>269075.21000000002</c:v>
                </c:pt>
                <c:pt idx="14">
                  <c:v>270983.21000000002</c:v>
                </c:pt>
                <c:pt idx="15">
                  <c:v>270983</c:v>
                </c:pt>
                <c:pt idx="16">
                  <c:v>270723.98</c:v>
                </c:pt>
                <c:pt idx="17">
                  <c:v>281353.09999999998</c:v>
                </c:pt>
                <c:pt idx="18">
                  <c:v>274313.84999999998</c:v>
                </c:pt>
                <c:pt idx="19">
                  <c:v>296447.59999999998</c:v>
                </c:pt>
                <c:pt idx="20">
                  <c:v>295107.96000000002</c:v>
                </c:pt>
                <c:pt idx="21">
                  <c:v>314030.53000000003</c:v>
                </c:pt>
                <c:pt idx="22">
                  <c:v>314031</c:v>
                </c:pt>
                <c:pt idx="23">
                  <c:v>312808.53999999998</c:v>
                </c:pt>
                <c:pt idx="24">
                  <c:v>316461.53999999998</c:v>
                </c:pt>
                <c:pt idx="25">
                  <c:v>316462</c:v>
                </c:pt>
                <c:pt idx="26">
                  <c:v>289560.21999999997</c:v>
                </c:pt>
                <c:pt idx="27">
                  <c:v>297310.21999999997</c:v>
                </c:pt>
                <c:pt idx="28">
                  <c:v>352433.91</c:v>
                </c:pt>
                <c:pt idx="29">
                  <c:v>352434</c:v>
                </c:pt>
                <c:pt idx="30">
                  <c:v>352434</c:v>
                </c:pt>
                <c:pt idx="31">
                  <c:v>352434</c:v>
                </c:pt>
                <c:pt idx="32">
                  <c:v>352542.46</c:v>
                </c:pt>
                <c:pt idx="33">
                  <c:v>383231.99</c:v>
                </c:pt>
                <c:pt idx="34">
                  <c:v>404679.36</c:v>
                </c:pt>
                <c:pt idx="35">
                  <c:v>404679</c:v>
                </c:pt>
                <c:pt idx="36">
                  <c:v>368703.72</c:v>
                </c:pt>
                <c:pt idx="37">
                  <c:v>368203.72</c:v>
                </c:pt>
                <c:pt idx="38">
                  <c:v>349211.92</c:v>
                </c:pt>
                <c:pt idx="39">
                  <c:v>384176.45</c:v>
                </c:pt>
                <c:pt idx="40">
                  <c:v>384176</c:v>
                </c:pt>
                <c:pt idx="41">
                  <c:v>384176</c:v>
                </c:pt>
                <c:pt idx="42">
                  <c:v>384176</c:v>
                </c:pt>
                <c:pt idx="43">
                  <c:v>395396.43</c:v>
                </c:pt>
                <c:pt idx="44">
                  <c:v>395396</c:v>
                </c:pt>
                <c:pt idx="45">
                  <c:v>395396</c:v>
                </c:pt>
                <c:pt idx="46">
                  <c:v>361856.47</c:v>
                </c:pt>
                <c:pt idx="47">
                  <c:v>361856</c:v>
                </c:pt>
                <c:pt idx="48">
                  <c:v>349877.16</c:v>
                </c:pt>
                <c:pt idx="49">
                  <c:v>359297.81</c:v>
                </c:pt>
                <c:pt idx="50">
                  <c:v>361678.91</c:v>
                </c:pt>
                <c:pt idx="51">
                  <c:v>361679</c:v>
                </c:pt>
                <c:pt idx="52">
                  <c:v>370843.37</c:v>
                </c:pt>
                <c:pt idx="53">
                  <c:v>377566.07</c:v>
                </c:pt>
                <c:pt idx="54">
                  <c:v>370373.97</c:v>
                </c:pt>
                <c:pt idx="55">
                  <c:v>338340.3</c:v>
                </c:pt>
                <c:pt idx="56">
                  <c:v>338340</c:v>
                </c:pt>
                <c:pt idx="57">
                  <c:v>338340</c:v>
                </c:pt>
                <c:pt idx="58">
                  <c:v>348438.37</c:v>
                </c:pt>
                <c:pt idx="59">
                  <c:v>348438</c:v>
                </c:pt>
                <c:pt idx="60">
                  <c:v>348360.51</c:v>
                </c:pt>
                <c:pt idx="61" formatCode="#,##0_);[Red]\(#,##0\)">
                  <c:v>348440.48</c:v>
                </c:pt>
                <c:pt idx="62" formatCode="#,##0_);[Red]\(#,##0\)">
                  <c:v>348440</c:v>
                </c:pt>
                <c:pt idx="63" formatCode="#,##0_);[Red]\(#,##0\)">
                  <c:v>350305.92</c:v>
                </c:pt>
                <c:pt idx="64" formatCode="#,##0_);[Red]\(#,##0\)">
                  <c:v>350306</c:v>
                </c:pt>
                <c:pt idx="65" formatCode="#,##0_);[Red]\(#,##0\)">
                  <c:v>350306</c:v>
                </c:pt>
                <c:pt idx="66" formatCode="#,##0_);[Red]\(#,##0\)">
                  <c:v>320389.65000000002</c:v>
                </c:pt>
                <c:pt idx="67" formatCode="#,##0_);[Red]\(#,##0\)">
                  <c:v>320390</c:v>
                </c:pt>
                <c:pt idx="68" formatCode="#,##0_);[Red]\(#,##0\)">
                  <c:v>313344</c:v>
                </c:pt>
                <c:pt idx="69" formatCode="#,##0_);[Red]\(#,##0\)">
                  <c:v>313344</c:v>
                </c:pt>
                <c:pt idx="70" formatCode="#,##0_);[Red]\(#,##0\)">
                  <c:v>306132.78000000003</c:v>
                </c:pt>
                <c:pt idx="71" formatCode="#,##0_);[Red]\(#,##0\)">
                  <c:v>286047.34999999998</c:v>
                </c:pt>
                <c:pt idx="72" formatCode="#,##0_);[Red]\(#,##0\)">
                  <c:v>286047</c:v>
                </c:pt>
                <c:pt idx="73" formatCode="#,##0_);[Red]\(#,##0\)">
                  <c:v>272128.99</c:v>
                </c:pt>
                <c:pt idx="74" formatCode="#,##0_);[Red]\(#,##0\)">
                  <c:v>272229.71000000002</c:v>
                </c:pt>
                <c:pt idx="75" formatCode="#,##0_);[Red]\(#,##0\)">
                  <c:v>236683.56</c:v>
                </c:pt>
                <c:pt idx="76" formatCode="#,##0_);[Red]\(#,##0\)">
                  <c:v>244114.64</c:v>
                </c:pt>
                <c:pt idx="77" formatCode="#,##0_);[Red]\(#,##0\)">
                  <c:v>244115</c:v>
                </c:pt>
                <c:pt idx="78" formatCode="#,##0_);[Red]\(#,##0\)">
                  <c:v>241798.76</c:v>
                </c:pt>
                <c:pt idx="79" formatCode="#,##0_);[Red]\(#,##0\)">
                  <c:v>241799</c:v>
                </c:pt>
                <c:pt idx="80" formatCode="#,##0_);[Red]\(#,##0\)">
                  <c:v>241973.76000000001</c:v>
                </c:pt>
                <c:pt idx="81" formatCode="#,##0_);[Red]\(#,##0\)">
                  <c:v>243364.2</c:v>
                </c:pt>
                <c:pt idx="82" formatCode="#,##0_);[Red]\(#,##0\)">
                  <c:v>243364</c:v>
                </c:pt>
                <c:pt idx="83" formatCode="#,##0_);[Red]\(#,##0\)">
                  <c:v>259265.45</c:v>
                </c:pt>
                <c:pt idx="84" formatCode="#,##0_);[Red]\(#,##0\)">
                  <c:v>290731.18</c:v>
                </c:pt>
                <c:pt idx="85" formatCode="#,##0_);[Red]\(#,##0\)">
                  <c:v>251486.17</c:v>
                </c:pt>
                <c:pt idx="86" formatCode="#,##0_);[Red]\(#,##0\)">
                  <c:v>253188.17</c:v>
                </c:pt>
                <c:pt idx="87" formatCode="#,##0_);[Red]\(#,##0\)">
                  <c:v>253188</c:v>
                </c:pt>
                <c:pt idx="88" formatCode="#,##0_);[Red]\(#,##0\)">
                  <c:v>232739.33</c:v>
                </c:pt>
                <c:pt idx="89" formatCode="#,##0_);[Red]\(#,##0\)">
                  <c:v>234049.33</c:v>
                </c:pt>
                <c:pt idx="90" formatCode="#,##0_);[Red]\(#,##0\)">
                  <c:v>314317.77</c:v>
                </c:pt>
                <c:pt idx="91" formatCode="#,##0_);[Red]\(#,##0\)">
                  <c:v>314318</c:v>
                </c:pt>
                <c:pt idx="92" formatCode="#,##0_);[Red]\(#,##0\)">
                  <c:v>314318</c:v>
                </c:pt>
                <c:pt idx="93" formatCode="#,##0_);[Red]\(#,##0\)">
                  <c:v>313971.28000000003</c:v>
                </c:pt>
                <c:pt idx="94" formatCode="#,##0_);[Red]\(#,##0\)">
                  <c:v>313971</c:v>
                </c:pt>
                <c:pt idx="95" formatCode="#,##0_);[Red]\(#,##0\)">
                  <c:v>271063.69</c:v>
                </c:pt>
                <c:pt idx="96" formatCode="#,##0_);[Red]\(#,##0\)">
                  <c:v>271064</c:v>
                </c:pt>
                <c:pt idx="97" formatCode="#,##0_);[Red]\(#,##0\)">
                  <c:v>271064</c:v>
                </c:pt>
                <c:pt idx="98" formatCode="#,##0_);[Red]\(#,##0\)">
                  <c:v>261497.73</c:v>
                </c:pt>
                <c:pt idx="99" formatCode="#,##0_);[Red]\(#,##0\)">
                  <c:v>311507.92</c:v>
                </c:pt>
                <c:pt idx="100" formatCode="#,##0_);[Red]\(#,##0\)">
                  <c:v>290080.52</c:v>
                </c:pt>
                <c:pt idx="101" formatCode="#,##0_);[Red]\(#,##0\)">
                  <c:v>290081</c:v>
                </c:pt>
                <c:pt idx="102" formatCode="#,##0_);[Red]\(#,##0\)">
                  <c:v>327080.46000000002</c:v>
                </c:pt>
                <c:pt idx="103" formatCode="#,##0_);[Red]\(#,##0\)">
                  <c:v>327080</c:v>
                </c:pt>
                <c:pt idx="104" formatCode="#,##0_);[Red]\(#,##0\)">
                  <c:v>336844.12</c:v>
                </c:pt>
                <c:pt idx="105" formatCode="#,##0_);[Red]\(#,##0\)">
                  <c:v>336844</c:v>
                </c:pt>
                <c:pt idx="106" formatCode="#,##0_);[Red]\(#,##0\)">
                  <c:v>300553.48</c:v>
                </c:pt>
                <c:pt idx="107" formatCode="#,##0_);[Red]\(#,##0\)">
                  <c:v>296887.5</c:v>
                </c:pt>
                <c:pt idx="108" formatCode="#,##0_);[Red]\(#,##0\)">
                  <c:v>297355.68</c:v>
                </c:pt>
                <c:pt idx="109" formatCode="#,##0_);[Red]\(#,##0\)">
                  <c:v>298760.68</c:v>
                </c:pt>
                <c:pt idx="110" formatCode="#,##0_);[Red]\(#,##0\)">
                  <c:v>279006.82</c:v>
                </c:pt>
                <c:pt idx="111" formatCode="#,##0_);[Red]\(#,##0\)">
                  <c:v>279007</c:v>
                </c:pt>
                <c:pt idx="112" formatCode="#,##0_);[Red]\(#,##0\)">
                  <c:v>279007</c:v>
                </c:pt>
                <c:pt idx="113" formatCode="#,##0_);[Red]\(#,##0\)">
                  <c:v>279112.07</c:v>
                </c:pt>
                <c:pt idx="114" formatCode="#,##0_);[Red]\(#,##0\)">
                  <c:v>279112</c:v>
                </c:pt>
                <c:pt idx="115" formatCode="#,##0_);[Red]\(#,##0\)">
                  <c:v>244072.02</c:v>
                </c:pt>
                <c:pt idx="116" formatCode="#,##0_);[Red]\(#,##0\)">
                  <c:v>249325.41</c:v>
                </c:pt>
                <c:pt idx="117" formatCode="#,##0_);[Red]\(#,##0\)">
                  <c:v>249325</c:v>
                </c:pt>
                <c:pt idx="118" formatCode="#,##0_);[Red]\(#,##0\)">
                  <c:v>252874.48</c:v>
                </c:pt>
                <c:pt idx="119" formatCode="#,##0_);[Red]\(#,##0\)">
                  <c:v>253128.65</c:v>
                </c:pt>
                <c:pt idx="120" formatCode="#,##0_);[Red]\(#,##0\)">
                  <c:v>255098.96</c:v>
                </c:pt>
                <c:pt idx="121" formatCode="#,##0_);[Red]\(#,##0\)">
                  <c:v>253521.42</c:v>
                </c:pt>
                <c:pt idx="122" formatCode="#,##0_);[Red]\(#,##0\)">
                  <c:v>253521</c:v>
                </c:pt>
                <c:pt idx="123" formatCode="#,##0_);[Red]\(#,##0\)">
                  <c:v>235912.36</c:v>
                </c:pt>
                <c:pt idx="124" formatCode="#,##0_);[Red]\(#,##0\)">
                  <c:v>235912</c:v>
                </c:pt>
                <c:pt idx="125" formatCode="#,##0_);[Red]\(#,##0\)">
                  <c:v>198879.76</c:v>
                </c:pt>
                <c:pt idx="126" formatCode="#,##0_);[Red]\(#,##0\)">
                  <c:v>199009.76</c:v>
                </c:pt>
                <c:pt idx="127" formatCode="#,##0_);[Red]\(#,##0\)">
                  <c:v>199010</c:v>
                </c:pt>
                <c:pt idx="128" formatCode="#,##0_);[Red]\(#,##0\)">
                  <c:v>210354</c:v>
                </c:pt>
                <c:pt idx="129" formatCode="#,##0_);[Red]\(#,##0\)">
                  <c:v>260779.62</c:v>
                </c:pt>
                <c:pt idx="130" formatCode="#,##0_);[Red]\(#,##0\)">
                  <c:v>260780</c:v>
                </c:pt>
                <c:pt idx="131" formatCode="#,##0_);[Red]\(#,##0\)">
                  <c:v>260780</c:v>
                </c:pt>
                <c:pt idx="132" formatCode="#,##0_);[Red]\(#,##0\)">
                  <c:v>260780</c:v>
                </c:pt>
                <c:pt idx="133" formatCode="#,##0_);[Red]\(#,##0\)">
                  <c:v>261774.11</c:v>
                </c:pt>
                <c:pt idx="134" formatCode="#,##0_);[Red]\(#,##0\)">
                  <c:v>261774</c:v>
                </c:pt>
                <c:pt idx="135" formatCode="#,##0_);[Red]\(#,##0\)">
                  <c:v>226950.89</c:v>
                </c:pt>
                <c:pt idx="136" formatCode="#,##0_);[Red]\(#,##0\)">
                  <c:v>226951</c:v>
                </c:pt>
                <c:pt idx="137" formatCode="#,##0_);[Red]\(#,##0\)">
                  <c:v>248711.94</c:v>
                </c:pt>
                <c:pt idx="138" formatCode="#,##0_);[Red]\(#,##0\)">
                  <c:v>256201.58</c:v>
                </c:pt>
                <c:pt idx="139" formatCode="#,##0_);[Red]\(#,##0\)">
                  <c:v>256272.97</c:v>
                </c:pt>
                <c:pt idx="140" formatCode="#,##0_);[Red]\(#,##0\)">
                  <c:v>256056.42</c:v>
                </c:pt>
                <c:pt idx="141" formatCode="#,##0_);[Red]\(#,##0\)">
                  <c:v>257213.96</c:v>
                </c:pt>
                <c:pt idx="142" formatCode="#,##0_);[Red]\(#,##0\)">
                  <c:v>257214</c:v>
                </c:pt>
                <c:pt idx="143" formatCode="#,##0_);[Red]\(#,##0\)">
                  <c:v>260075.5</c:v>
                </c:pt>
                <c:pt idx="144" formatCode="#,##0_);[Red]\(#,##0\)">
                  <c:v>339825.5</c:v>
                </c:pt>
                <c:pt idx="145" formatCode="#,##0_);[Red]\(#,##0\)">
                  <c:v>303182.65000000002</c:v>
                </c:pt>
                <c:pt idx="146" formatCode="#,##0_);[Red]\(#,##0\)">
                  <c:v>322340.12</c:v>
                </c:pt>
                <c:pt idx="147" formatCode="#,##0_);[Red]\(#,##0\)">
                  <c:v>322340</c:v>
                </c:pt>
                <c:pt idx="148" formatCode="#,##0_);[Red]\(#,##0\)">
                  <c:v>308772.78999999998</c:v>
                </c:pt>
                <c:pt idx="149" formatCode="#,##0_);[Red]\(#,##0\)">
                  <c:v>317343.40999999997</c:v>
                </c:pt>
                <c:pt idx="150" formatCode="#,##0_);[Red]\(#,##0\)">
                  <c:v>317343</c:v>
                </c:pt>
                <c:pt idx="151" formatCode="#,##0_);[Red]\(#,##0\)">
                  <c:v>369152.35</c:v>
                </c:pt>
                <c:pt idx="152" formatCode="#,##0_);[Red]\(#,##0\)">
                  <c:v>371061.94</c:v>
                </c:pt>
                <c:pt idx="153" formatCode="#,##0_);[Red]\(#,##0\)">
                  <c:v>372080.87</c:v>
                </c:pt>
                <c:pt idx="154" formatCode="#,##0_);[Red]\(#,##0\)">
                  <c:v>372080.87</c:v>
                </c:pt>
                <c:pt idx="155" formatCode="#,##0_);[Red]\(#,##0\)">
                  <c:v>336189.47</c:v>
                </c:pt>
                <c:pt idx="156" formatCode="#,##0_);[Red]\(#,##0\)">
                  <c:v>340998.07</c:v>
                </c:pt>
                <c:pt idx="157" formatCode="#,##0_);[Red]\(#,##0\)">
                  <c:v>332763.65000000002</c:v>
                </c:pt>
                <c:pt idx="158" formatCode="#,##0_);[Red]\(#,##0\)">
                  <c:v>375651.45</c:v>
                </c:pt>
                <c:pt idx="159" formatCode="#,##0_);[Red]\(#,##0\)">
                  <c:v>378293.21</c:v>
                </c:pt>
                <c:pt idx="160" formatCode="#,##0_);[Red]\(#,##0\)">
                  <c:v>378293</c:v>
                </c:pt>
                <c:pt idx="161" formatCode="#,##0_);[Red]\(#,##0\)">
                  <c:v>401190.06</c:v>
                </c:pt>
                <c:pt idx="162" formatCode="#,##0_);[Red]\(#,##0\)">
                  <c:v>401190</c:v>
                </c:pt>
                <c:pt idx="163" formatCode="#,##0_);[Red]\(#,##0\)">
                  <c:v>401569.72</c:v>
                </c:pt>
                <c:pt idx="164" formatCode="#,##0_);[Red]\(#,##0\)">
                  <c:v>403837.72</c:v>
                </c:pt>
                <c:pt idx="165" formatCode="#,##0_);[Red]\(#,##0\)">
                  <c:v>369495.17</c:v>
                </c:pt>
                <c:pt idx="166" formatCode="#,##0_);[Red]\(#,##0\)">
                  <c:v>379169.06</c:v>
                </c:pt>
                <c:pt idx="167" formatCode="#,##0_);[Red]\(#,##0\)">
                  <c:v>379169</c:v>
                </c:pt>
                <c:pt idx="168" formatCode="#,##0_);[Red]\(#,##0\)">
                  <c:v>372540.41</c:v>
                </c:pt>
                <c:pt idx="169" formatCode="#,##0_);[Red]\(#,##0\)">
                  <c:v>372540</c:v>
                </c:pt>
                <c:pt idx="170" formatCode="#,##0_);[Red]\(#,##0\)">
                  <c:v>372540</c:v>
                </c:pt>
                <c:pt idx="171" formatCode="#,##0_);[Red]\(#,##0\)">
                  <c:v>374625.25</c:v>
                </c:pt>
                <c:pt idx="172" formatCode="#,##0_);[Red]\(#,##0\)">
                  <c:v>382658.46</c:v>
                </c:pt>
                <c:pt idx="173" formatCode="#,##0_);[Red]\(#,##0\)">
                  <c:v>389160.26</c:v>
                </c:pt>
                <c:pt idx="174" formatCode="#,##0_);[Red]\(#,##0\)">
                  <c:v>389160</c:v>
                </c:pt>
                <c:pt idx="175" formatCode="#,##0_);[Red]\(#,##0\)">
                  <c:v>389160</c:v>
                </c:pt>
                <c:pt idx="176" formatCode="#,##0_);[Red]\(#,##0\)">
                  <c:v>352908.42</c:v>
                </c:pt>
                <c:pt idx="177" formatCode="#,##0_);[Red]\(#,##0\)">
                  <c:v>383959.41</c:v>
                </c:pt>
                <c:pt idx="178" formatCode="#,##0_);[Red]\(#,##0\)">
                  <c:v>403148.81</c:v>
                </c:pt>
                <c:pt idx="179" formatCode="#,##0_);[Red]\(#,##0\)">
                  <c:v>403344.11</c:v>
                </c:pt>
                <c:pt idx="180" formatCode="#,##0_);[Red]\(#,##0\)">
                  <c:v>403344</c:v>
                </c:pt>
                <c:pt idx="181" formatCode="#,##0_);[Red]\(#,##0\)">
                  <c:v>403344</c:v>
                </c:pt>
                <c:pt idx="182" formatCode="#,##0_);[Red]\(#,##0\)">
                  <c:v>403344</c:v>
                </c:pt>
                <c:pt idx="183" formatCode="#,##0_);[Red]\(#,##0\)">
                  <c:v>399784.25</c:v>
                </c:pt>
                <c:pt idx="184" formatCode="#,##0_);[Red]\(#,##0\)">
                  <c:v>399902.41</c:v>
                </c:pt>
                <c:pt idx="185" formatCode="#,##0_);[Red]\(#,##0\)">
                  <c:v>364572.56</c:v>
                </c:pt>
                <c:pt idx="186" formatCode="#,##0_);[Red]\(#,##0\)">
                  <c:v>371571.78</c:v>
                </c:pt>
              </c:numCache>
            </c:numRef>
          </c:val>
          <c:smooth val="0"/>
        </c:ser>
        <c:dLbls>
          <c:showLegendKey val="0"/>
          <c:showVal val="0"/>
          <c:showCatName val="0"/>
          <c:showSerName val="0"/>
          <c:showPercent val="0"/>
          <c:showBubbleSize val="0"/>
        </c:dLbls>
        <c:smooth val="0"/>
        <c:axId val="215223880"/>
        <c:axId val="193490408"/>
      </c:lineChart>
      <c:dateAx>
        <c:axId val="2152238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90408"/>
        <c:crosses val="autoZero"/>
        <c:auto val="1"/>
        <c:lblOffset val="100"/>
        <c:baseTimeUnit val="days"/>
        <c:majorUnit val="30"/>
        <c:majorTimeUnit val="days"/>
        <c:minorUnit val="4"/>
        <c:minorTimeUnit val="months"/>
      </c:dateAx>
      <c:valAx>
        <c:axId val="193490408"/>
        <c:scaling>
          <c:orientation val="minMax"/>
          <c:min val="150000"/>
        </c:scaling>
        <c:delete val="0"/>
        <c:axPos val="l"/>
        <c:majorGridlines>
          <c:spPr>
            <a:ln w="9525" cap="flat" cmpd="sng" algn="ctr">
              <a:solidFill>
                <a:schemeClr val="accent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2238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Data!$D$184:$D$197</c:f>
              <c:numCache>
                <c:formatCode>mmm\-yy</c:formatCode>
                <c:ptCount val="14"/>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numCache>
            </c:numRef>
          </c:cat>
          <c:val>
            <c:numRef>
              <c:f>Data!$E$184:$E$197</c:f>
              <c:numCache>
                <c:formatCode>"$"#,##0_);[Red]\("$"#,##0\)</c:formatCode>
                <c:ptCount val="14"/>
                <c:pt idx="0">
                  <c:v>182364.32</c:v>
                </c:pt>
                <c:pt idx="1">
                  <c:v>242244.9</c:v>
                </c:pt>
                <c:pt idx="2">
                  <c:v>246906.4</c:v>
                </c:pt>
                <c:pt idx="3">
                  <c:v>246462.95</c:v>
                </c:pt>
                <c:pt idx="4">
                  <c:v>249807.51</c:v>
                </c:pt>
                <c:pt idx="5">
                  <c:v>351420.1</c:v>
                </c:pt>
                <c:pt idx="6">
                  <c:v>253330.36</c:v>
                </c:pt>
                <c:pt idx="7">
                  <c:v>280744.2</c:v>
                </c:pt>
                <c:pt idx="8">
                  <c:v>319478.15999999997</c:v>
                </c:pt>
                <c:pt idx="9">
                  <c:v>241828.1</c:v>
                </c:pt>
                <c:pt idx="10">
                  <c:v>248981.18</c:v>
                </c:pt>
                <c:pt idx="11">
                  <c:v>268797.63</c:v>
                </c:pt>
                <c:pt idx="12">
                  <c:v>200883.71</c:v>
                </c:pt>
              </c:numCache>
            </c:numRef>
          </c:val>
        </c:ser>
        <c:dLbls>
          <c:showLegendKey val="0"/>
          <c:showVal val="0"/>
          <c:showCatName val="0"/>
          <c:showSerName val="0"/>
          <c:showPercent val="0"/>
          <c:showBubbleSize val="0"/>
        </c:dLbls>
        <c:gapWidth val="243"/>
        <c:overlap val="-83"/>
        <c:axId val="193577760"/>
        <c:axId val="193578144"/>
      </c:barChart>
      <c:dateAx>
        <c:axId val="193577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578144"/>
        <c:crosses val="autoZero"/>
        <c:auto val="1"/>
        <c:lblOffset val="100"/>
        <c:baseTimeUnit val="months"/>
      </c:dateAx>
      <c:valAx>
        <c:axId val="19357814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577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'August''17 AR Aging '!$B$186</c:f>
              <c:strCache>
                <c:ptCount val="1"/>
                <c:pt idx="0">
                  <c:v>Current Month</c:v>
                </c:pt>
              </c:strCache>
            </c:strRef>
          </c:tx>
          <c:spPr>
            <a:solidFill>
              <a:srgbClr val="0070C0"/>
            </a:solidFill>
          </c:spPr>
          <c:invertIfNegative val="0"/>
          <c:val>
            <c:numRef>
              <c:f>'August''17 AR Aging '!$C$186:$N$186</c:f>
            </c:numRef>
          </c:val>
          <c:extLst>
            <c:ext xmlns:c15="http://schemas.microsoft.com/office/drawing/2012/chart" uri="{02D57815-91ED-43cb-92C2-25804820EDAC}">
              <c15:filteredCategoryTitle>
                <c15:cat>
                  <c:multiLvlStrRef>
                    <c:extLst>
                      <c:ext uri="{02D57815-91ED-43cb-92C2-25804820EDAC}">
                        <c15:formulaRef>
                          <c15:sqref>'August''17 AR Aging '!$C$185:$N$185</c15:sqref>
                        </c15:formulaRef>
                      </c:ext>
                    </c:extLst>
                  </c:multiLvlStrRef>
                </c15:cat>
              </c15:filteredCategoryTitle>
            </c:ext>
          </c:extLst>
        </c:ser>
        <c:ser>
          <c:idx val="1"/>
          <c:order val="1"/>
          <c:tx>
            <c:strRef>
              <c:f>'August''17 AR Aging '!$B$187</c:f>
              <c:strCache>
                <c:ptCount val="1"/>
                <c:pt idx="0">
                  <c:v>Previous Month</c:v>
                </c:pt>
              </c:strCache>
            </c:strRef>
          </c:tx>
          <c:spPr>
            <a:solidFill>
              <a:schemeClr val="accent6">
                <a:lumMod val="40000"/>
                <a:lumOff val="60000"/>
              </a:schemeClr>
            </a:solidFill>
          </c:spPr>
          <c:invertIfNegative val="0"/>
          <c:val>
            <c:numRef>
              <c:f>'August''17 AR Aging '!$C$187:$N$187</c:f>
            </c:numRef>
          </c:val>
          <c:extLst>
            <c:ext xmlns:c15="http://schemas.microsoft.com/office/drawing/2012/chart" uri="{02D57815-91ED-43cb-92C2-25804820EDAC}">
              <c15:filteredCategoryTitle>
                <c15:cat>
                  <c:multiLvlStrRef>
                    <c:extLst>
                      <c:ext uri="{02D57815-91ED-43cb-92C2-25804820EDAC}">
                        <c15:formulaRef>
                          <c15:sqref>'August''17 AR Aging '!$C$185:$N$185</c15:sqref>
                        </c15:formulaRef>
                      </c:ext>
                    </c:extLst>
                  </c:multiLvlStrRef>
                </c15:cat>
              </c15:filteredCategoryTitle>
            </c:ext>
          </c:extLst>
        </c:ser>
        <c:ser>
          <c:idx val="2"/>
          <c:order val="2"/>
          <c:tx>
            <c:strRef>
              <c:f>'August''17 AR Aging '!$B$188</c:f>
              <c:strCache>
                <c:ptCount val="1"/>
                <c:pt idx="0">
                  <c:v>Three Months Ago</c:v>
                </c:pt>
              </c:strCache>
            </c:strRef>
          </c:tx>
          <c:spPr>
            <a:solidFill>
              <a:schemeClr val="accent3">
                <a:lumMod val="75000"/>
              </a:schemeClr>
            </a:solidFill>
          </c:spPr>
          <c:invertIfNegative val="0"/>
          <c:val>
            <c:numRef>
              <c:f>'August''17 AR Aging '!$C$188:$N$188</c:f>
            </c:numRef>
          </c:val>
          <c:extLst>
            <c:ext xmlns:c15="http://schemas.microsoft.com/office/drawing/2012/chart" uri="{02D57815-91ED-43cb-92C2-25804820EDAC}">
              <c15:filteredCategoryTitle>
                <c15:cat>
                  <c:multiLvlStrRef>
                    <c:extLst>
                      <c:ext uri="{02D57815-91ED-43cb-92C2-25804820EDAC}">
                        <c15:formulaRef>
                          <c15:sqref>'August''17 AR Aging '!$C$185:$N$185</c15:sqref>
                        </c15:formulaRef>
                      </c:ext>
                    </c:extLst>
                  </c:multiLvlStrRef>
                </c15:cat>
              </c15:filteredCategoryTitle>
            </c:ext>
          </c:extLst>
        </c:ser>
        <c:ser>
          <c:idx val="3"/>
          <c:order val="3"/>
          <c:tx>
            <c:strRef>
              <c:f>'August''17 AR Aging '!$B$189</c:f>
              <c:strCache>
                <c:ptCount val="1"/>
                <c:pt idx="0">
                  <c:v>Older than Three Months</c:v>
                </c:pt>
              </c:strCache>
            </c:strRef>
          </c:tx>
          <c:spPr>
            <a:solidFill>
              <a:schemeClr val="accent4">
                <a:lumMod val="40000"/>
                <a:lumOff val="60000"/>
              </a:schemeClr>
            </a:solidFill>
          </c:spPr>
          <c:invertIfNegative val="0"/>
          <c:val>
            <c:numRef>
              <c:f>'August''17 AR Aging '!$C$189:$N$189</c:f>
            </c:numRef>
          </c:val>
          <c:extLst>
            <c:ext xmlns:c15="http://schemas.microsoft.com/office/drawing/2012/chart" uri="{02D57815-91ED-43cb-92C2-25804820EDAC}">
              <c15:filteredCategoryTitle>
                <c15:cat>
                  <c:multiLvlStrRef>
                    <c:extLst>
                      <c:ext uri="{02D57815-91ED-43cb-92C2-25804820EDAC}">
                        <c15:formulaRef>
                          <c15:sqref>'August''17 AR Aging '!$C$185:$N$185</c15:sqref>
                        </c15:formulaRef>
                      </c:ext>
                    </c:extLst>
                  </c:multiLvlStrRef>
                </c15:cat>
              </c15:filteredCategoryTitle>
            </c:ext>
          </c:extLst>
        </c:ser>
        <c:dLbls>
          <c:showLegendKey val="0"/>
          <c:showVal val="0"/>
          <c:showCatName val="0"/>
          <c:showSerName val="0"/>
          <c:showPercent val="0"/>
          <c:showBubbleSize val="0"/>
        </c:dLbls>
        <c:gapWidth val="56"/>
        <c:overlap val="100"/>
        <c:axId val="193420328"/>
        <c:axId val="193846712"/>
      </c:barChart>
      <c:catAx>
        <c:axId val="193420328"/>
        <c:scaling>
          <c:orientation val="minMax"/>
        </c:scaling>
        <c:delete val="0"/>
        <c:axPos val="b"/>
        <c:numFmt formatCode="[$-409]mmmm\-yy;@" sourceLinked="1"/>
        <c:majorTickMark val="none"/>
        <c:minorTickMark val="none"/>
        <c:tickLblPos val="nextTo"/>
        <c:spPr>
          <a:noFill/>
          <a:ln w="22225"/>
        </c:spPr>
        <c:crossAx val="193846712"/>
        <c:crosses val="autoZero"/>
        <c:auto val="0"/>
        <c:lblAlgn val="ctr"/>
        <c:lblOffset val="100"/>
        <c:tickLblSkip val="1"/>
        <c:noMultiLvlLbl val="0"/>
      </c:catAx>
      <c:valAx>
        <c:axId val="193846712"/>
        <c:scaling>
          <c:orientation val="minMax"/>
        </c:scaling>
        <c:delete val="0"/>
        <c:axPos val="l"/>
        <c:majorGridlines/>
        <c:numFmt formatCode="&quot;$&quot;#,##0_);[Red]\(&quot;$&quot;#,##0\)" sourceLinked="1"/>
        <c:majorTickMark val="none"/>
        <c:minorTickMark val="none"/>
        <c:tickLblPos val="nextTo"/>
        <c:crossAx val="193420328"/>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990600</xdr:colOff>
      <xdr:row>7</xdr:row>
      <xdr:rowOff>800099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561975</xdr:colOff>
      <xdr:row>18</xdr:row>
      <xdr:rowOff>180976</xdr:rowOff>
    </xdr:from>
    <xdr:to>
      <xdr:col>7</xdr:col>
      <xdr:colOff>571500</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3695700</xdr:colOff>
      <xdr:row>179</xdr:row>
      <xdr:rowOff>47625</xdr:rowOff>
    </xdr:from>
    <xdr:to>
      <xdr:col>8</xdr:col>
      <xdr:colOff>523875</xdr:colOff>
      <xdr:row>216</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tabSelected="1" topLeftCell="A22" zoomScaleNormal="100" workbookViewId="0">
      <selection activeCell="J6" sqref="J6"/>
    </sheetView>
  </sheetViews>
  <sheetFormatPr defaultRowHeight="14.25" x14ac:dyDescent="0.2"/>
  <cols>
    <col min="1" max="1" width="5" style="4" customWidth="1"/>
    <col min="2" max="6" width="14.875" style="4" customWidth="1"/>
    <col min="7" max="7" width="16.125" style="4" customWidth="1"/>
    <col min="8" max="8" width="16.625" style="4" customWidth="1"/>
    <col min="9" max="9" width="9.5" style="4" bestFit="1" customWidth="1"/>
    <col min="10" max="16384" width="9" style="4"/>
  </cols>
  <sheetData>
    <row r="1" spans="1:8" ht="23.25" x14ac:dyDescent="0.2">
      <c r="A1" s="685" t="s">
        <v>196</v>
      </c>
      <c r="B1" s="685"/>
      <c r="C1" s="685"/>
      <c r="D1" s="685"/>
      <c r="E1" s="685"/>
      <c r="F1" s="685"/>
      <c r="G1" s="685"/>
      <c r="H1" s="685"/>
    </row>
    <row r="2" spans="1:8" ht="23.25" x14ac:dyDescent="0.2">
      <c r="A2" s="685" t="s">
        <v>197</v>
      </c>
      <c r="B2" s="685"/>
      <c r="C2" s="685"/>
      <c r="D2" s="685"/>
      <c r="E2" s="685"/>
      <c r="F2" s="685"/>
      <c r="G2" s="685"/>
      <c r="H2" s="685"/>
    </row>
    <row r="3" spans="1:8" ht="23.25" x14ac:dyDescent="0.2">
      <c r="A3" s="686">
        <v>42997</v>
      </c>
      <c r="B3" s="686"/>
      <c r="C3" s="686"/>
      <c r="D3" s="686"/>
      <c r="E3" s="686"/>
      <c r="F3" s="686"/>
      <c r="G3" s="686"/>
      <c r="H3" s="686"/>
    </row>
    <row r="4" spans="1:8" ht="21.75" customHeight="1" x14ac:dyDescent="0.25">
      <c r="A4" s="687" t="s">
        <v>214</v>
      </c>
      <c r="B4" s="687"/>
      <c r="C4" s="687"/>
      <c r="D4" s="687"/>
      <c r="E4" s="687"/>
      <c r="F4" s="687"/>
      <c r="G4" s="687"/>
      <c r="H4" s="687"/>
    </row>
    <row r="5" spans="1:8" ht="51" customHeight="1" x14ac:dyDescent="0.2">
      <c r="A5" s="670" t="s">
        <v>435</v>
      </c>
      <c r="B5" s="670"/>
      <c r="C5" s="670"/>
      <c r="D5" s="670"/>
      <c r="E5" s="670"/>
      <c r="F5" s="670"/>
      <c r="G5" s="670"/>
      <c r="H5" s="670"/>
    </row>
    <row r="6" spans="1:8" ht="81" customHeight="1" x14ac:dyDescent="0.2">
      <c r="A6" s="556"/>
      <c r="B6" s="556"/>
      <c r="C6" s="556"/>
      <c r="D6" s="556"/>
      <c r="E6" s="556"/>
      <c r="F6" s="556"/>
      <c r="G6" s="556"/>
      <c r="H6" s="556"/>
    </row>
    <row r="7" spans="1:8" ht="81" customHeight="1" x14ac:dyDescent="0.2">
      <c r="A7" s="556"/>
      <c r="B7" s="556"/>
      <c r="C7" s="556"/>
      <c r="D7" s="556"/>
      <c r="E7" s="556"/>
      <c r="F7" s="556"/>
      <c r="G7" s="556"/>
      <c r="H7" s="556"/>
    </row>
    <row r="8" spans="1:8" ht="81" customHeight="1" x14ac:dyDescent="0.2">
      <c r="A8" s="556"/>
      <c r="B8" s="556"/>
      <c r="C8" s="556"/>
      <c r="D8" s="556"/>
      <c r="E8" s="556"/>
      <c r="F8" s="556"/>
      <c r="G8" s="556"/>
      <c r="H8" s="556"/>
    </row>
    <row r="9" spans="1:8" ht="38.25" customHeight="1" x14ac:dyDescent="0.2">
      <c r="A9" s="670" t="s">
        <v>434</v>
      </c>
      <c r="B9" s="670"/>
      <c r="C9" s="670"/>
      <c r="D9" s="670"/>
      <c r="E9" s="670"/>
      <c r="F9" s="670"/>
      <c r="G9" s="670"/>
      <c r="H9" s="670"/>
    </row>
    <row r="10" spans="1:8" ht="15.75" x14ac:dyDescent="0.25">
      <c r="A10" s="520"/>
      <c r="B10" s="674"/>
      <c r="C10" s="674"/>
      <c r="D10" s="510"/>
      <c r="E10" s="516" t="s">
        <v>59</v>
      </c>
      <c r="F10" s="510"/>
      <c r="G10" s="511"/>
      <c r="H10" s="520"/>
    </row>
    <row r="11" spans="1:8" ht="15.75" customHeight="1" x14ac:dyDescent="0.25">
      <c r="A11" s="520"/>
      <c r="C11" s="674" t="s">
        <v>204</v>
      </c>
      <c r="D11" s="674"/>
      <c r="E11" s="558">
        <f>'August''17 AR Aging '!G8</f>
        <v>27088.92</v>
      </c>
      <c r="F11" s="512"/>
      <c r="G11" s="512"/>
      <c r="H11" s="520"/>
    </row>
    <row r="12" spans="1:8" ht="15.75" customHeight="1" x14ac:dyDescent="0.25">
      <c r="A12" s="520"/>
      <c r="C12" s="674" t="s">
        <v>238</v>
      </c>
      <c r="D12" s="674"/>
      <c r="E12" s="558">
        <f>'August''17 AR Aging '!G32</f>
        <v>42355.82</v>
      </c>
      <c r="F12" s="512"/>
      <c r="G12" s="512"/>
      <c r="H12" s="520"/>
    </row>
    <row r="13" spans="1:8" ht="15.75" customHeight="1" x14ac:dyDescent="0.25">
      <c r="A13" s="520"/>
      <c r="C13" s="674" t="s">
        <v>239</v>
      </c>
      <c r="D13" s="674"/>
      <c r="E13" s="558">
        <f>'August''17 AR Aging '!G14</f>
        <v>64994.87</v>
      </c>
      <c r="F13" s="512"/>
      <c r="G13" s="512"/>
      <c r="H13" s="520"/>
    </row>
    <row r="14" spans="1:8" ht="15.75" customHeight="1" x14ac:dyDescent="0.25">
      <c r="A14" s="520"/>
      <c r="C14" s="674" t="s">
        <v>240</v>
      </c>
      <c r="D14" s="674"/>
      <c r="E14" s="558">
        <f>'August''17 AR Aging '!G23</f>
        <v>18998.210000000003</v>
      </c>
      <c r="F14" s="512"/>
      <c r="G14" s="512"/>
      <c r="H14" s="520"/>
    </row>
    <row r="15" spans="1:8" ht="15.75" customHeight="1" x14ac:dyDescent="0.25">
      <c r="A15" s="520"/>
      <c r="C15" s="674" t="s">
        <v>241</v>
      </c>
      <c r="D15" s="674"/>
      <c r="E15" s="558">
        <f>'August''17 AR Aging '!G41</f>
        <v>16265.8</v>
      </c>
      <c r="F15" s="512"/>
      <c r="G15" s="512"/>
      <c r="H15" s="520"/>
    </row>
    <row r="16" spans="1:8" ht="15.75" customHeight="1" x14ac:dyDescent="0.25">
      <c r="A16" s="520"/>
      <c r="C16" s="674" t="s">
        <v>242</v>
      </c>
      <c r="D16" s="674"/>
      <c r="E16" s="558">
        <f>'August''17 AR Aging '!G49+'August''17 AR Aging '!G54+'August''17 AR Aging '!G56+'August''17 AR Aging '!G39+'August''17 AR Aging '!G60</f>
        <v>29519.599999999999</v>
      </c>
      <c r="F16" s="512"/>
      <c r="G16" s="512"/>
      <c r="H16" s="520"/>
    </row>
    <row r="17" spans="1:12" ht="15.75" customHeight="1" x14ac:dyDescent="0.25">
      <c r="A17" s="520"/>
      <c r="C17" s="674" t="s">
        <v>211</v>
      </c>
      <c r="D17" s="674"/>
      <c r="E17" s="558">
        <f>'August''17 AR Aging '!G58</f>
        <v>1660.49</v>
      </c>
      <c r="F17" s="512"/>
      <c r="G17" s="512"/>
      <c r="H17" s="520"/>
    </row>
    <row r="18" spans="1:12" ht="16.5" thickBot="1" x14ac:dyDescent="0.3">
      <c r="A18" s="520"/>
      <c r="B18" s="674" t="s">
        <v>243</v>
      </c>
      <c r="C18" s="674"/>
      <c r="D18" s="517"/>
      <c r="E18" s="518">
        <f>SUM(E11:E17)</f>
        <v>200883.70999999996</v>
      </c>
      <c r="F18" s="517"/>
      <c r="G18" s="517"/>
      <c r="H18" s="520"/>
    </row>
    <row r="19" spans="1:12" ht="38.25" customHeight="1" thickTop="1" x14ac:dyDescent="0.2">
      <c r="A19" s="653"/>
      <c r="B19" s="653"/>
      <c r="C19" s="653"/>
      <c r="D19" s="653"/>
      <c r="E19" s="653"/>
      <c r="F19" s="653"/>
      <c r="G19" s="653"/>
      <c r="H19" s="653"/>
    </row>
    <row r="20" spans="1:12" ht="88.5" customHeight="1" x14ac:dyDescent="0.2">
      <c r="A20" s="653"/>
      <c r="B20" s="653"/>
      <c r="C20" s="653"/>
      <c r="D20" s="653"/>
      <c r="E20" s="653"/>
      <c r="F20" s="653"/>
      <c r="G20" s="653"/>
      <c r="H20" s="653"/>
    </row>
    <row r="21" spans="1:12" ht="88.5" customHeight="1" x14ac:dyDescent="0.2">
      <c r="A21" s="653"/>
      <c r="B21" s="653"/>
      <c r="C21" s="653"/>
      <c r="D21" s="653"/>
      <c r="E21" s="653"/>
      <c r="F21" s="653"/>
      <c r="G21" s="653"/>
      <c r="H21" s="653"/>
    </row>
    <row r="22" spans="1:12" ht="88.5" customHeight="1" x14ac:dyDescent="0.2">
      <c r="A22" s="653"/>
      <c r="B22" s="653"/>
      <c r="C22" s="653"/>
      <c r="D22" s="653"/>
      <c r="E22" s="653"/>
      <c r="F22" s="653"/>
      <c r="G22" s="653"/>
      <c r="H22" s="653"/>
    </row>
    <row r="23" spans="1:12" ht="35.25" customHeight="1" x14ac:dyDescent="0.2">
      <c r="A23" s="670" t="s">
        <v>456</v>
      </c>
      <c r="B23" s="670"/>
      <c r="C23" s="670"/>
      <c r="D23" s="670"/>
      <c r="E23" s="670"/>
      <c r="F23" s="670"/>
      <c r="G23" s="670"/>
      <c r="H23" s="670"/>
    </row>
    <row r="24" spans="1:12" ht="15" customHeight="1" x14ac:dyDescent="0.2">
      <c r="A24" s="653"/>
      <c r="B24" s="653"/>
      <c r="C24" s="653"/>
      <c r="D24" s="653"/>
      <c r="E24" s="653"/>
      <c r="F24" s="653"/>
      <c r="G24" s="653"/>
      <c r="H24" s="653"/>
    </row>
    <row r="25" spans="1:12" ht="38.25" customHeight="1" x14ac:dyDescent="0.2">
      <c r="A25" s="670" t="s">
        <v>457</v>
      </c>
      <c r="B25" s="670"/>
      <c r="C25" s="670"/>
      <c r="D25" s="670"/>
      <c r="E25" s="670"/>
      <c r="F25" s="670"/>
      <c r="G25" s="670"/>
      <c r="H25" s="670"/>
    </row>
    <row r="26" spans="1:12" ht="17.25" customHeight="1" x14ac:dyDescent="0.2">
      <c r="A26" s="556"/>
      <c r="B26"/>
      <c r="C26" s="569" t="s">
        <v>311</v>
      </c>
      <c r="D26" s="570" t="s">
        <v>300</v>
      </c>
      <c r="E26" s="570" t="s">
        <v>301</v>
      </c>
      <c r="F26" s="570" t="s">
        <v>302</v>
      </c>
      <c r="G26" s="570" t="s">
        <v>303</v>
      </c>
      <c r="H26" s="592"/>
    </row>
    <row r="27" spans="1:12" ht="15" x14ac:dyDescent="0.2">
      <c r="A27" s="556"/>
      <c r="B27" s="43" t="s">
        <v>304</v>
      </c>
      <c r="C27" s="622">
        <v>-0.03</v>
      </c>
      <c r="D27" s="622">
        <f>-SUM(D29:D34)</f>
        <v>-2106.6400000000003</v>
      </c>
      <c r="E27" s="622">
        <f>SUM(E29:E34)</f>
        <v>2106.6400000000003</v>
      </c>
      <c r="F27" s="622"/>
      <c r="G27" s="622">
        <f>C27+D27+E27</f>
        <v>-3.0000000000200089E-2</v>
      </c>
      <c r="H27" s="593"/>
      <c r="J27" s="576"/>
    </row>
    <row r="28" spans="1:12" ht="15" x14ac:dyDescent="0.2">
      <c r="A28" s="556"/>
      <c r="B28" s="43"/>
      <c r="C28" s="622"/>
      <c r="D28" s="622"/>
      <c r="E28" s="622"/>
      <c r="F28" s="622"/>
      <c r="G28" s="622"/>
      <c r="H28" s="593"/>
    </row>
    <row r="29" spans="1:12" ht="15" x14ac:dyDescent="0.2">
      <c r="A29" s="556"/>
      <c r="B29" s="43" t="s">
        <v>305</v>
      </c>
      <c r="C29" s="622">
        <v>26400.080000000002</v>
      </c>
      <c r="D29" s="622">
        <v>827.01</v>
      </c>
      <c r="E29" s="622">
        <f>D29</f>
        <v>827.01</v>
      </c>
      <c r="F29" s="622">
        <v>577.89</v>
      </c>
      <c r="G29" s="622">
        <f>C29+D29+F29</f>
        <v>27804.98</v>
      </c>
      <c r="H29" s="599"/>
      <c r="I29" s="576"/>
      <c r="L29" s="590"/>
    </row>
    <row r="30" spans="1:12" ht="15" x14ac:dyDescent="0.2">
      <c r="A30" s="556"/>
      <c r="B30" s="43" t="s">
        <v>306</v>
      </c>
      <c r="C30" s="622">
        <v>24919.01</v>
      </c>
      <c r="D30" s="622">
        <v>374.92</v>
      </c>
      <c r="E30" s="622">
        <f>D30</f>
        <v>374.92</v>
      </c>
      <c r="F30" s="622">
        <v>-250.57</v>
      </c>
      <c r="G30" s="622">
        <f t="shared" ref="G30:G34" si="0">C30+D30+F30</f>
        <v>25043.359999999997</v>
      </c>
      <c r="H30" s="599"/>
      <c r="I30" s="576"/>
      <c r="L30" s="590"/>
    </row>
    <row r="31" spans="1:12" ht="15" x14ac:dyDescent="0.2">
      <c r="A31" s="556"/>
      <c r="B31" s="43" t="s">
        <v>307</v>
      </c>
      <c r="C31" s="622">
        <v>25840.51</v>
      </c>
      <c r="D31" s="622">
        <f t="shared" ref="D31" si="1">E31</f>
        <v>0</v>
      </c>
      <c r="E31" s="622">
        <v>0</v>
      </c>
      <c r="F31" s="622">
        <v>4446.1099999999997</v>
      </c>
      <c r="G31" s="622">
        <f t="shared" si="0"/>
        <v>30286.62</v>
      </c>
      <c r="H31" s="599"/>
      <c r="I31" s="576"/>
      <c r="L31" s="590"/>
    </row>
    <row r="32" spans="1:12" ht="15" x14ac:dyDescent="0.2">
      <c r="A32" s="556"/>
      <c r="B32" s="43" t="s">
        <v>308</v>
      </c>
      <c r="C32" s="622">
        <v>25201.86</v>
      </c>
      <c r="D32" s="622">
        <v>242.95</v>
      </c>
      <c r="E32" s="622">
        <f>D32</f>
        <v>242.95</v>
      </c>
      <c r="F32" s="622">
        <v>-393.22</v>
      </c>
      <c r="G32" s="622">
        <f t="shared" si="0"/>
        <v>25051.59</v>
      </c>
      <c r="H32" s="599"/>
      <c r="I32" s="576"/>
      <c r="L32" s="590"/>
    </row>
    <row r="33" spans="1:12" ht="15" x14ac:dyDescent="0.2">
      <c r="A33" s="556"/>
      <c r="B33" s="43" t="s">
        <v>309</v>
      </c>
      <c r="C33" s="622">
        <v>25507.19</v>
      </c>
      <c r="D33" s="622">
        <v>225.23</v>
      </c>
      <c r="E33" s="622">
        <f>D33</f>
        <v>225.23</v>
      </c>
      <c r="F33" s="622">
        <v>766.41</v>
      </c>
      <c r="G33" s="622">
        <f t="shared" si="0"/>
        <v>26498.829999999998</v>
      </c>
      <c r="H33" s="599"/>
      <c r="I33" s="576"/>
      <c r="L33" s="590"/>
    </row>
    <row r="34" spans="1:12" ht="15" x14ac:dyDescent="0.2">
      <c r="A34" s="556"/>
      <c r="B34" s="43" t="s">
        <v>310</v>
      </c>
      <c r="C34" s="622">
        <v>26664.45</v>
      </c>
      <c r="D34" s="622">
        <v>436.53</v>
      </c>
      <c r="E34" s="622">
        <f>D34</f>
        <v>436.53</v>
      </c>
      <c r="F34" s="622">
        <v>226.62</v>
      </c>
      <c r="G34" s="622">
        <f t="shared" si="0"/>
        <v>27327.599999999999</v>
      </c>
      <c r="H34" s="599"/>
      <c r="I34" s="576"/>
      <c r="L34" s="590"/>
    </row>
    <row r="35" spans="1:12" ht="15" x14ac:dyDescent="0.2">
      <c r="A35" s="556"/>
      <c r="B35" s="43"/>
      <c r="C35" s="622"/>
      <c r="D35" s="622"/>
      <c r="E35" s="622"/>
      <c r="F35" s="622"/>
      <c r="G35" s="622"/>
      <c r="H35" s="592"/>
    </row>
    <row r="36" spans="1:12" ht="15.75" thickBot="1" x14ac:dyDescent="0.25">
      <c r="A36" s="573"/>
      <c r="B36" s="18"/>
      <c r="C36" s="624">
        <f>SUM(C29:C35)</f>
        <v>154533.1</v>
      </c>
      <c r="D36" s="623"/>
      <c r="E36" s="623" t="s">
        <v>328</v>
      </c>
      <c r="F36" s="624">
        <f>SUM(F29:F35)</f>
        <v>5373.2399999999989</v>
      </c>
      <c r="G36" s="624">
        <f>SUM(G27:G35)+0.5</f>
        <v>162013.44999999998</v>
      </c>
      <c r="H36" s="594">
        <f>(G36-154533.13)/154533.13</f>
        <v>4.8405930818847566E-2</v>
      </c>
    </row>
    <row r="37" spans="1:12" ht="15.75" thickTop="1" x14ac:dyDescent="0.2">
      <c r="A37" s="556"/>
      <c r="B37" s="556"/>
      <c r="C37" s="556"/>
      <c r="D37" s="556"/>
      <c r="E37" s="556"/>
      <c r="F37" s="556"/>
      <c r="G37" s="556"/>
      <c r="H37" s="556"/>
    </row>
    <row r="38" spans="1:12" ht="47.25" customHeight="1" x14ac:dyDescent="0.2">
      <c r="A38" s="556"/>
      <c r="B38" s="671" t="s">
        <v>317</v>
      </c>
      <c r="C38" s="672"/>
      <c r="D38" s="672"/>
      <c r="E38" s="672"/>
      <c r="F38" s="672"/>
      <c r="G38" s="672"/>
      <c r="H38" s="591"/>
    </row>
    <row r="39" spans="1:12" ht="47.25" customHeight="1" x14ac:dyDescent="0.2">
      <c r="A39" s="556"/>
      <c r="B39" s="671" t="s">
        <v>318</v>
      </c>
      <c r="C39" s="672"/>
      <c r="D39" s="672"/>
      <c r="E39" s="672"/>
      <c r="F39" s="672"/>
      <c r="G39" s="672"/>
      <c r="H39" s="591"/>
    </row>
    <row r="40" spans="1:12" ht="47.25" customHeight="1" x14ac:dyDescent="0.2">
      <c r="A40" s="556"/>
      <c r="B40" s="671" t="s">
        <v>319</v>
      </c>
      <c r="C40" s="672"/>
      <c r="D40" s="672"/>
      <c r="E40" s="672"/>
      <c r="F40" s="672"/>
      <c r="G40" s="672"/>
      <c r="H40" s="591"/>
    </row>
    <row r="41" spans="1:12" ht="47.25" customHeight="1" x14ac:dyDescent="0.2">
      <c r="A41" s="556"/>
      <c r="B41" s="676" t="s">
        <v>320</v>
      </c>
      <c r="C41" s="677"/>
      <c r="D41" s="677"/>
      <c r="E41" s="677"/>
      <c r="F41" s="677"/>
      <c r="G41" s="677"/>
      <c r="H41" s="591"/>
    </row>
    <row r="42" spans="1:12" ht="47.25" customHeight="1" x14ac:dyDescent="0.2">
      <c r="A42" s="556"/>
      <c r="B42" s="671" t="s">
        <v>323</v>
      </c>
      <c r="C42" s="672"/>
      <c r="D42" s="672"/>
      <c r="E42" s="672"/>
      <c r="F42" s="672"/>
      <c r="G42" s="672"/>
      <c r="H42" s="591"/>
    </row>
    <row r="43" spans="1:12" ht="47.25" customHeight="1" x14ac:dyDescent="0.2">
      <c r="A43" s="556"/>
      <c r="B43" s="671" t="s">
        <v>321</v>
      </c>
      <c r="C43" s="672"/>
      <c r="D43" s="672"/>
      <c r="E43" s="672"/>
      <c r="F43" s="672"/>
      <c r="G43" s="672"/>
      <c r="H43" s="591"/>
    </row>
    <row r="44" spans="1:12" ht="7.5" customHeight="1" x14ac:dyDescent="0.2">
      <c r="A44" s="556"/>
      <c r="B44" s="556"/>
      <c r="C44" s="556"/>
      <c r="D44" s="556"/>
      <c r="E44" s="556"/>
      <c r="F44" s="556"/>
      <c r="G44" s="556"/>
      <c r="H44" s="556"/>
    </row>
    <row r="45" spans="1:12" ht="25.5" customHeight="1" x14ac:dyDescent="0.25">
      <c r="A45" s="675" t="s">
        <v>387</v>
      </c>
      <c r="B45" s="675"/>
      <c r="C45" s="675"/>
      <c r="D45" s="675"/>
      <c r="E45" s="675"/>
      <c r="F45" s="675"/>
      <c r="G45" s="675"/>
      <c r="H45" s="675"/>
    </row>
    <row r="46" spans="1:12" ht="15" x14ac:dyDescent="0.25">
      <c r="A46" s="556"/>
      <c r="B46" s="559" t="s">
        <v>312</v>
      </c>
      <c r="C46" s="560" t="s">
        <v>313</v>
      </c>
      <c r="D46" s="559" t="s">
        <v>314</v>
      </c>
      <c r="E46" s="673" t="s">
        <v>28</v>
      </c>
      <c r="F46" s="673"/>
      <c r="G46" s="559" t="s">
        <v>315</v>
      </c>
      <c r="H46" s="556"/>
    </row>
    <row r="47" spans="1:12" ht="15" x14ac:dyDescent="0.2">
      <c r="A47" s="556"/>
      <c r="B47" s="561">
        <v>42856</v>
      </c>
      <c r="C47" s="568" t="s">
        <v>374</v>
      </c>
      <c r="D47" s="648" t="s">
        <v>377</v>
      </c>
      <c r="E47" s="665" t="s">
        <v>376</v>
      </c>
      <c r="F47" s="665"/>
      <c r="G47" s="563">
        <v>5995</v>
      </c>
      <c r="H47" s="556"/>
    </row>
    <row r="48" spans="1:12" ht="15" x14ac:dyDescent="0.2">
      <c r="A48" s="556"/>
      <c r="B48" s="561">
        <v>42856</v>
      </c>
      <c r="C48" s="568" t="s">
        <v>374</v>
      </c>
      <c r="D48" s="562" t="s">
        <v>379</v>
      </c>
      <c r="E48" s="665" t="s">
        <v>378</v>
      </c>
      <c r="F48" s="665"/>
      <c r="G48" s="564">
        <v>21427.4</v>
      </c>
      <c r="H48" s="556"/>
    </row>
    <row r="49" spans="1:8" ht="15" x14ac:dyDescent="0.2">
      <c r="A49" s="571"/>
      <c r="B49" s="561">
        <v>42856</v>
      </c>
      <c r="C49" s="568" t="s">
        <v>374</v>
      </c>
      <c r="D49" s="562" t="s">
        <v>380</v>
      </c>
      <c r="E49" s="665" t="s">
        <v>375</v>
      </c>
      <c r="F49" s="665"/>
      <c r="G49" s="564">
        <v>21625</v>
      </c>
      <c r="H49" s="571"/>
    </row>
    <row r="50" spans="1:8" ht="15" x14ac:dyDescent="0.2">
      <c r="A50" s="635"/>
      <c r="B50" s="639"/>
      <c r="C50" s="640"/>
      <c r="D50" s="641"/>
      <c r="E50" s="642"/>
      <c r="F50" s="566" t="s">
        <v>316</v>
      </c>
      <c r="G50" s="649">
        <f>SUM(G47:G49)</f>
        <v>49047.4</v>
      </c>
      <c r="H50" s="635"/>
    </row>
    <row r="51" spans="1:8" ht="15" x14ac:dyDescent="0.2">
      <c r="A51" s="635"/>
      <c r="B51" s="639"/>
      <c r="C51" s="640"/>
      <c r="D51" s="641"/>
      <c r="E51" s="642"/>
      <c r="F51" s="566"/>
      <c r="G51" s="647"/>
      <c r="H51" s="635"/>
    </row>
    <row r="52" spans="1:8" ht="15" x14ac:dyDescent="0.2">
      <c r="A52" s="635"/>
      <c r="B52" s="643" t="s">
        <v>389</v>
      </c>
      <c r="C52" s="644" t="s">
        <v>396</v>
      </c>
      <c r="D52" s="645" t="s">
        <v>392</v>
      </c>
      <c r="E52" s="666" t="s">
        <v>28</v>
      </c>
      <c r="F52" s="667"/>
      <c r="G52" s="646" t="s">
        <v>390</v>
      </c>
      <c r="H52" s="635"/>
    </row>
    <row r="53" spans="1:8" ht="15" x14ac:dyDescent="0.2">
      <c r="A53" s="635"/>
      <c r="B53" s="561">
        <v>42917</v>
      </c>
      <c r="C53" s="650" t="s">
        <v>395</v>
      </c>
      <c r="D53" s="562" t="s">
        <v>394</v>
      </c>
      <c r="E53" s="665" t="s">
        <v>388</v>
      </c>
      <c r="F53" s="665"/>
      <c r="G53" s="564">
        <v>1825</v>
      </c>
      <c r="H53" s="635"/>
    </row>
    <row r="54" spans="1:8" ht="15" x14ac:dyDescent="0.2">
      <c r="A54" s="635"/>
      <c r="B54" s="561">
        <v>42948</v>
      </c>
      <c r="C54" s="650" t="s">
        <v>395</v>
      </c>
      <c r="D54" s="562" t="s">
        <v>393</v>
      </c>
      <c r="E54" s="665" t="s">
        <v>391</v>
      </c>
      <c r="F54" s="665"/>
      <c r="G54" s="564">
        <v>3350</v>
      </c>
      <c r="H54" s="635"/>
    </row>
    <row r="55" spans="1:8" ht="15" x14ac:dyDescent="0.2">
      <c r="A55" s="556"/>
      <c r="B55" s="565"/>
      <c r="C55" s="565"/>
      <c r="D55" s="565"/>
      <c r="E55" s="565"/>
      <c r="F55" s="566" t="s">
        <v>316</v>
      </c>
      <c r="G55" s="567">
        <f>G53+G54</f>
        <v>5175</v>
      </c>
      <c r="H55" s="556"/>
    </row>
    <row r="56" spans="1:8" ht="11.25" customHeight="1" x14ac:dyDescent="0.2">
      <c r="A56" s="556"/>
      <c r="B56" s="556"/>
      <c r="C56" s="556"/>
      <c r="D56" s="556"/>
      <c r="E56" s="556"/>
      <c r="F56" s="556"/>
      <c r="G56" s="556"/>
      <c r="H56" s="556"/>
    </row>
    <row r="57" spans="1:8" ht="37.5" customHeight="1" x14ac:dyDescent="0.2">
      <c r="A57" s="670" t="s">
        <v>436</v>
      </c>
      <c r="B57" s="670"/>
      <c r="C57" s="670"/>
      <c r="D57" s="670"/>
      <c r="E57" s="670"/>
      <c r="F57" s="670"/>
      <c r="G57" s="670"/>
      <c r="H57" s="670"/>
    </row>
    <row r="58" spans="1:8" ht="15.75" customHeight="1" x14ac:dyDescent="0.2">
      <c r="A58" s="513"/>
      <c r="C58" s="668" t="s">
        <v>398</v>
      </c>
      <c r="D58" s="668"/>
      <c r="E58" s="651">
        <v>10000</v>
      </c>
      <c r="F58" s="669" t="s">
        <v>439</v>
      </c>
      <c r="G58" s="669"/>
      <c r="H58" s="513"/>
    </row>
    <row r="59" spans="1:8" ht="15.75" customHeight="1" x14ac:dyDescent="0.2">
      <c r="A59" s="513"/>
      <c r="C59" s="668" t="s">
        <v>437</v>
      </c>
      <c r="D59" s="668"/>
      <c r="E59" s="575">
        <v>7975</v>
      </c>
      <c r="F59" s="669" t="s">
        <v>438</v>
      </c>
      <c r="G59" s="669"/>
      <c r="H59" s="513"/>
    </row>
    <row r="60" spans="1:8" ht="15.75" customHeight="1" x14ac:dyDescent="0.2">
      <c r="A60" s="513"/>
      <c r="C60" s="668" t="s">
        <v>377</v>
      </c>
      <c r="D60" s="668"/>
      <c r="E60" s="575">
        <f>763.82+116+1809.03</f>
        <v>2688.85</v>
      </c>
      <c r="F60" s="669" t="s">
        <v>397</v>
      </c>
      <c r="G60" s="669"/>
      <c r="H60" s="513"/>
    </row>
    <row r="61" spans="1:8" ht="15.75" customHeight="1" x14ac:dyDescent="0.2">
      <c r="A61" s="513"/>
      <c r="C61" s="668" t="s">
        <v>440</v>
      </c>
      <c r="D61" s="668"/>
      <c r="E61" s="575">
        <v>1151</v>
      </c>
      <c r="F61" s="669" t="s">
        <v>441</v>
      </c>
      <c r="G61" s="669"/>
      <c r="H61" s="513"/>
    </row>
    <row r="62" spans="1:8" ht="15.75" hidden="1" customHeight="1" x14ac:dyDescent="0.2">
      <c r="A62" s="513"/>
      <c r="C62" s="668"/>
      <c r="D62" s="668"/>
      <c r="E62" s="575"/>
      <c r="F62" s="669"/>
      <c r="G62" s="669"/>
      <c r="H62" s="513"/>
    </row>
    <row r="63" spans="1:8" ht="15.75" hidden="1" customHeight="1" x14ac:dyDescent="0.2">
      <c r="A63" s="513"/>
      <c r="C63" s="668"/>
      <c r="D63" s="668"/>
      <c r="E63" s="575"/>
      <c r="F63" s="669"/>
      <c r="G63" s="669"/>
      <c r="H63" s="513"/>
    </row>
    <row r="64" spans="1:8" ht="15.75" customHeight="1" x14ac:dyDescent="0.2">
      <c r="A64" s="513"/>
      <c r="C64" s="668" t="s">
        <v>291</v>
      </c>
      <c r="D64" s="668"/>
      <c r="E64" s="575">
        <f>2858.31+1071.72+135.51</f>
        <v>4065.54</v>
      </c>
      <c r="F64" s="669" t="s">
        <v>399</v>
      </c>
      <c r="G64" s="669"/>
      <c r="H64" s="513"/>
    </row>
    <row r="65" spans="1:23" ht="16.5" thickBot="1" x14ac:dyDescent="0.25">
      <c r="A65" s="513"/>
      <c r="B65" s="522"/>
      <c r="C65" s="681" t="s">
        <v>254</v>
      </c>
      <c r="D65" s="681"/>
      <c r="E65" s="519">
        <f>SUM(E58:E64)</f>
        <v>25880.39</v>
      </c>
      <c r="F65" s="522"/>
      <c r="G65" s="522"/>
      <c r="H65" s="513"/>
    </row>
    <row r="66" spans="1:23" ht="16.5" thickTop="1" x14ac:dyDescent="0.2">
      <c r="A66" s="513"/>
      <c r="B66" s="636"/>
      <c r="C66" s="637"/>
      <c r="D66" s="637"/>
      <c r="E66" s="652"/>
      <c r="F66" s="636"/>
      <c r="G66" s="636"/>
      <c r="H66" s="513"/>
    </row>
    <row r="67" spans="1:23" ht="33" customHeight="1" x14ac:dyDescent="0.25">
      <c r="A67" s="675" t="s">
        <v>400</v>
      </c>
      <c r="B67" s="675"/>
      <c r="C67" s="675"/>
      <c r="D67" s="675"/>
      <c r="E67" s="675"/>
      <c r="F67" s="675"/>
      <c r="G67" s="675"/>
      <c r="H67" s="675"/>
    </row>
    <row r="68" spans="1:23" ht="15.75" x14ac:dyDescent="0.2">
      <c r="A68" s="513"/>
      <c r="B68" s="636"/>
      <c r="C68" s="637"/>
      <c r="D68" s="637"/>
      <c r="E68" s="652"/>
      <c r="F68" s="636"/>
      <c r="G68" s="636"/>
      <c r="H68" s="513"/>
    </row>
    <row r="69" spans="1:23" ht="97.5" customHeight="1" x14ac:dyDescent="0.2">
      <c r="A69" s="670" t="s">
        <v>443</v>
      </c>
      <c r="B69" s="670"/>
      <c r="C69" s="670"/>
      <c r="D69" s="670"/>
      <c r="E69" s="670"/>
      <c r="F69" s="670"/>
      <c r="G69" s="670"/>
      <c r="H69" s="670"/>
      <c r="V69" s="555">
        <v>42278</v>
      </c>
      <c r="W69" s="554">
        <v>224005.57</v>
      </c>
    </row>
    <row r="70" spans="1:23" ht="47.25" x14ac:dyDescent="0.2">
      <c r="A70" s="521"/>
      <c r="B70" s="683" t="s">
        <v>244</v>
      </c>
      <c r="C70" s="683"/>
      <c r="D70" s="524" t="s">
        <v>245</v>
      </c>
      <c r="E70" s="514" t="s">
        <v>246</v>
      </c>
      <c r="F70" s="524" t="s">
        <v>247</v>
      </c>
      <c r="G70" s="524" t="s">
        <v>442</v>
      </c>
      <c r="H70" s="521"/>
      <c r="V70" s="555">
        <v>42309</v>
      </c>
      <c r="W70" s="554">
        <v>212998.66</v>
      </c>
    </row>
    <row r="71" spans="1:23" ht="15.75" customHeight="1" x14ac:dyDescent="0.2">
      <c r="A71" s="521"/>
      <c r="B71" s="679" t="s">
        <v>15</v>
      </c>
      <c r="C71" s="679"/>
      <c r="D71" s="679"/>
      <c r="E71" s="523"/>
      <c r="F71" s="523"/>
      <c r="G71" s="523"/>
      <c r="H71" s="521"/>
      <c r="V71" s="555">
        <v>42339</v>
      </c>
      <c r="W71" s="554">
        <v>256955.64</v>
      </c>
    </row>
    <row r="72" spans="1:23" ht="15.75" customHeight="1" x14ac:dyDescent="0.2">
      <c r="A72" s="521"/>
      <c r="B72" s="678" t="s">
        <v>292</v>
      </c>
      <c r="C72" s="678"/>
      <c r="D72" s="523">
        <v>12113.27</v>
      </c>
      <c r="E72" s="523"/>
      <c r="F72" s="523">
        <f>-'August''17 Revenues &amp; Expenses'!H38</f>
        <v>-2299.3000000000002</v>
      </c>
      <c r="G72" s="523">
        <v>9813.9699999999993</v>
      </c>
      <c r="H72" s="521"/>
      <c r="V72" s="555">
        <v>42370</v>
      </c>
      <c r="W72" s="554">
        <v>370456.38</v>
      </c>
    </row>
    <row r="73" spans="1:23" ht="15.75" customHeight="1" x14ac:dyDescent="0.2">
      <c r="A73" s="521"/>
      <c r="B73" s="678" t="s">
        <v>293</v>
      </c>
      <c r="C73" s="678"/>
      <c r="D73" s="523">
        <v>0</v>
      </c>
      <c r="E73" s="523">
        <v>25000</v>
      </c>
      <c r="F73" s="523">
        <f>G73-E73</f>
        <v>-16218.23</v>
      </c>
      <c r="G73" s="523">
        <v>8781.77</v>
      </c>
      <c r="H73" s="521"/>
      <c r="V73" s="555">
        <v>42401</v>
      </c>
      <c r="W73" s="554">
        <v>299251.62</v>
      </c>
    </row>
    <row r="74" spans="1:23" ht="15.75" customHeight="1" x14ac:dyDescent="0.2">
      <c r="A74" s="521"/>
      <c r="B74" s="678" t="s">
        <v>294</v>
      </c>
      <c r="C74" s="678"/>
      <c r="D74" s="523">
        <v>1745.88</v>
      </c>
      <c r="E74" s="523"/>
      <c r="F74" s="523">
        <v>-1745.88</v>
      </c>
      <c r="G74" s="523">
        <f t="shared" ref="G74" si="2">D74+E74+F74</f>
        <v>0</v>
      </c>
      <c r="H74" s="521"/>
      <c r="V74" s="555">
        <v>42430</v>
      </c>
      <c r="W74" s="554">
        <v>253801.15</v>
      </c>
    </row>
    <row r="75" spans="1:23" ht="15.75" customHeight="1" x14ac:dyDescent="0.2">
      <c r="A75" s="521"/>
      <c r="B75" s="679" t="s">
        <v>21</v>
      </c>
      <c r="C75" s="679"/>
      <c r="D75" s="523"/>
      <c r="E75" s="523"/>
      <c r="F75" s="523"/>
      <c r="G75" s="523"/>
      <c r="H75" s="521"/>
      <c r="V75" s="555"/>
    </row>
    <row r="76" spans="1:23" ht="15.75" customHeight="1" x14ac:dyDescent="0.2">
      <c r="A76" s="521"/>
      <c r="B76" s="678" t="s">
        <v>292</v>
      </c>
      <c r="C76" s="678"/>
      <c r="D76" s="523">
        <v>0</v>
      </c>
      <c r="E76" s="523">
        <v>22000</v>
      </c>
      <c r="F76" s="523">
        <f>-E76+G76</f>
        <v>-11953.02</v>
      </c>
      <c r="G76" s="523">
        <v>10046.98</v>
      </c>
      <c r="H76" s="521"/>
      <c r="V76" s="555"/>
    </row>
    <row r="77" spans="1:23" ht="15.75" customHeight="1" x14ac:dyDescent="0.2">
      <c r="A77" s="521"/>
      <c r="B77" s="679" t="s">
        <v>295</v>
      </c>
      <c r="C77" s="679"/>
      <c r="D77" s="523"/>
      <c r="E77" s="523"/>
      <c r="F77" s="523"/>
      <c r="G77" s="523"/>
      <c r="H77" s="521"/>
      <c r="V77" s="555"/>
    </row>
    <row r="78" spans="1:23" ht="15.75" customHeight="1" x14ac:dyDescent="0.2">
      <c r="A78" s="521"/>
      <c r="B78" s="678" t="s">
        <v>240</v>
      </c>
      <c r="C78" s="678"/>
      <c r="D78" s="523">
        <v>7610.32</v>
      </c>
      <c r="E78" s="523">
        <v>22450.84</v>
      </c>
      <c r="F78" s="572">
        <f>-D78+G78-E78</f>
        <v>-17477.32</v>
      </c>
      <c r="G78" s="523">
        <v>12583.84</v>
      </c>
      <c r="H78" s="521"/>
      <c r="V78" s="555"/>
    </row>
    <row r="79" spans="1:23" ht="15.75" customHeight="1" x14ac:dyDescent="0.2">
      <c r="A79" s="521"/>
      <c r="B79" s="678" t="s">
        <v>296</v>
      </c>
      <c r="C79" s="678"/>
      <c r="D79" s="523">
        <v>43703.99</v>
      </c>
      <c r="E79" s="523">
        <v>79750</v>
      </c>
      <c r="F79" s="523">
        <f>-D79+G79-E79</f>
        <v>-56606.590000000004</v>
      </c>
      <c r="G79" s="523">
        <f>'August''17 Revenues &amp; Expenses'!K11</f>
        <v>66847.399999999994</v>
      </c>
      <c r="H79" s="521"/>
      <c r="V79" s="555"/>
    </row>
    <row r="80" spans="1:23" ht="15.75" customHeight="1" x14ac:dyDescent="0.2">
      <c r="A80" s="521"/>
      <c r="B80" s="668" t="str">
        <f>'August''17 Revenues &amp; Expenses'!A23</f>
        <v>Health &amp; Recovery Plan (HCBS - HARP)</v>
      </c>
      <c r="C80" s="668"/>
      <c r="D80" s="523">
        <v>49850</v>
      </c>
      <c r="E80" s="523">
        <f>'August''17 Revenues &amp; Expenses'!K23</f>
        <v>0</v>
      </c>
      <c r="F80" s="523">
        <v>-49850</v>
      </c>
      <c r="G80" s="523">
        <f>E80</f>
        <v>0</v>
      </c>
      <c r="H80" s="521"/>
      <c r="V80" s="555"/>
    </row>
    <row r="81" spans="1:22" ht="15.75" customHeight="1" thickBot="1" x14ac:dyDescent="0.25">
      <c r="A81" s="521"/>
      <c r="B81" s="682" t="s">
        <v>297</v>
      </c>
      <c r="C81" s="682"/>
      <c r="D81" s="515">
        <f>SUM(D71:D80)</f>
        <v>115023.45999999999</v>
      </c>
      <c r="E81" s="515">
        <f>SUM(E71:E80)</f>
        <v>149200.84</v>
      </c>
      <c r="F81" s="515">
        <f t="shared" ref="F81:G81" si="3">SUM(F71:F80)</f>
        <v>-156150.34</v>
      </c>
      <c r="G81" s="515">
        <f t="shared" si="3"/>
        <v>108073.95999999999</v>
      </c>
      <c r="H81" s="521"/>
      <c r="V81" s="555"/>
    </row>
    <row r="82" spans="1:22" ht="11.25" customHeight="1" thickTop="1" x14ac:dyDescent="0.2">
      <c r="A82" s="521"/>
      <c r="B82" s="552"/>
      <c r="C82" s="552"/>
      <c r="D82" s="553"/>
      <c r="E82" s="553"/>
      <c r="F82" s="553"/>
      <c r="G82" s="553"/>
      <c r="H82" s="521"/>
      <c r="V82" s="555"/>
    </row>
    <row r="83" spans="1:22" ht="67.5" customHeight="1" x14ac:dyDescent="0.2">
      <c r="A83" s="670" t="s">
        <v>444</v>
      </c>
      <c r="B83" s="670"/>
      <c r="C83" s="670"/>
      <c r="D83" s="670"/>
      <c r="E83" s="670"/>
      <c r="F83" s="670"/>
      <c r="G83" s="670"/>
      <c r="H83" s="670"/>
    </row>
    <row r="84" spans="1:22" ht="47.25" x14ac:dyDescent="0.2">
      <c r="A84" s="521"/>
      <c r="B84" s="683" t="s">
        <v>244</v>
      </c>
      <c r="C84" s="683"/>
      <c r="D84" s="524" t="s">
        <v>245</v>
      </c>
      <c r="E84" s="514" t="s">
        <v>246</v>
      </c>
      <c r="F84" s="524" t="s">
        <v>247</v>
      </c>
      <c r="G84" s="654" t="s">
        <v>442</v>
      </c>
      <c r="H84" s="521"/>
    </row>
    <row r="85" spans="1:22" ht="15.75" customHeight="1" x14ac:dyDescent="0.2">
      <c r="A85" s="521"/>
      <c r="B85" s="680" t="s">
        <v>248</v>
      </c>
      <c r="C85" s="680"/>
      <c r="D85" s="523">
        <v>0</v>
      </c>
      <c r="E85" s="523">
        <v>49000</v>
      </c>
      <c r="F85" s="523">
        <f>-'August''17 Revenues &amp; Expenses'!J52</f>
        <v>-32666.666666666668</v>
      </c>
      <c r="G85" s="523">
        <f t="shared" ref="G85:G91" si="4">D85+E85+F85</f>
        <v>16333.333333333332</v>
      </c>
      <c r="H85" s="521"/>
    </row>
    <row r="86" spans="1:22" ht="15.75" customHeight="1" x14ac:dyDescent="0.2">
      <c r="A86" s="521"/>
      <c r="B86" s="680" t="s">
        <v>322</v>
      </c>
      <c r="C86" s="680"/>
      <c r="D86" s="523">
        <v>0</v>
      </c>
      <c r="E86" s="523">
        <v>19000</v>
      </c>
      <c r="F86" s="523">
        <f>-'August''17 Revenues &amp; Expenses'!J53</f>
        <v>-12666.666666666666</v>
      </c>
      <c r="G86" s="523">
        <f t="shared" si="4"/>
        <v>6333.3333333333339</v>
      </c>
      <c r="H86" s="521"/>
    </row>
    <row r="87" spans="1:22" ht="15.75" customHeight="1" x14ac:dyDescent="0.2">
      <c r="A87" s="521"/>
      <c r="B87" s="680" t="s">
        <v>249</v>
      </c>
      <c r="C87" s="680"/>
      <c r="D87" s="523">
        <v>17437.849999999999</v>
      </c>
      <c r="E87" s="523">
        <f>'August''17 Revenues &amp; Expenses'!H56</f>
        <v>5289.15</v>
      </c>
      <c r="F87" s="523">
        <f>-'August''17 Revenues &amp; Expenses'!J56</f>
        <v>-8336.16</v>
      </c>
      <c r="G87" s="523">
        <f t="shared" si="4"/>
        <v>14390.84</v>
      </c>
      <c r="H87" s="521"/>
    </row>
    <row r="88" spans="1:22" ht="15.75" customHeight="1" x14ac:dyDescent="0.2">
      <c r="A88" s="521"/>
      <c r="B88" s="680" t="s">
        <v>250</v>
      </c>
      <c r="C88" s="680"/>
      <c r="D88" s="523">
        <v>8260.73</v>
      </c>
      <c r="E88" s="523">
        <f>'August''17 Revenues &amp; Expenses'!H57</f>
        <v>3660</v>
      </c>
      <c r="F88" s="523">
        <f>-'August''17 Revenues &amp; Expenses'!J57</f>
        <v>-2707.08</v>
      </c>
      <c r="G88" s="523">
        <f t="shared" si="4"/>
        <v>9213.65</v>
      </c>
      <c r="H88" s="521"/>
    </row>
    <row r="89" spans="1:22" ht="15.75" customHeight="1" x14ac:dyDescent="0.2">
      <c r="A89" s="521"/>
      <c r="B89" s="680" t="s">
        <v>251</v>
      </c>
      <c r="C89" s="680"/>
      <c r="D89" s="523">
        <v>5854.58</v>
      </c>
      <c r="E89" s="523"/>
      <c r="F89" s="523">
        <f>-'August''17 Revenues &amp; Expenses'!H42</f>
        <v>-200</v>
      </c>
      <c r="G89" s="523">
        <f t="shared" si="4"/>
        <v>5654.58</v>
      </c>
      <c r="H89" s="521"/>
    </row>
    <row r="90" spans="1:22" ht="15.75" x14ac:dyDescent="0.2">
      <c r="A90" s="521"/>
      <c r="B90" s="680" t="s">
        <v>252</v>
      </c>
      <c r="C90" s="680"/>
      <c r="D90" s="523">
        <v>1100.82</v>
      </c>
      <c r="E90" s="523"/>
      <c r="F90" s="523">
        <f>-'August''17 Revenues &amp; Expenses'!J55</f>
        <v>0</v>
      </c>
      <c r="G90" s="523">
        <f t="shared" si="4"/>
        <v>1100.82</v>
      </c>
      <c r="H90" s="521"/>
    </row>
    <row r="91" spans="1:22" ht="15.75" x14ac:dyDescent="0.2">
      <c r="A91" s="521"/>
      <c r="B91" s="680"/>
      <c r="C91" s="680"/>
      <c r="D91" s="523">
        <v>0</v>
      </c>
      <c r="E91" s="523"/>
      <c r="F91" s="523">
        <v>0</v>
      </c>
      <c r="G91" s="523">
        <f t="shared" si="4"/>
        <v>0</v>
      </c>
      <c r="H91" s="521"/>
    </row>
    <row r="92" spans="1:22" ht="15.75" customHeight="1" thickBot="1" x14ac:dyDescent="0.25">
      <c r="A92" s="521"/>
      <c r="B92" s="684" t="s">
        <v>253</v>
      </c>
      <c r="C92" s="684"/>
      <c r="D92" s="515">
        <f>SUM(D85:D91)</f>
        <v>32653.979999999996</v>
      </c>
      <c r="E92" s="515">
        <f>SUM(E85:E91)</f>
        <v>76949.149999999994</v>
      </c>
      <c r="F92" s="515">
        <f>SUM(F85:F91)</f>
        <v>-56576.573333333334</v>
      </c>
      <c r="G92" s="515">
        <f>SUM(G85:G91)</f>
        <v>53026.556666666671</v>
      </c>
      <c r="H92" s="521"/>
    </row>
    <row r="93" spans="1:22" ht="16.5" thickTop="1" x14ac:dyDescent="0.2">
      <c r="A93" s="513"/>
      <c r="B93" s="522"/>
      <c r="C93" s="522"/>
      <c r="D93" s="522"/>
      <c r="E93" s="522"/>
      <c r="F93" s="522"/>
      <c r="G93" s="522"/>
      <c r="H93" s="513"/>
    </row>
    <row r="94" spans="1:22" ht="15.75" customHeight="1" x14ac:dyDescent="0.2"/>
    <row r="95" spans="1:22" ht="6.75" customHeight="1" x14ac:dyDescent="0.2"/>
    <row r="96" spans="1:22" ht="37.5" customHeight="1" x14ac:dyDescent="0.2"/>
  </sheetData>
  <mergeCells count="71">
    <mergeCell ref="A1:H1"/>
    <mergeCell ref="A2:H2"/>
    <mergeCell ref="A3:H3"/>
    <mergeCell ref="C11:D11"/>
    <mergeCell ref="C12:D12"/>
    <mergeCell ref="B10:C10"/>
    <mergeCell ref="A4:H4"/>
    <mergeCell ref="A5:H5"/>
    <mergeCell ref="B88:C88"/>
    <mergeCell ref="B89:C89"/>
    <mergeCell ref="B91:C91"/>
    <mergeCell ref="B92:C92"/>
    <mergeCell ref="B90:C90"/>
    <mergeCell ref="A67:H67"/>
    <mergeCell ref="B85:C85"/>
    <mergeCell ref="B86:C86"/>
    <mergeCell ref="C65:D65"/>
    <mergeCell ref="B87:C87"/>
    <mergeCell ref="B79:C79"/>
    <mergeCell ref="B81:C81"/>
    <mergeCell ref="B77:C77"/>
    <mergeCell ref="B78:C78"/>
    <mergeCell ref="A69:H69"/>
    <mergeCell ref="B70:C70"/>
    <mergeCell ref="B72:C72"/>
    <mergeCell ref="B73:C73"/>
    <mergeCell ref="B84:C84"/>
    <mergeCell ref="B71:D71"/>
    <mergeCell ref="A83:H83"/>
    <mergeCell ref="B80:C80"/>
    <mergeCell ref="B74:C74"/>
    <mergeCell ref="B75:C75"/>
    <mergeCell ref="B76:C76"/>
    <mergeCell ref="B38:G38"/>
    <mergeCell ref="B39:G39"/>
    <mergeCell ref="B40:G40"/>
    <mergeCell ref="B41:G41"/>
    <mergeCell ref="C64:D64"/>
    <mergeCell ref="F64:G64"/>
    <mergeCell ref="C62:D62"/>
    <mergeCell ref="F62:G62"/>
    <mergeCell ref="C63:D63"/>
    <mergeCell ref="F63:G63"/>
    <mergeCell ref="C60:D60"/>
    <mergeCell ref="F60:G60"/>
    <mergeCell ref="C61:D61"/>
    <mergeCell ref="F61:G61"/>
    <mergeCell ref="A23:H23"/>
    <mergeCell ref="A9:H9"/>
    <mergeCell ref="E49:F49"/>
    <mergeCell ref="B42:G42"/>
    <mergeCell ref="B43:G43"/>
    <mergeCell ref="E48:F48"/>
    <mergeCell ref="E47:F47"/>
    <mergeCell ref="E46:F46"/>
    <mergeCell ref="C13:D13"/>
    <mergeCell ref="C14:D14"/>
    <mergeCell ref="C15:D15"/>
    <mergeCell ref="B18:C18"/>
    <mergeCell ref="C16:D16"/>
    <mergeCell ref="C17:D17"/>
    <mergeCell ref="A25:H25"/>
    <mergeCell ref="A45:H45"/>
    <mergeCell ref="E53:F53"/>
    <mergeCell ref="E54:F54"/>
    <mergeCell ref="E52:F52"/>
    <mergeCell ref="C59:D59"/>
    <mergeCell ref="F59:G59"/>
    <mergeCell ref="A57:H57"/>
    <mergeCell ref="C58:D58"/>
    <mergeCell ref="F58:G58"/>
  </mergeCells>
  <pageMargins left="0.75" right="0.25" top="0.75" bottom="0.75" header="0.3" footer="0.3"/>
  <pageSetup scale="77" fitToHeight="4" orientation="portrait" r:id="rId1"/>
  <headerFooter>
    <oddFooter>&amp;CPage #&amp;P of &amp;N</oddFooter>
  </headerFooter>
  <rowBreaks count="2" manualBreakCount="2">
    <brk id="23" max="7" man="1"/>
    <brk id="6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16"/>
  <sheetViews>
    <sheetView topLeftCell="A324" workbookViewId="0">
      <selection activeCell="B265" sqref="B265:B451"/>
    </sheetView>
  </sheetViews>
  <sheetFormatPr defaultRowHeight="14.25" x14ac:dyDescent="0.2"/>
  <cols>
    <col min="1" max="1" width="22.875" style="621" customWidth="1"/>
    <col min="2" max="2" width="9" style="586"/>
  </cols>
  <sheetData>
    <row r="3" spans="1:2" ht="15" thickBot="1" x14ac:dyDescent="0.25">
      <c r="A3" s="618" t="s">
        <v>346</v>
      </c>
      <c r="B3" s="582" t="s">
        <v>347</v>
      </c>
    </row>
    <row r="4" spans="1:2" ht="15" thickTop="1" x14ac:dyDescent="0.2">
      <c r="A4" s="619">
        <v>42370</v>
      </c>
      <c r="B4" s="583">
        <v>316020.78000000003</v>
      </c>
    </row>
    <row r="5" spans="1:2" x14ac:dyDescent="0.2">
      <c r="A5" s="620">
        <v>42373</v>
      </c>
      <c r="B5" s="584">
        <v>315970.78000000003</v>
      </c>
    </row>
    <row r="6" spans="1:2" x14ac:dyDescent="0.2">
      <c r="A6" s="620">
        <v>42374</v>
      </c>
      <c r="B6" s="584">
        <v>320557.63</v>
      </c>
    </row>
    <row r="7" spans="1:2" x14ac:dyDescent="0.2">
      <c r="A7" s="620">
        <v>42375</v>
      </c>
      <c r="B7" s="584">
        <f>B6</f>
        <v>320557.63</v>
      </c>
    </row>
    <row r="8" spans="1:2" x14ac:dyDescent="0.2">
      <c r="A8" s="620">
        <v>42376</v>
      </c>
      <c r="B8" s="584">
        <v>323108.86</v>
      </c>
    </row>
    <row r="9" spans="1:2" x14ac:dyDescent="0.2">
      <c r="A9" s="620">
        <v>42377</v>
      </c>
      <c r="B9" s="584">
        <f>B8</f>
        <v>323108.86</v>
      </c>
    </row>
    <row r="10" spans="1:2" x14ac:dyDescent="0.2">
      <c r="A10" s="620">
        <v>42380</v>
      </c>
      <c r="B10" s="584">
        <v>323239.86</v>
      </c>
    </row>
    <row r="11" spans="1:2" x14ac:dyDescent="0.2">
      <c r="A11" s="620">
        <v>42381</v>
      </c>
      <c r="B11" s="584">
        <v>288792.71999999997</v>
      </c>
    </row>
    <row r="12" spans="1:2" x14ac:dyDescent="0.2">
      <c r="A12" s="620">
        <v>42382</v>
      </c>
      <c r="B12" s="584">
        <f>B11</f>
        <v>288792.71999999997</v>
      </c>
    </row>
    <row r="13" spans="1:2" x14ac:dyDescent="0.2">
      <c r="A13" s="620">
        <v>42383</v>
      </c>
      <c r="B13" s="584">
        <v>277881.3</v>
      </c>
    </row>
    <row r="14" spans="1:2" x14ac:dyDescent="0.2">
      <c r="A14" s="620">
        <v>42384</v>
      </c>
      <c r="B14" s="584">
        <v>293922.15000000002</v>
      </c>
    </row>
    <row r="15" spans="1:2" x14ac:dyDescent="0.2">
      <c r="A15" s="620">
        <v>42387</v>
      </c>
      <c r="B15" s="584">
        <f>B14</f>
        <v>293922.15000000002</v>
      </c>
    </row>
    <row r="16" spans="1:2" x14ac:dyDescent="0.2">
      <c r="A16" s="620">
        <v>42388</v>
      </c>
      <c r="B16" s="584">
        <f>B14</f>
        <v>293922.15000000002</v>
      </c>
    </row>
    <row r="17" spans="1:2" x14ac:dyDescent="0.2">
      <c r="A17" s="620">
        <v>42389</v>
      </c>
      <c r="B17" s="584">
        <v>294002.2</v>
      </c>
    </row>
    <row r="18" spans="1:2" x14ac:dyDescent="0.2">
      <c r="A18" s="620">
        <v>42390</v>
      </c>
      <c r="B18" s="584">
        <v>285645.33</v>
      </c>
    </row>
    <row r="19" spans="1:2" x14ac:dyDescent="0.2">
      <c r="A19" s="620">
        <v>42391</v>
      </c>
      <c r="B19" s="584">
        <f>B18</f>
        <v>285645.33</v>
      </c>
    </row>
    <row r="20" spans="1:2" x14ac:dyDescent="0.2">
      <c r="A20" s="620">
        <v>42394</v>
      </c>
      <c r="B20" s="584">
        <v>310939.57</v>
      </c>
    </row>
    <row r="21" spans="1:2" x14ac:dyDescent="0.2">
      <c r="A21" s="620">
        <v>42395</v>
      </c>
      <c r="B21" s="584">
        <v>285520.28000000003</v>
      </c>
    </row>
    <row r="22" spans="1:2" x14ac:dyDescent="0.2">
      <c r="A22" s="620">
        <v>42396</v>
      </c>
      <c r="B22" s="584">
        <f>B21</f>
        <v>285520.28000000003</v>
      </c>
    </row>
    <row r="23" spans="1:2" x14ac:dyDescent="0.2">
      <c r="A23" s="620">
        <v>42397</v>
      </c>
      <c r="B23" s="584">
        <v>282022.58</v>
      </c>
    </row>
    <row r="24" spans="1:2" x14ac:dyDescent="0.2">
      <c r="A24" s="620">
        <v>42398</v>
      </c>
      <c r="B24" s="584">
        <v>294848.15999999997</v>
      </c>
    </row>
    <row r="25" spans="1:2" x14ac:dyDescent="0.2">
      <c r="A25" s="620">
        <v>42401</v>
      </c>
      <c r="B25" s="584">
        <v>295971.7</v>
      </c>
    </row>
    <row r="26" spans="1:2" x14ac:dyDescent="0.2">
      <c r="A26" s="620">
        <v>42402</v>
      </c>
      <c r="B26" s="584">
        <v>342700.41</v>
      </c>
    </row>
    <row r="27" spans="1:2" x14ac:dyDescent="0.2">
      <c r="A27" s="620">
        <v>42403</v>
      </c>
      <c r="B27" s="584">
        <f>B26</f>
        <v>342700.41</v>
      </c>
    </row>
    <row r="28" spans="1:2" x14ac:dyDescent="0.2">
      <c r="A28" s="620">
        <v>42404</v>
      </c>
      <c r="B28" s="584">
        <v>337638.63</v>
      </c>
    </row>
    <row r="29" spans="1:2" x14ac:dyDescent="0.2">
      <c r="A29" s="620">
        <v>42405</v>
      </c>
      <c r="B29" s="584">
        <v>367843.39</v>
      </c>
    </row>
    <row r="30" spans="1:2" x14ac:dyDescent="0.2">
      <c r="A30" s="620">
        <v>42408</v>
      </c>
      <c r="B30" s="584">
        <v>367773.39</v>
      </c>
    </row>
    <row r="31" spans="1:2" x14ac:dyDescent="0.2">
      <c r="A31" s="620">
        <v>42409</v>
      </c>
      <c r="B31" s="584">
        <v>339527.33</v>
      </c>
    </row>
    <row r="32" spans="1:2" x14ac:dyDescent="0.2">
      <c r="A32" s="620">
        <v>42410</v>
      </c>
      <c r="B32" s="584">
        <f>B31</f>
        <v>339527.33</v>
      </c>
    </row>
    <row r="33" spans="1:2" x14ac:dyDescent="0.2">
      <c r="A33" s="620">
        <v>42411</v>
      </c>
      <c r="B33" s="584">
        <v>336968.79</v>
      </c>
    </row>
    <row r="34" spans="1:2" x14ac:dyDescent="0.2">
      <c r="A34" s="620">
        <v>42412</v>
      </c>
      <c r="B34" s="584">
        <v>337055.76</v>
      </c>
    </row>
    <row r="35" spans="1:2" x14ac:dyDescent="0.2">
      <c r="A35" s="620">
        <v>42415</v>
      </c>
      <c r="B35" s="584">
        <f>B34</f>
        <v>337055.76</v>
      </c>
    </row>
    <row r="36" spans="1:2" x14ac:dyDescent="0.2">
      <c r="A36" s="620">
        <v>42416</v>
      </c>
      <c r="B36" s="584">
        <f>B35</f>
        <v>337055.76</v>
      </c>
    </row>
    <row r="37" spans="1:2" x14ac:dyDescent="0.2">
      <c r="A37" s="620">
        <v>42417</v>
      </c>
      <c r="B37" s="584">
        <v>365266.06</v>
      </c>
    </row>
    <row r="38" spans="1:2" x14ac:dyDescent="0.2">
      <c r="A38" s="620">
        <v>42418</v>
      </c>
      <c r="B38" s="584">
        <v>360871.98</v>
      </c>
    </row>
    <row r="39" spans="1:2" x14ac:dyDescent="0.2">
      <c r="A39" s="620">
        <v>42419</v>
      </c>
      <c r="B39" s="584">
        <f>B38</f>
        <v>360871.98</v>
      </c>
    </row>
    <row r="40" spans="1:2" x14ac:dyDescent="0.2">
      <c r="A40" s="620">
        <v>42421</v>
      </c>
      <c r="B40" s="584">
        <f>B39</f>
        <v>360871.98</v>
      </c>
    </row>
    <row r="41" spans="1:2" x14ac:dyDescent="0.2">
      <c r="A41" s="620">
        <v>42423</v>
      </c>
      <c r="B41" s="584">
        <v>355845.62</v>
      </c>
    </row>
    <row r="42" spans="1:2" x14ac:dyDescent="0.2">
      <c r="A42" s="620">
        <v>42424</v>
      </c>
      <c r="B42" s="584">
        <f>B41</f>
        <v>355845.62</v>
      </c>
    </row>
    <row r="43" spans="1:2" x14ac:dyDescent="0.2">
      <c r="A43" s="620">
        <v>42425</v>
      </c>
      <c r="B43" s="584">
        <v>345399.7</v>
      </c>
    </row>
    <row r="44" spans="1:2" x14ac:dyDescent="0.2">
      <c r="A44" s="620">
        <v>42426</v>
      </c>
      <c r="B44" s="584">
        <v>370500.69</v>
      </c>
    </row>
    <row r="45" spans="1:2" x14ac:dyDescent="0.2">
      <c r="A45" s="620">
        <v>42429</v>
      </c>
      <c r="B45" s="584">
        <v>389846.49</v>
      </c>
    </row>
    <row r="46" spans="1:2" x14ac:dyDescent="0.2">
      <c r="A46" s="620">
        <v>42430</v>
      </c>
      <c r="B46" s="584">
        <f>B45</f>
        <v>389846.49</v>
      </c>
    </row>
    <row r="47" spans="1:2" x14ac:dyDescent="0.2">
      <c r="A47" s="620">
        <v>42431</v>
      </c>
      <c r="B47" s="584">
        <f>B46</f>
        <v>389846.49</v>
      </c>
    </row>
    <row r="48" spans="1:2" x14ac:dyDescent="0.2">
      <c r="A48" s="620">
        <v>42432</v>
      </c>
      <c r="B48" s="584">
        <v>378391.97</v>
      </c>
    </row>
    <row r="49" spans="1:2" x14ac:dyDescent="0.2">
      <c r="A49" s="620">
        <v>42433</v>
      </c>
      <c r="B49" s="584">
        <v>424034.23</v>
      </c>
    </row>
    <row r="50" spans="1:2" x14ac:dyDescent="0.2">
      <c r="A50" s="620">
        <v>42436</v>
      </c>
      <c r="B50" s="584">
        <f>B49</f>
        <v>424034.23</v>
      </c>
    </row>
    <row r="51" spans="1:2" x14ac:dyDescent="0.2">
      <c r="A51" s="620">
        <v>42437</v>
      </c>
      <c r="B51" s="584">
        <v>386665.73</v>
      </c>
    </row>
    <row r="52" spans="1:2" x14ac:dyDescent="0.2">
      <c r="A52" s="620">
        <v>42438</v>
      </c>
      <c r="B52" s="584">
        <f>B51</f>
        <v>386665.73</v>
      </c>
    </row>
    <row r="53" spans="1:2" x14ac:dyDescent="0.2">
      <c r="A53" s="620">
        <v>42439</v>
      </c>
      <c r="B53" s="584">
        <v>389219.85</v>
      </c>
    </row>
    <row r="54" spans="1:2" x14ac:dyDescent="0.2">
      <c r="A54" s="620">
        <v>42440</v>
      </c>
      <c r="B54" s="584">
        <v>406100.98</v>
      </c>
    </row>
    <row r="55" spans="1:2" x14ac:dyDescent="0.2">
      <c r="A55" s="620">
        <v>42443</v>
      </c>
      <c r="B55" s="584">
        <v>407873.33</v>
      </c>
    </row>
    <row r="56" spans="1:2" x14ac:dyDescent="0.2">
      <c r="A56" s="620">
        <v>42444</v>
      </c>
      <c r="B56" s="584">
        <v>407992.23</v>
      </c>
    </row>
    <row r="57" spans="1:2" x14ac:dyDescent="0.2">
      <c r="A57" s="620">
        <v>42445</v>
      </c>
      <c r="B57" s="584">
        <v>433808.81</v>
      </c>
    </row>
    <row r="58" spans="1:2" x14ac:dyDescent="0.2">
      <c r="A58" s="620">
        <v>42446</v>
      </c>
      <c r="B58" s="584">
        <v>422290.94</v>
      </c>
    </row>
    <row r="59" spans="1:2" x14ac:dyDescent="0.2">
      <c r="A59" s="620">
        <v>42447</v>
      </c>
      <c r="B59" s="584">
        <v>468026.54</v>
      </c>
    </row>
    <row r="60" spans="1:2" x14ac:dyDescent="0.2">
      <c r="A60" s="620">
        <v>42450</v>
      </c>
      <c r="B60" s="584">
        <v>348026.54</v>
      </c>
    </row>
    <row r="61" spans="1:2" x14ac:dyDescent="0.2">
      <c r="A61" s="620">
        <v>42451</v>
      </c>
      <c r="B61" s="584">
        <v>312876.71000000002</v>
      </c>
    </row>
    <row r="62" spans="1:2" x14ac:dyDescent="0.2">
      <c r="A62" s="620">
        <v>42452</v>
      </c>
      <c r="B62" s="584">
        <v>314939.26</v>
      </c>
    </row>
    <row r="63" spans="1:2" x14ac:dyDescent="0.2">
      <c r="A63" s="620">
        <v>42453</v>
      </c>
      <c r="B63" s="584">
        <v>309254.23</v>
      </c>
    </row>
    <row r="64" spans="1:2" x14ac:dyDescent="0.2">
      <c r="A64" s="620">
        <v>42454</v>
      </c>
      <c r="B64" s="584">
        <v>308314.94</v>
      </c>
    </row>
    <row r="65" spans="1:2" x14ac:dyDescent="0.2">
      <c r="A65" s="620">
        <v>42457</v>
      </c>
      <c r="B65" s="584">
        <f>B64</f>
        <v>308314.94</v>
      </c>
    </row>
    <row r="66" spans="1:2" x14ac:dyDescent="0.2">
      <c r="A66" s="620">
        <v>42458</v>
      </c>
      <c r="B66" s="584">
        <v>308501.75</v>
      </c>
    </row>
    <row r="67" spans="1:2" x14ac:dyDescent="0.2">
      <c r="A67" s="620">
        <v>42459</v>
      </c>
      <c r="B67" s="584">
        <f>B66</f>
        <v>308501.75</v>
      </c>
    </row>
    <row r="68" spans="1:2" x14ac:dyDescent="0.2">
      <c r="A68" s="620">
        <v>42460</v>
      </c>
      <c r="B68" s="584">
        <v>309191.53000000003</v>
      </c>
    </row>
    <row r="69" spans="1:2" x14ac:dyDescent="0.2">
      <c r="A69" s="620">
        <v>42461</v>
      </c>
      <c r="B69" s="584">
        <f>B68</f>
        <v>309191.53000000003</v>
      </c>
    </row>
    <row r="70" spans="1:2" x14ac:dyDescent="0.2">
      <c r="A70" s="620">
        <v>42464</v>
      </c>
      <c r="B70" s="584">
        <v>273521.59999999998</v>
      </c>
    </row>
    <row r="71" spans="1:2" x14ac:dyDescent="0.2">
      <c r="A71" s="620">
        <v>42465</v>
      </c>
      <c r="B71" s="584">
        <f>B70</f>
        <v>273521.59999999998</v>
      </c>
    </row>
    <row r="72" spans="1:2" x14ac:dyDescent="0.2">
      <c r="A72" s="620">
        <v>42466</v>
      </c>
      <c r="B72" s="584">
        <v>272690.59999999998</v>
      </c>
    </row>
    <row r="73" spans="1:2" x14ac:dyDescent="0.2">
      <c r="A73" s="620">
        <v>42467</v>
      </c>
      <c r="B73" s="584">
        <v>269582.73</v>
      </c>
    </row>
    <row r="74" spans="1:2" x14ac:dyDescent="0.2">
      <c r="A74" s="620">
        <v>42468</v>
      </c>
      <c r="B74" s="584">
        <f>B73</f>
        <v>269582.73</v>
      </c>
    </row>
    <row r="75" spans="1:2" x14ac:dyDescent="0.2">
      <c r="A75" s="620">
        <v>42471</v>
      </c>
      <c r="B75" s="584">
        <v>269763.98</v>
      </c>
    </row>
    <row r="76" spans="1:2" x14ac:dyDescent="0.2">
      <c r="A76" s="620">
        <v>42472</v>
      </c>
      <c r="B76" s="584">
        <f>B75</f>
        <v>269763.98</v>
      </c>
    </row>
    <row r="77" spans="1:2" x14ac:dyDescent="0.2">
      <c r="A77" s="620">
        <v>42473</v>
      </c>
      <c r="B77" s="584">
        <v>269925.98</v>
      </c>
    </row>
    <row r="78" spans="1:2" x14ac:dyDescent="0.2">
      <c r="A78" s="620">
        <v>42474</v>
      </c>
      <c r="B78" s="584">
        <v>262853.87</v>
      </c>
    </row>
    <row r="79" spans="1:2" x14ac:dyDescent="0.2">
      <c r="A79" s="620">
        <v>42475</v>
      </c>
      <c r="B79" s="584">
        <v>285492.90999999997</v>
      </c>
    </row>
    <row r="80" spans="1:2" x14ac:dyDescent="0.2">
      <c r="A80" s="620">
        <v>42478</v>
      </c>
      <c r="B80" s="584">
        <v>248936.49</v>
      </c>
    </row>
    <row r="81" spans="1:2" x14ac:dyDescent="0.2">
      <c r="A81" s="620">
        <v>42479</v>
      </c>
      <c r="B81" s="584">
        <v>299276.93</v>
      </c>
    </row>
    <row r="82" spans="1:2" x14ac:dyDescent="0.2">
      <c r="A82" s="620">
        <v>42480</v>
      </c>
      <c r="B82" s="584">
        <v>298671.93</v>
      </c>
    </row>
    <row r="83" spans="1:2" x14ac:dyDescent="0.2">
      <c r="A83" s="620">
        <v>42481</v>
      </c>
      <c r="B83" s="584">
        <v>300188.76</v>
      </c>
    </row>
    <row r="84" spans="1:2" x14ac:dyDescent="0.2">
      <c r="A84" s="620">
        <v>42482</v>
      </c>
      <c r="B84" s="584">
        <v>320014.86</v>
      </c>
    </row>
    <row r="85" spans="1:2" x14ac:dyDescent="0.2">
      <c r="A85" s="620">
        <v>42485</v>
      </c>
      <c r="B85" s="584">
        <v>316702.44</v>
      </c>
    </row>
    <row r="86" spans="1:2" x14ac:dyDescent="0.2">
      <c r="A86" s="620">
        <v>42486</v>
      </c>
      <c r="B86" s="584">
        <f>B85</f>
        <v>316702.44</v>
      </c>
    </row>
    <row r="87" spans="1:2" x14ac:dyDescent="0.2">
      <c r="A87" s="620">
        <v>42487</v>
      </c>
      <c r="B87" s="584">
        <v>316945.44</v>
      </c>
    </row>
    <row r="88" spans="1:2" x14ac:dyDescent="0.2">
      <c r="A88" s="620">
        <v>42488</v>
      </c>
      <c r="B88" s="584">
        <v>320979.96999999997</v>
      </c>
    </row>
    <row r="89" spans="1:2" x14ac:dyDescent="0.2">
      <c r="A89" s="620">
        <v>42489</v>
      </c>
      <c r="B89" s="584">
        <f>B88</f>
        <v>320979.96999999997</v>
      </c>
    </row>
    <row r="90" spans="1:2" x14ac:dyDescent="0.2">
      <c r="A90" s="620">
        <v>42492</v>
      </c>
      <c r="B90" s="584">
        <v>285992.84000000003</v>
      </c>
    </row>
    <row r="91" spans="1:2" x14ac:dyDescent="0.2">
      <c r="A91" s="620">
        <v>42493</v>
      </c>
      <c r="B91" s="584">
        <v>286063.08</v>
      </c>
    </row>
    <row r="92" spans="1:2" x14ac:dyDescent="0.2">
      <c r="A92" s="620">
        <v>42494</v>
      </c>
      <c r="B92" s="584">
        <v>314586.46000000002</v>
      </c>
    </row>
    <row r="93" spans="1:2" x14ac:dyDescent="0.2">
      <c r="A93" s="620">
        <v>42495</v>
      </c>
      <c r="B93" s="584">
        <v>317747.52</v>
      </c>
    </row>
    <row r="94" spans="1:2" x14ac:dyDescent="0.2">
      <c r="A94" s="620">
        <v>42496</v>
      </c>
      <c r="B94" s="584">
        <f>B93</f>
        <v>317747.52</v>
      </c>
    </row>
    <row r="95" spans="1:2" x14ac:dyDescent="0.2">
      <c r="A95" s="620">
        <v>42499</v>
      </c>
      <c r="B95" s="584">
        <v>317647.52</v>
      </c>
    </row>
    <row r="96" spans="1:2" x14ac:dyDescent="0.2">
      <c r="A96" s="620">
        <v>42500</v>
      </c>
      <c r="B96" s="584">
        <v>354645.16</v>
      </c>
    </row>
    <row r="97" spans="1:2" x14ac:dyDescent="0.2">
      <c r="A97" s="620">
        <v>42501</v>
      </c>
      <c r="B97" s="584">
        <f>B96</f>
        <v>354645.16</v>
      </c>
    </row>
    <row r="98" spans="1:2" x14ac:dyDescent="0.2">
      <c r="A98" s="620">
        <v>42502</v>
      </c>
      <c r="B98" s="584">
        <v>334676.08</v>
      </c>
    </row>
    <row r="99" spans="1:2" x14ac:dyDescent="0.2">
      <c r="A99" s="620">
        <v>42503</v>
      </c>
      <c r="B99" s="584">
        <v>335053.34999999998</v>
      </c>
    </row>
    <row r="100" spans="1:2" x14ac:dyDescent="0.2">
      <c r="A100" s="620">
        <v>42506</v>
      </c>
      <c r="B100" s="584">
        <v>299641.7</v>
      </c>
    </row>
    <row r="101" spans="1:2" x14ac:dyDescent="0.2">
      <c r="A101" s="620">
        <v>42507</v>
      </c>
      <c r="B101" s="584">
        <f>B100</f>
        <v>299641.7</v>
      </c>
    </row>
    <row r="102" spans="1:2" x14ac:dyDescent="0.2">
      <c r="A102" s="620">
        <v>42508</v>
      </c>
      <c r="B102" s="584">
        <v>316034.81</v>
      </c>
    </row>
    <row r="103" spans="1:2" x14ac:dyDescent="0.2">
      <c r="A103" s="620">
        <v>42509</v>
      </c>
      <c r="B103" s="584">
        <v>320069.11</v>
      </c>
    </row>
    <row r="104" spans="1:2" x14ac:dyDescent="0.2">
      <c r="A104" s="620">
        <v>42510</v>
      </c>
      <c r="B104" s="584">
        <v>328514.03000000003</v>
      </c>
    </row>
    <row r="105" spans="1:2" x14ac:dyDescent="0.2">
      <c r="A105" s="620">
        <v>42513</v>
      </c>
      <c r="B105" s="584">
        <f>B104</f>
        <v>328514.03000000003</v>
      </c>
    </row>
    <row r="106" spans="1:2" x14ac:dyDescent="0.2">
      <c r="A106" s="620">
        <v>42514</v>
      </c>
      <c r="B106" s="584">
        <v>334541.26</v>
      </c>
    </row>
    <row r="107" spans="1:2" x14ac:dyDescent="0.2">
      <c r="A107" s="620">
        <v>42515</v>
      </c>
      <c r="B107" s="585">
        <v>329880.45</v>
      </c>
    </row>
    <row r="108" spans="1:2" x14ac:dyDescent="0.2">
      <c r="A108" s="620">
        <v>42516</v>
      </c>
      <c r="B108" s="586">
        <v>337992.17</v>
      </c>
    </row>
    <row r="109" spans="1:2" x14ac:dyDescent="0.2">
      <c r="A109" s="620">
        <v>42517</v>
      </c>
      <c r="B109" s="586">
        <v>347755.4</v>
      </c>
    </row>
    <row r="110" spans="1:2" x14ac:dyDescent="0.2">
      <c r="A110" s="620">
        <v>42520</v>
      </c>
      <c r="B110" s="586">
        <v>347755.4</v>
      </c>
    </row>
    <row r="111" spans="1:2" x14ac:dyDescent="0.2">
      <c r="A111" s="620">
        <v>42521</v>
      </c>
      <c r="B111" s="586">
        <v>312817.88</v>
      </c>
    </row>
    <row r="112" spans="1:2" x14ac:dyDescent="0.2">
      <c r="A112" s="620">
        <v>42522</v>
      </c>
      <c r="B112" s="586">
        <v>314571.3</v>
      </c>
    </row>
    <row r="113" spans="1:2" x14ac:dyDescent="0.2">
      <c r="A113" s="620">
        <v>42523</v>
      </c>
      <c r="B113" s="586">
        <v>302515.78000000003</v>
      </c>
    </row>
    <row r="114" spans="1:2" x14ac:dyDescent="0.2">
      <c r="A114" s="620">
        <v>42524</v>
      </c>
      <c r="B114" s="586">
        <v>302516</v>
      </c>
    </row>
    <row r="115" spans="1:2" x14ac:dyDescent="0.2">
      <c r="A115" s="620">
        <v>42527</v>
      </c>
      <c r="B115" s="586">
        <v>302516</v>
      </c>
    </row>
    <row r="116" spans="1:2" x14ac:dyDescent="0.2">
      <c r="A116" s="620">
        <v>42528</v>
      </c>
      <c r="B116" s="586">
        <v>302516</v>
      </c>
    </row>
    <row r="117" spans="1:2" x14ac:dyDescent="0.2">
      <c r="A117" s="620">
        <v>42529</v>
      </c>
      <c r="B117" s="586">
        <v>279865.95</v>
      </c>
    </row>
    <row r="118" spans="1:2" x14ac:dyDescent="0.2">
      <c r="A118" s="620">
        <v>42530</v>
      </c>
      <c r="B118" s="586">
        <v>279866</v>
      </c>
    </row>
    <row r="119" spans="1:2" x14ac:dyDescent="0.2">
      <c r="A119" s="620">
        <v>42531</v>
      </c>
      <c r="B119" s="586">
        <v>279866</v>
      </c>
    </row>
    <row r="120" spans="1:2" x14ac:dyDescent="0.2">
      <c r="A120" s="620">
        <v>42534</v>
      </c>
      <c r="B120" s="586">
        <v>279866</v>
      </c>
    </row>
    <row r="121" spans="1:2" x14ac:dyDescent="0.2">
      <c r="A121" s="620">
        <v>42535</v>
      </c>
      <c r="B121" s="586">
        <v>279866</v>
      </c>
    </row>
    <row r="122" spans="1:2" x14ac:dyDescent="0.2">
      <c r="A122" s="620">
        <v>42536</v>
      </c>
      <c r="B122" s="586">
        <v>290096.01</v>
      </c>
    </row>
    <row r="123" spans="1:2" x14ac:dyDescent="0.2">
      <c r="A123" s="620">
        <v>42537</v>
      </c>
      <c r="B123" s="586">
        <v>247423.5</v>
      </c>
    </row>
    <row r="124" spans="1:2" x14ac:dyDescent="0.2">
      <c r="A124" s="620">
        <v>42538</v>
      </c>
      <c r="B124" s="586">
        <v>247424</v>
      </c>
    </row>
    <row r="125" spans="1:2" x14ac:dyDescent="0.2">
      <c r="A125" s="620">
        <v>42541</v>
      </c>
      <c r="B125" s="586">
        <v>247424</v>
      </c>
    </row>
    <row r="126" spans="1:2" x14ac:dyDescent="0.2">
      <c r="A126" s="620">
        <v>42542</v>
      </c>
      <c r="B126" s="586">
        <v>255459.85</v>
      </c>
    </row>
    <row r="127" spans="1:2" x14ac:dyDescent="0.2">
      <c r="A127" s="620">
        <v>42543</v>
      </c>
      <c r="B127" s="586">
        <v>255460</v>
      </c>
    </row>
    <row r="128" spans="1:2" x14ac:dyDescent="0.2">
      <c r="A128" s="587">
        <f>A127+1</f>
        <v>42544</v>
      </c>
      <c r="B128" s="586">
        <v>240780.4</v>
      </c>
    </row>
    <row r="129" spans="1:2" x14ac:dyDescent="0.2">
      <c r="A129" s="587">
        <f>A128+1</f>
        <v>42545</v>
      </c>
      <c r="B129" s="586">
        <v>240780</v>
      </c>
    </row>
    <row r="130" spans="1:2" x14ac:dyDescent="0.2">
      <c r="A130" s="587">
        <f>A125+7</f>
        <v>42548</v>
      </c>
      <c r="B130" s="586">
        <v>205735.12</v>
      </c>
    </row>
    <row r="131" spans="1:2" x14ac:dyDescent="0.2">
      <c r="A131" s="587">
        <f>A126+7</f>
        <v>42549</v>
      </c>
      <c r="B131" s="586">
        <v>207489.37</v>
      </c>
    </row>
    <row r="132" spans="1:2" x14ac:dyDescent="0.2">
      <c r="A132" s="587">
        <f t="shared" ref="A132:A195" si="0">A127+7</f>
        <v>42550</v>
      </c>
      <c r="B132" s="586">
        <v>213757.9</v>
      </c>
    </row>
    <row r="133" spans="1:2" x14ac:dyDescent="0.2">
      <c r="A133" s="587">
        <f t="shared" si="0"/>
        <v>42551</v>
      </c>
      <c r="B133" s="586">
        <v>220332.56</v>
      </c>
    </row>
    <row r="134" spans="1:2" x14ac:dyDescent="0.2">
      <c r="A134" s="587">
        <f t="shared" si="0"/>
        <v>42552</v>
      </c>
      <c r="B134" s="586">
        <v>212813.84</v>
      </c>
    </row>
    <row r="135" spans="1:2" x14ac:dyDescent="0.2">
      <c r="A135" s="587">
        <f t="shared" si="0"/>
        <v>42555</v>
      </c>
      <c r="B135" s="586">
        <v>212814</v>
      </c>
    </row>
    <row r="136" spans="1:2" x14ac:dyDescent="0.2">
      <c r="A136" s="587">
        <f t="shared" si="0"/>
        <v>42556</v>
      </c>
      <c r="B136" s="586">
        <v>236539.45</v>
      </c>
    </row>
    <row r="137" spans="1:2" x14ac:dyDescent="0.2">
      <c r="A137" s="587">
        <f t="shared" si="0"/>
        <v>42557</v>
      </c>
      <c r="B137" s="586">
        <v>234224.42</v>
      </c>
    </row>
    <row r="138" spans="1:2" x14ac:dyDescent="0.2">
      <c r="A138" s="587">
        <f t="shared" si="0"/>
        <v>42558</v>
      </c>
      <c r="B138" s="586">
        <v>234132.08</v>
      </c>
    </row>
    <row r="139" spans="1:2" x14ac:dyDescent="0.2">
      <c r="A139" s="587">
        <f t="shared" si="0"/>
        <v>42559</v>
      </c>
      <c r="B139" s="586">
        <v>234132.08</v>
      </c>
    </row>
    <row r="140" spans="1:2" x14ac:dyDescent="0.2">
      <c r="A140" s="587">
        <f t="shared" si="0"/>
        <v>42562</v>
      </c>
      <c r="B140" s="586">
        <v>199890.85</v>
      </c>
    </row>
    <row r="141" spans="1:2" x14ac:dyDescent="0.2">
      <c r="A141" s="587">
        <f t="shared" si="0"/>
        <v>42563</v>
      </c>
      <c r="B141" s="586">
        <v>221114.27</v>
      </c>
    </row>
    <row r="142" spans="1:2" x14ac:dyDescent="0.2">
      <c r="A142" s="587">
        <f t="shared" si="0"/>
        <v>42564</v>
      </c>
      <c r="B142" s="586">
        <v>221114</v>
      </c>
    </row>
    <row r="143" spans="1:2" x14ac:dyDescent="0.2">
      <c r="A143" s="587">
        <f t="shared" si="0"/>
        <v>42565</v>
      </c>
      <c r="B143" s="586">
        <v>214752.25</v>
      </c>
    </row>
    <row r="144" spans="1:2" x14ac:dyDescent="0.2">
      <c r="A144" s="587">
        <f t="shared" si="0"/>
        <v>42566</v>
      </c>
      <c r="B144" s="586">
        <v>294578.96999999997</v>
      </c>
    </row>
    <row r="145" spans="1:2" x14ac:dyDescent="0.2">
      <c r="A145" s="587">
        <f t="shared" si="0"/>
        <v>42569</v>
      </c>
      <c r="B145" s="586">
        <v>294579</v>
      </c>
    </row>
    <row r="146" spans="1:2" x14ac:dyDescent="0.2">
      <c r="A146" s="587">
        <f t="shared" si="0"/>
        <v>42570</v>
      </c>
      <c r="B146" s="586">
        <v>294579</v>
      </c>
    </row>
    <row r="147" spans="1:2" x14ac:dyDescent="0.2">
      <c r="A147" s="587">
        <f t="shared" si="0"/>
        <v>42571</v>
      </c>
      <c r="B147" s="586">
        <v>328195.42</v>
      </c>
    </row>
    <row r="148" spans="1:2" x14ac:dyDescent="0.2">
      <c r="A148" s="587">
        <f t="shared" si="0"/>
        <v>42572</v>
      </c>
      <c r="B148" s="586">
        <v>407865.86</v>
      </c>
    </row>
    <row r="149" spans="1:2" x14ac:dyDescent="0.2">
      <c r="A149" s="587">
        <f t="shared" si="0"/>
        <v>42573</v>
      </c>
      <c r="B149" s="586">
        <v>409053.93</v>
      </c>
    </row>
    <row r="150" spans="1:2" x14ac:dyDescent="0.2">
      <c r="A150" s="587">
        <f t="shared" si="0"/>
        <v>42576</v>
      </c>
      <c r="B150" s="586">
        <v>372421.56</v>
      </c>
    </row>
    <row r="151" spans="1:2" x14ac:dyDescent="0.2">
      <c r="A151" s="587">
        <f t="shared" si="0"/>
        <v>42577</v>
      </c>
      <c r="B151" s="586">
        <v>375562.78</v>
      </c>
    </row>
    <row r="152" spans="1:2" x14ac:dyDescent="0.2">
      <c r="A152" s="587">
        <f t="shared" si="0"/>
        <v>42578</v>
      </c>
      <c r="B152" s="586">
        <v>375563</v>
      </c>
    </row>
    <row r="153" spans="1:2" x14ac:dyDescent="0.2">
      <c r="A153" s="587">
        <f t="shared" si="0"/>
        <v>42579</v>
      </c>
      <c r="B153" s="586">
        <v>366510.98</v>
      </c>
    </row>
    <row r="154" spans="1:2" x14ac:dyDescent="0.2">
      <c r="A154" s="587">
        <f t="shared" si="0"/>
        <v>42580</v>
      </c>
      <c r="B154" s="586">
        <v>366609.48</v>
      </c>
    </row>
    <row r="155" spans="1:2" x14ac:dyDescent="0.2">
      <c r="A155" s="587">
        <f t="shared" si="0"/>
        <v>42583</v>
      </c>
      <c r="B155" s="586">
        <v>382689.69</v>
      </c>
    </row>
    <row r="156" spans="1:2" x14ac:dyDescent="0.2">
      <c r="A156" s="587">
        <f t="shared" si="0"/>
        <v>42584</v>
      </c>
      <c r="B156" s="586">
        <v>382690</v>
      </c>
    </row>
    <row r="157" spans="1:2" x14ac:dyDescent="0.2">
      <c r="A157" s="587">
        <f t="shared" si="0"/>
        <v>42585</v>
      </c>
      <c r="B157" s="586">
        <v>387013.59</v>
      </c>
    </row>
    <row r="158" spans="1:2" x14ac:dyDescent="0.2">
      <c r="A158" s="587">
        <f t="shared" si="0"/>
        <v>42586</v>
      </c>
      <c r="B158" s="586">
        <v>382543.7</v>
      </c>
    </row>
    <row r="159" spans="1:2" x14ac:dyDescent="0.2">
      <c r="A159" s="587">
        <f t="shared" si="0"/>
        <v>42587</v>
      </c>
      <c r="B159" s="586">
        <v>382544</v>
      </c>
    </row>
    <row r="160" spans="1:2" x14ac:dyDescent="0.2">
      <c r="A160" s="587">
        <f t="shared" si="0"/>
        <v>42590</v>
      </c>
      <c r="B160" s="586">
        <v>344510.17</v>
      </c>
    </row>
    <row r="161" spans="1:2" x14ac:dyDescent="0.2">
      <c r="A161" s="587">
        <f t="shared" si="0"/>
        <v>42591</v>
      </c>
      <c r="B161" s="586">
        <v>350095.94</v>
      </c>
    </row>
    <row r="162" spans="1:2" x14ac:dyDescent="0.2">
      <c r="A162" s="587">
        <f t="shared" si="0"/>
        <v>42592</v>
      </c>
      <c r="B162" s="586">
        <v>350096</v>
      </c>
    </row>
    <row r="163" spans="1:2" x14ac:dyDescent="0.2">
      <c r="A163" s="587">
        <f t="shared" si="0"/>
        <v>42593</v>
      </c>
      <c r="B163" s="586">
        <v>355079.15</v>
      </c>
    </row>
    <row r="164" spans="1:2" x14ac:dyDescent="0.2">
      <c r="A164" s="587">
        <f t="shared" si="0"/>
        <v>42594</v>
      </c>
      <c r="B164" s="586">
        <v>356502.11</v>
      </c>
    </row>
    <row r="165" spans="1:2" x14ac:dyDescent="0.2">
      <c r="A165" s="587">
        <f t="shared" si="0"/>
        <v>42597</v>
      </c>
      <c r="B165" s="586">
        <v>408622.46</v>
      </c>
    </row>
    <row r="166" spans="1:2" x14ac:dyDescent="0.2">
      <c r="A166" s="587">
        <f t="shared" si="0"/>
        <v>42598</v>
      </c>
      <c r="B166" s="586">
        <v>408622</v>
      </c>
    </row>
    <row r="167" spans="1:2" x14ac:dyDescent="0.2">
      <c r="A167" s="587">
        <f t="shared" si="0"/>
        <v>42599</v>
      </c>
      <c r="B167" s="586">
        <v>408622</v>
      </c>
    </row>
    <row r="168" spans="1:2" x14ac:dyDescent="0.2">
      <c r="A168" s="587">
        <f t="shared" si="0"/>
        <v>42600</v>
      </c>
      <c r="B168" s="586">
        <v>409931.67</v>
      </c>
    </row>
    <row r="169" spans="1:2" x14ac:dyDescent="0.2">
      <c r="A169" s="587">
        <f t="shared" si="0"/>
        <v>42601</v>
      </c>
      <c r="B169" s="586">
        <v>410189.3</v>
      </c>
    </row>
    <row r="170" spans="1:2" x14ac:dyDescent="0.2">
      <c r="A170" s="587">
        <f t="shared" si="0"/>
        <v>42604</v>
      </c>
      <c r="B170" s="586">
        <v>370399.56</v>
      </c>
    </row>
    <row r="171" spans="1:2" x14ac:dyDescent="0.2">
      <c r="A171" s="587">
        <f t="shared" si="0"/>
        <v>42605</v>
      </c>
      <c r="B171" s="586">
        <v>370399.56</v>
      </c>
    </row>
    <row r="172" spans="1:2" x14ac:dyDescent="0.2">
      <c r="A172" s="587">
        <f t="shared" si="0"/>
        <v>42606</v>
      </c>
      <c r="B172" s="586">
        <v>370400</v>
      </c>
    </row>
    <row r="173" spans="1:2" x14ac:dyDescent="0.2">
      <c r="A173" s="587">
        <f t="shared" si="0"/>
        <v>42607</v>
      </c>
      <c r="B173" s="586">
        <v>359591.19</v>
      </c>
    </row>
    <row r="174" spans="1:2" x14ac:dyDescent="0.2">
      <c r="A174" s="587">
        <f t="shared" si="0"/>
        <v>42608</v>
      </c>
      <c r="B174" s="586">
        <v>399163.14</v>
      </c>
    </row>
    <row r="175" spans="1:2" x14ac:dyDescent="0.2">
      <c r="A175" s="587">
        <f t="shared" si="0"/>
        <v>42611</v>
      </c>
      <c r="B175" s="586">
        <v>407196.62</v>
      </c>
    </row>
    <row r="176" spans="1:2" x14ac:dyDescent="0.2">
      <c r="A176" s="587">
        <f t="shared" si="0"/>
        <v>42612</v>
      </c>
      <c r="B176" s="586">
        <v>422526.97</v>
      </c>
    </row>
    <row r="177" spans="1:5" x14ac:dyDescent="0.2">
      <c r="A177" s="587">
        <f t="shared" si="0"/>
        <v>42613</v>
      </c>
      <c r="B177" s="586">
        <v>479216.05</v>
      </c>
    </row>
    <row r="178" spans="1:5" x14ac:dyDescent="0.2">
      <c r="A178" s="587">
        <f t="shared" si="0"/>
        <v>42614</v>
      </c>
      <c r="B178" s="586">
        <v>479216</v>
      </c>
    </row>
    <row r="179" spans="1:5" x14ac:dyDescent="0.2">
      <c r="A179" s="587">
        <f t="shared" si="0"/>
        <v>42615</v>
      </c>
      <c r="B179" s="586">
        <v>479216</v>
      </c>
    </row>
    <row r="180" spans="1:5" x14ac:dyDescent="0.2">
      <c r="A180" s="587">
        <f t="shared" si="0"/>
        <v>42618</v>
      </c>
      <c r="B180" s="586">
        <v>479216</v>
      </c>
    </row>
    <row r="181" spans="1:5" x14ac:dyDescent="0.2">
      <c r="A181" s="587">
        <f t="shared" si="0"/>
        <v>42619</v>
      </c>
      <c r="B181" s="586">
        <v>440784.82</v>
      </c>
    </row>
    <row r="182" spans="1:5" x14ac:dyDescent="0.2">
      <c r="A182" s="587">
        <f t="shared" si="0"/>
        <v>42620</v>
      </c>
      <c r="B182" s="586">
        <v>440785</v>
      </c>
      <c r="D182" s="588"/>
      <c r="E182" s="589"/>
    </row>
    <row r="183" spans="1:5" x14ac:dyDescent="0.2">
      <c r="A183" s="587">
        <f t="shared" si="0"/>
        <v>42621</v>
      </c>
      <c r="B183" s="586">
        <v>445373.31</v>
      </c>
    </row>
    <row r="184" spans="1:5" x14ac:dyDescent="0.2">
      <c r="A184" s="587">
        <f t="shared" si="0"/>
        <v>42622</v>
      </c>
      <c r="B184" s="586">
        <v>463896.46</v>
      </c>
      <c r="D184" s="588">
        <v>42583</v>
      </c>
      <c r="E184" s="589">
        <v>182364.32</v>
      </c>
    </row>
    <row r="185" spans="1:5" x14ac:dyDescent="0.2">
      <c r="A185" s="587">
        <f t="shared" si="0"/>
        <v>42625</v>
      </c>
      <c r="B185" s="586">
        <v>463296.46</v>
      </c>
      <c r="D185" s="588">
        <v>42614</v>
      </c>
      <c r="E185" s="589">
        <v>242244.9</v>
      </c>
    </row>
    <row r="186" spans="1:5" x14ac:dyDescent="0.2">
      <c r="A186" s="587">
        <f t="shared" si="0"/>
        <v>42626</v>
      </c>
      <c r="B186" s="586">
        <v>465024.54</v>
      </c>
      <c r="D186" s="588">
        <v>42644</v>
      </c>
      <c r="E186" s="589">
        <v>246906.4</v>
      </c>
    </row>
    <row r="187" spans="1:5" x14ac:dyDescent="0.2">
      <c r="A187" s="587">
        <f t="shared" si="0"/>
        <v>42627</v>
      </c>
      <c r="B187" s="586">
        <v>465025</v>
      </c>
      <c r="D187" s="588">
        <v>42675</v>
      </c>
      <c r="E187" s="589">
        <v>246462.95</v>
      </c>
    </row>
    <row r="188" spans="1:5" x14ac:dyDescent="0.2">
      <c r="A188" s="587">
        <f t="shared" si="0"/>
        <v>42628</v>
      </c>
      <c r="B188" s="586">
        <v>447444.34</v>
      </c>
      <c r="D188" s="588">
        <v>42705</v>
      </c>
      <c r="E188" s="589">
        <v>249807.51</v>
      </c>
    </row>
    <row r="189" spans="1:5" x14ac:dyDescent="0.2">
      <c r="A189" s="587">
        <f t="shared" si="0"/>
        <v>42629</v>
      </c>
      <c r="B189" s="586">
        <v>451135.42</v>
      </c>
      <c r="D189" s="588">
        <v>42736</v>
      </c>
      <c r="E189" s="589">
        <v>351420.1</v>
      </c>
    </row>
    <row r="190" spans="1:5" x14ac:dyDescent="0.2">
      <c r="A190" s="587">
        <f t="shared" si="0"/>
        <v>42632</v>
      </c>
      <c r="B190" s="586">
        <v>413924.51</v>
      </c>
      <c r="D190" s="588">
        <v>42767</v>
      </c>
      <c r="E190" s="589">
        <v>253330.36</v>
      </c>
    </row>
    <row r="191" spans="1:5" x14ac:dyDescent="0.2">
      <c r="A191" s="587">
        <f t="shared" si="0"/>
        <v>42633</v>
      </c>
      <c r="B191" s="586">
        <v>395080.96000000002</v>
      </c>
      <c r="D191" s="588">
        <v>42795</v>
      </c>
      <c r="E191" s="589">
        <v>280744.2</v>
      </c>
    </row>
    <row r="192" spans="1:5" x14ac:dyDescent="0.2">
      <c r="A192" s="587">
        <f t="shared" si="0"/>
        <v>42634</v>
      </c>
      <c r="B192" s="586">
        <v>393852.1</v>
      </c>
      <c r="D192" s="588">
        <v>42826</v>
      </c>
      <c r="E192" s="589">
        <v>319478.15999999997</v>
      </c>
    </row>
    <row r="193" spans="1:5" x14ac:dyDescent="0.2">
      <c r="A193" s="587">
        <f t="shared" si="0"/>
        <v>42635</v>
      </c>
      <c r="B193" s="586">
        <v>397757.18</v>
      </c>
      <c r="D193" s="588">
        <v>42856</v>
      </c>
      <c r="E193" s="589">
        <v>241828.1</v>
      </c>
    </row>
    <row r="194" spans="1:5" x14ac:dyDescent="0.2">
      <c r="A194" s="587">
        <f t="shared" si="0"/>
        <v>42636</v>
      </c>
      <c r="B194" s="586">
        <v>397757</v>
      </c>
      <c r="D194" s="588">
        <v>42887</v>
      </c>
      <c r="E194" s="589">
        <v>248981.18</v>
      </c>
    </row>
    <row r="195" spans="1:5" x14ac:dyDescent="0.2">
      <c r="A195" s="587">
        <f t="shared" si="0"/>
        <v>42639</v>
      </c>
      <c r="B195" s="586">
        <v>397757</v>
      </c>
      <c r="D195" s="588">
        <v>42917</v>
      </c>
      <c r="E195" s="589">
        <v>268797.63</v>
      </c>
    </row>
    <row r="196" spans="1:5" x14ac:dyDescent="0.2">
      <c r="A196" s="587">
        <f t="shared" ref="A196:A259" si="1">A191+7</f>
        <v>42640</v>
      </c>
      <c r="B196" s="586">
        <v>403105.59</v>
      </c>
      <c r="D196" s="588">
        <v>42948</v>
      </c>
      <c r="E196" s="589">
        <f>'August''17 AR Aging '!G62</f>
        <v>200883.71</v>
      </c>
    </row>
    <row r="197" spans="1:5" x14ac:dyDescent="0.2">
      <c r="A197" s="587">
        <f t="shared" si="1"/>
        <v>42641</v>
      </c>
      <c r="B197" s="586">
        <v>394170.51</v>
      </c>
      <c r="D197" s="588"/>
      <c r="E197" s="589"/>
    </row>
    <row r="198" spans="1:5" x14ac:dyDescent="0.2">
      <c r="A198" s="587">
        <f t="shared" si="1"/>
        <v>42642</v>
      </c>
      <c r="B198" s="586">
        <v>397917.56</v>
      </c>
      <c r="D198" s="588"/>
      <c r="E198" s="589"/>
    </row>
    <row r="199" spans="1:5" x14ac:dyDescent="0.2">
      <c r="A199" s="587">
        <f t="shared" si="1"/>
        <v>42643</v>
      </c>
      <c r="B199" s="586">
        <v>397918</v>
      </c>
      <c r="D199" s="588"/>
      <c r="E199" s="589"/>
    </row>
    <row r="200" spans="1:5" x14ac:dyDescent="0.2">
      <c r="A200" s="587">
        <f t="shared" si="1"/>
        <v>42646</v>
      </c>
      <c r="B200" s="586">
        <v>361701.8</v>
      </c>
      <c r="D200" s="588"/>
      <c r="E200" s="589"/>
    </row>
    <row r="201" spans="1:5" x14ac:dyDescent="0.2">
      <c r="A201" s="587">
        <f t="shared" si="1"/>
        <v>42647</v>
      </c>
      <c r="B201" s="586">
        <v>362031.95</v>
      </c>
      <c r="D201" s="588"/>
      <c r="E201" s="589"/>
    </row>
    <row r="202" spans="1:5" x14ac:dyDescent="0.2">
      <c r="A202" s="587">
        <f t="shared" si="1"/>
        <v>42648</v>
      </c>
      <c r="B202" s="586">
        <v>362032</v>
      </c>
    </row>
    <row r="203" spans="1:5" x14ac:dyDescent="0.2">
      <c r="A203" s="587">
        <f t="shared" si="1"/>
        <v>42649</v>
      </c>
      <c r="B203" s="586">
        <v>360433.13</v>
      </c>
    </row>
    <row r="204" spans="1:5" x14ac:dyDescent="0.2">
      <c r="A204" s="587">
        <f t="shared" si="1"/>
        <v>42650</v>
      </c>
      <c r="B204" s="586">
        <v>361754.66</v>
      </c>
    </row>
    <row r="205" spans="1:5" x14ac:dyDescent="0.2">
      <c r="A205" s="587">
        <f t="shared" si="1"/>
        <v>42653</v>
      </c>
      <c r="B205" s="586">
        <v>361755</v>
      </c>
    </row>
    <row r="206" spans="1:5" x14ac:dyDescent="0.2">
      <c r="A206" s="587">
        <f t="shared" si="1"/>
        <v>42654</v>
      </c>
      <c r="B206" s="586">
        <v>361755</v>
      </c>
    </row>
    <row r="207" spans="1:5" x14ac:dyDescent="0.2">
      <c r="A207" s="587">
        <f t="shared" si="1"/>
        <v>42655</v>
      </c>
      <c r="B207" s="586">
        <v>365429.62</v>
      </c>
    </row>
    <row r="208" spans="1:5" x14ac:dyDescent="0.2">
      <c r="A208" s="587">
        <f t="shared" si="1"/>
        <v>42656</v>
      </c>
      <c r="B208" s="586">
        <v>375400.83</v>
      </c>
    </row>
    <row r="209" spans="1:2" x14ac:dyDescent="0.2">
      <c r="A209" s="587">
        <f t="shared" si="1"/>
        <v>42657</v>
      </c>
      <c r="B209" s="586">
        <v>375484.03</v>
      </c>
    </row>
    <row r="210" spans="1:2" x14ac:dyDescent="0.2">
      <c r="A210" s="587">
        <f t="shared" si="1"/>
        <v>42660</v>
      </c>
      <c r="B210" s="586">
        <v>339702.96</v>
      </c>
    </row>
    <row r="211" spans="1:2" x14ac:dyDescent="0.2">
      <c r="A211" s="587">
        <f t="shared" si="1"/>
        <v>42661</v>
      </c>
      <c r="B211" s="586">
        <v>343741.39</v>
      </c>
    </row>
    <row r="212" spans="1:2" x14ac:dyDescent="0.2">
      <c r="A212" s="587">
        <f t="shared" si="1"/>
        <v>42662</v>
      </c>
      <c r="B212" s="586">
        <v>343741</v>
      </c>
    </row>
    <row r="213" spans="1:2" x14ac:dyDescent="0.2">
      <c r="A213" s="587">
        <f t="shared" si="1"/>
        <v>42663</v>
      </c>
      <c r="B213" s="586">
        <v>332267.31</v>
      </c>
    </row>
    <row r="214" spans="1:2" x14ac:dyDescent="0.2">
      <c r="A214" s="587">
        <f t="shared" si="1"/>
        <v>42664</v>
      </c>
      <c r="B214" s="586">
        <v>332482.06</v>
      </c>
    </row>
    <row r="215" spans="1:2" x14ac:dyDescent="0.2">
      <c r="A215" s="587">
        <f t="shared" si="1"/>
        <v>42667</v>
      </c>
      <c r="B215" s="586">
        <v>332482</v>
      </c>
    </row>
    <row r="216" spans="1:2" x14ac:dyDescent="0.2">
      <c r="A216" s="587">
        <f t="shared" si="1"/>
        <v>42668</v>
      </c>
      <c r="B216" s="586">
        <v>337085.39</v>
      </c>
    </row>
    <row r="217" spans="1:2" x14ac:dyDescent="0.2">
      <c r="A217" s="587">
        <f t="shared" si="1"/>
        <v>42669</v>
      </c>
      <c r="B217" s="586">
        <v>337085</v>
      </c>
    </row>
    <row r="218" spans="1:2" x14ac:dyDescent="0.2">
      <c r="A218" s="587">
        <f t="shared" si="1"/>
        <v>42670</v>
      </c>
      <c r="B218" s="586">
        <v>333113.26</v>
      </c>
    </row>
    <row r="219" spans="1:2" x14ac:dyDescent="0.2">
      <c r="A219" s="587">
        <f t="shared" si="1"/>
        <v>42671</v>
      </c>
      <c r="B219" s="586">
        <v>360993.03</v>
      </c>
    </row>
    <row r="220" spans="1:2" x14ac:dyDescent="0.2">
      <c r="A220" s="587">
        <f t="shared" si="1"/>
        <v>42674</v>
      </c>
      <c r="B220" s="586">
        <v>350567.25</v>
      </c>
    </row>
    <row r="221" spans="1:2" x14ac:dyDescent="0.2">
      <c r="A221" s="587">
        <f t="shared" si="1"/>
        <v>42675</v>
      </c>
      <c r="B221" s="586">
        <v>350939.21</v>
      </c>
    </row>
    <row r="222" spans="1:2" x14ac:dyDescent="0.2">
      <c r="A222" s="587">
        <f t="shared" si="1"/>
        <v>42676</v>
      </c>
      <c r="B222" s="586">
        <v>350939</v>
      </c>
    </row>
    <row r="223" spans="1:2" x14ac:dyDescent="0.2">
      <c r="A223" s="587">
        <f t="shared" si="1"/>
        <v>42677</v>
      </c>
      <c r="B223" s="586">
        <v>344148.64</v>
      </c>
    </row>
    <row r="224" spans="1:2" x14ac:dyDescent="0.2">
      <c r="A224" s="587">
        <f t="shared" si="1"/>
        <v>42678</v>
      </c>
      <c r="B224" s="586">
        <v>399084.27</v>
      </c>
    </row>
    <row r="225" spans="1:2" x14ac:dyDescent="0.2">
      <c r="A225" s="587">
        <f t="shared" si="1"/>
        <v>42681</v>
      </c>
      <c r="B225" s="586">
        <v>399084</v>
      </c>
    </row>
    <row r="226" spans="1:2" x14ac:dyDescent="0.2">
      <c r="A226" s="587">
        <f t="shared" si="1"/>
        <v>42682</v>
      </c>
      <c r="B226" s="586">
        <v>403667.29</v>
      </c>
    </row>
    <row r="227" spans="1:2" x14ac:dyDescent="0.2">
      <c r="A227" s="587">
        <f t="shared" si="1"/>
        <v>42683</v>
      </c>
      <c r="B227" s="586">
        <v>403667</v>
      </c>
    </row>
    <row r="228" spans="1:2" x14ac:dyDescent="0.2">
      <c r="A228" s="587">
        <f t="shared" si="1"/>
        <v>42684</v>
      </c>
      <c r="B228" s="586">
        <v>383477.25</v>
      </c>
    </row>
    <row r="229" spans="1:2" x14ac:dyDescent="0.2">
      <c r="A229" s="587">
        <f t="shared" si="1"/>
        <v>42685</v>
      </c>
      <c r="B229" s="586">
        <v>383477</v>
      </c>
    </row>
    <row r="230" spans="1:2" x14ac:dyDescent="0.2">
      <c r="A230" s="587">
        <f t="shared" si="1"/>
        <v>42688</v>
      </c>
      <c r="B230" s="586">
        <v>347717.6</v>
      </c>
    </row>
    <row r="231" spans="1:2" x14ac:dyDescent="0.2">
      <c r="A231" s="587">
        <f t="shared" si="1"/>
        <v>42689</v>
      </c>
      <c r="B231" s="586">
        <v>347836.75</v>
      </c>
    </row>
    <row r="232" spans="1:2" x14ac:dyDescent="0.2">
      <c r="A232" s="587">
        <f t="shared" si="1"/>
        <v>42690</v>
      </c>
      <c r="B232" s="586">
        <v>347836.75</v>
      </c>
    </row>
    <row r="233" spans="1:2" x14ac:dyDescent="0.2">
      <c r="A233" s="587">
        <f t="shared" si="1"/>
        <v>42691</v>
      </c>
      <c r="B233" s="586">
        <v>350935.56</v>
      </c>
    </row>
    <row r="234" spans="1:2" x14ac:dyDescent="0.2">
      <c r="A234" s="587">
        <f t="shared" si="1"/>
        <v>42692</v>
      </c>
      <c r="B234" s="586">
        <v>350936</v>
      </c>
    </row>
    <row r="235" spans="1:2" x14ac:dyDescent="0.2">
      <c r="A235" s="587">
        <f t="shared" si="1"/>
        <v>42695</v>
      </c>
      <c r="B235" s="586">
        <v>350936</v>
      </c>
    </row>
    <row r="236" spans="1:2" x14ac:dyDescent="0.2">
      <c r="A236" s="587">
        <f t="shared" si="1"/>
        <v>42696</v>
      </c>
      <c r="B236" s="586">
        <v>351588.06</v>
      </c>
    </row>
    <row r="237" spans="1:2" x14ac:dyDescent="0.2">
      <c r="A237" s="587">
        <f t="shared" si="1"/>
        <v>42697</v>
      </c>
      <c r="B237" s="586">
        <v>349477.96</v>
      </c>
    </row>
    <row r="238" spans="1:2" x14ac:dyDescent="0.2">
      <c r="A238" s="587">
        <f t="shared" si="1"/>
        <v>42698</v>
      </c>
      <c r="B238" s="586">
        <v>349478</v>
      </c>
    </row>
    <row r="239" spans="1:2" x14ac:dyDescent="0.2">
      <c r="A239" s="587">
        <f t="shared" si="1"/>
        <v>42699</v>
      </c>
      <c r="B239" s="586">
        <v>368170.66</v>
      </c>
    </row>
    <row r="240" spans="1:2" x14ac:dyDescent="0.2">
      <c r="A240" s="587">
        <f t="shared" si="1"/>
        <v>42702</v>
      </c>
      <c r="B240" s="586">
        <v>368170.66</v>
      </c>
    </row>
    <row r="241" spans="1:2" x14ac:dyDescent="0.2">
      <c r="A241" s="587">
        <f t="shared" si="1"/>
        <v>42703</v>
      </c>
      <c r="B241" s="586">
        <v>328902.64</v>
      </c>
    </row>
    <row r="242" spans="1:2" x14ac:dyDescent="0.2">
      <c r="A242" s="587">
        <f t="shared" si="1"/>
        <v>42704</v>
      </c>
      <c r="B242" s="586">
        <v>338455.85</v>
      </c>
    </row>
    <row r="243" spans="1:2" x14ac:dyDescent="0.2">
      <c r="A243" s="587">
        <f t="shared" si="1"/>
        <v>42705</v>
      </c>
      <c r="B243" s="586">
        <v>336997.18</v>
      </c>
    </row>
    <row r="244" spans="1:2" x14ac:dyDescent="0.2">
      <c r="A244" s="587">
        <f t="shared" si="1"/>
        <v>42706</v>
      </c>
      <c r="B244" s="586">
        <v>342825.59</v>
      </c>
    </row>
    <row r="245" spans="1:2" x14ac:dyDescent="0.2">
      <c r="A245" s="587">
        <f t="shared" si="1"/>
        <v>42709</v>
      </c>
      <c r="B245" s="586">
        <v>342826</v>
      </c>
    </row>
    <row r="246" spans="1:2" x14ac:dyDescent="0.2">
      <c r="A246" s="587">
        <f t="shared" si="1"/>
        <v>42710</v>
      </c>
      <c r="B246" s="586">
        <v>344457.81</v>
      </c>
    </row>
    <row r="247" spans="1:2" x14ac:dyDescent="0.2">
      <c r="A247" s="587">
        <f t="shared" si="1"/>
        <v>42711</v>
      </c>
      <c r="B247" s="586">
        <v>366772.64</v>
      </c>
    </row>
    <row r="248" spans="1:2" x14ac:dyDescent="0.2">
      <c r="A248" s="587">
        <f t="shared" si="1"/>
        <v>42712</v>
      </c>
      <c r="B248" s="586">
        <v>366772.6</v>
      </c>
    </row>
    <row r="249" spans="1:2" x14ac:dyDescent="0.2">
      <c r="A249" s="587">
        <f t="shared" si="1"/>
        <v>42713</v>
      </c>
      <c r="B249" s="586">
        <v>366773</v>
      </c>
    </row>
    <row r="250" spans="1:2" x14ac:dyDescent="0.2">
      <c r="A250" s="587">
        <f t="shared" si="1"/>
        <v>42716</v>
      </c>
      <c r="B250" s="586">
        <v>366773</v>
      </c>
    </row>
    <row r="251" spans="1:2" x14ac:dyDescent="0.2">
      <c r="A251" s="587">
        <f t="shared" si="1"/>
        <v>42717</v>
      </c>
      <c r="B251" s="586">
        <v>346535.44</v>
      </c>
    </row>
    <row r="252" spans="1:2" x14ac:dyDescent="0.2">
      <c r="A252" s="587">
        <f t="shared" si="1"/>
        <v>42718</v>
      </c>
      <c r="B252" s="586">
        <v>346535</v>
      </c>
    </row>
    <row r="253" spans="1:2" x14ac:dyDescent="0.2">
      <c r="A253" s="587">
        <f t="shared" si="1"/>
        <v>42719</v>
      </c>
      <c r="B253" s="586">
        <v>335522.11</v>
      </c>
    </row>
    <row r="254" spans="1:2" x14ac:dyDescent="0.2">
      <c r="A254" s="587">
        <f t="shared" si="1"/>
        <v>42720</v>
      </c>
      <c r="B254" s="586">
        <v>335675.99</v>
      </c>
    </row>
    <row r="255" spans="1:2" x14ac:dyDescent="0.2">
      <c r="A255" s="587">
        <f t="shared" si="1"/>
        <v>42723</v>
      </c>
      <c r="B255" s="586">
        <v>357268.43</v>
      </c>
    </row>
    <row r="256" spans="1:2" x14ac:dyDescent="0.2">
      <c r="A256" s="587">
        <f t="shared" si="1"/>
        <v>42724</v>
      </c>
      <c r="B256" s="586">
        <v>357268</v>
      </c>
    </row>
    <row r="257" spans="1:2" x14ac:dyDescent="0.2">
      <c r="A257" s="587">
        <f t="shared" si="1"/>
        <v>42725</v>
      </c>
      <c r="B257" s="586">
        <v>366192.91</v>
      </c>
    </row>
    <row r="258" spans="1:2" x14ac:dyDescent="0.2">
      <c r="A258" s="587">
        <f t="shared" si="1"/>
        <v>42726</v>
      </c>
      <c r="B258" s="586">
        <v>377001.67</v>
      </c>
    </row>
    <row r="259" spans="1:2" x14ac:dyDescent="0.2">
      <c r="A259" s="587">
        <f t="shared" si="1"/>
        <v>42727</v>
      </c>
      <c r="B259" s="586">
        <v>377329.67</v>
      </c>
    </row>
    <row r="260" spans="1:2" x14ac:dyDescent="0.2">
      <c r="A260" s="587">
        <f t="shared" ref="A260:A264" si="2">A255+7</f>
        <v>42730</v>
      </c>
      <c r="B260" s="586">
        <v>377330</v>
      </c>
    </row>
    <row r="261" spans="1:2" x14ac:dyDescent="0.2">
      <c r="A261" s="587">
        <f t="shared" si="2"/>
        <v>42731</v>
      </c>
      <c r="B261" s="586">
        <v>339782.53</v>
      </c>
    </row>
    <row r="262" spans="1:2" x14ac:dyDescent="0.2">
      <c r="A262" s="587">
        <f t="shared" si="2"/>
        <v>42732</v>
      </c>
      <c r="B262" s="586">
        <v>339783</v>
      </c>
    </row>
    <row r="263" spans="1:2" x14ac:dyDescent="0.2">
      <c r="A263" s="587">
        <f t="shared" si="2"/>
        <v>42733</v>
      </c>
      <c r="B263" s="586">
        <v>337987.77</v>
      </c>
    </row>
    <row r="264" spans="1:2" x14ac:dyDescent="0.2">
      <c r="A264" s="587">
        <f t="shared" si="2"/>
        <v>42734</v>
      </c>
      <c r="B264" s="586">
        <v>354814.33</v>
      </c>
    </row>
    <row r="265" spans="1:2" x14ac:dyDescent="0.2">
      <c r="A265" s="616">
        <v>42737</v>
      </c>
      <c r="B265" s="617">
        <v>354814</v>
      </c>
    </row>
    <row r="266" spans="1:2" x14ac:dyDescent="0.2">
      <c r="A266" s="616">
        <v>42738</v>
      </c>
      <c r="B266" s="617">
        <v>361866.86</v>
      </c>
    </row>
    <row r="267" spans="1:2" x14ac:dyDescent="0.2">
      <c r="A267" s="616">
        <v>42739</v>
      </c>
      <c r="B267" s="617">
        <v>363519.32</v>
      </c>
    </row>
    <row r="268" spans="1:2" x14ac:dyDescent="0.2">
      <c r="A268" s="616">
        <v>42740</v>
      </c>
      <c r="B268" s="617">
        <v>361866.66</v>
      </c>
    </row>
    <row r="269" spans="1:2" x14ac:dyDescent="0.2">
      <c r="A269" s="616">
        <v>42741</v>
      </c>
      <c r="B269" s="617">
        <v>363519</v>
      </c>
    </row>
    <row r="270" spans="1:2" x14ac:dyDescent="0.2">
      <c r="A270" s="616">
        <v>42744</v>
      </c>
      <c r="B270" s="617">
        <v>363543.47</v>
      </c>
    </row>
    <row r="271" spans="1:2" x14ac:dyDescent="0.2">
      <c r="A271" s="616">
        <v>42745</v>
      </c>
      <c r="B271" s="617">
        <v>328707.83</v>
      </c>
    </row>
    <row r="272" spans="1:2" x14ac:dyDescent="0.2">
      <c r="A272" s="616">
        <v>42746</v>
      </c>
      <c r="B272" s="617">
        <v>328708</v>
      </c>
    </row>
    <row r="273" spans="1:2" x14ac:dyDescent="0.2">
      <c r="A273" s="616">
        <v>42747</v>
      </c>
      <c r="B273" s="617">
        <v>321086.01</v>
      </c>
    </row>
    <row r="274" spans="1:2" x14ac:dyDescent="0.2">
      <c r="A274" s="616">
        <v>42748</v>
      </c>
      <c r="B274" s="617">
        <v>334097.28000000003</v>
      </c>
    </row>
    <row r="275" spans="1:2" x14ac:dyDescent="0.2">
      <c r="A275" s="616">
        <v>42751</v>
      </c>
      <c r="B275" s="617">
        <v>334097</v>
      </c>
    </row>
    <row r="276" spans="1:2" x14ac:dyDescent="0.2">
      <c r="A276" s="616">
        <v>42752</v>
      </c>
      <c r="B276" s="617">
        <v>268850.96000000002</v>
      </c>
    </row>
    <row r="277" spans="1:2" x14ac:dyDescent="0.2">
      <c r="A277" s="616">
        <v>42753</v>
      </c>
      <c r="B277" s="617">
        <v>268851</v>
      </c>
    </row>
    <row r="278" spans="1:2" x14ac:dyDescent="0.2">
      <c r="A278" s="616">
        <v>42754</v>
      </c>
      <c r="B278" s="617">
        <v>269075.21000000002</v>
      </c>
    </row>
    <row r="279" spans="1:2" x14ac:dyDescent="0.2">
      <c r="A279" s="616">
        <v>42755</v>
      </c>
      <c r="B279" s="617">
        <v>270983.21000000002</v>
      </c>
    </row>
    <row r="280" spans="1:2" x14ac:dyDescent="0.2">
      <c r="A280" s="616">
        <v>42758</v>
      </c>
      <c r="B280" s="617">
        <v>270983</v>
      </c>
    </row>
    <row r="281" spans="1:2" x14ac:dyDescent="0.2">
      <c r="A281" s="616">
        <v>42759</v>
      </c>
      <c r="B281" s="617">
        <v>270723.98</v>
      </c>
    </row>
    <row r="282" spans="1:2" x14ac:dyDescent="0.2">
      <c r="A282" s="616">
        <v>42760</v>
      </c>
      <c r="B282" s="617">
        <v>281353.09999999998</v>
      </c>
    </row>
    <row r="283" spans="1:2" x14ac:dyDescent="0.2">
      <c r="A283" s="616">
        <v>42761</v>
      </c>
      <c r="B283" s="617">
        <v>274313.84999999998</v>
      </c>
    </row>
    <row r="284" spans="1:2" x14ac:dyDescent="0.2">
      <c r="A284" s="616">
        <v>42762</v>
      </c>
      <c r="B284" s="617">
        <v>296447.59999999998</v>
      </c>
    </row>
    <row r="285" spans="1:2" x14ac:dyDescent="0.2">
      <c r="A285" s="616">
        <v>42765</v>
      </c>
      <c r="B285" s="617">
        <v>295107.96000000002</v>
      </c>
    </row>
    <row r="286" spans="1:2" x14ac:dyDescent="0.2">
      <c r="A286" s="616">
        <v>42766</v>
      </c>
      <c r="B286" s="617">
        <v>314030.53000000003</v>
      </c>
    </row>
    <row r="287" spans="1:2" x14ac:dyDescent="0.2">
      <c r="A287" s="616">
        <v>42767</v>
      </c>
      <c r="B287" s="617">
        <v>314031</v>
      </c>
    </row>
    <row r="288" spans="1:2" x14ac:dyDescent="0.2">
      <c r="A288" s="616">
        <v>42768</v>
      </c>
      <c r="B288" s="617">
        <v>312808.53999999998</v>
      </c>
    </row>
    <row r="289" spans="1:2" x14ac:dyDescent="0.2">
      <c r="A289" s="616">
        <v>42769</v>
      </c>
      <c r="B289" s="617">
        <v>316461.53999999998</v>
      </c>
    </row>
    <row r="290" spans="1:2" x14ac:dyDescent="0.2">
      <c r="A290" s="616">
        <v>42772</v>
      </c>
      <c r="B290" s="617">
        <v>316462</v>
      </c>
    </row>
    <row r="291" spans="1:2" x14ac:dyDescent="0.2">
      <c r="A291" s="616">
        <v>42773</v>
      </c>
      <c r="B291" s="617">
        <v>289560.21999999997</v>
      </c>
    </row>
    <row r="292" spans="1:2" x14ac:dyDescent="0.2">
      <c r="A292" s="616">
        <v>42774</v>
      </c>
      <c r="B292" s="617">
        <v>297310.21999999997</v>
      </c>
    </row>
    <row r="293" spans="1:2" x14ac:dyDescent="0.2">
      <c r="A293" s="616">
        <v>42775</v>
      </c>
      <c r="B293" s="617">
        <v>352433.91</v>
      </c>
    </row>
    <row r="294" spans="1:2" x14ac:dyDescent="0.2">
      <c r="A294" s="616">
        <v>42776</v>
      </c>
      <c r="B294" s="617">
        <v>352434</v>
      </c>
    </row>
    <row r="295" spans="1:2" x14ac:dyDescent="0.2">
      <c r="A295" s="616">
        <v>42779</v>
      </c>
      <c r="B295" s="617">
        <v>352434</v>
      </c>
    </row>
    <row r="296" spans="1:2" x14ac:dyDescent="0.2">
      <c r="A296" s="616">
        <v>42780</v>
      </c>
      <c r="B296" s="617">
        <v>352434</v>
      </c>
    </row>
    <row r="297" spans="1:2" x14ac:dyDescent="0.2">
      <c r="A297" s="616">
        <v>42781</v>
      </c>
      <c r="B297" s="617">
        <v>352542.46</v>
      </c>
    </row>
    <row r="298" spans="1:2" x14ac:dyDescent="0.2">
      <c r="A298" s="616">
        <v>42782</v>
      </c>
      <c r="B298" s="617">
        <v>383231.99</v>
      </c>
    </row>
    <row r="299" spans="1:2" x14ac:dyDescent="0.2">
      <c r="A299" s="616">
        <v>42783</v>
      </c>
      <c r="B299" s="662">
        <v>404679.36</v>
      </c>
    </row>
    <row r="300" spans="1:2" x14ac:dyDescent="0.2">
      <c r="A300" s="616">
        <v>42785</v>
      </c>
      <c r="B300" s="617">
        <v>404679</v>
      </c>
    </row>
    <row r="301" spans="1:2" x14ac:dyDescent="0.2">
      <c r="A301" s="616">
        <v>42787</v>
      </c>
      <c r="B301" s="617">
        <v>368703.72</v>
      </c>
    </row>
    <row r="302" spans="1:2" x14ac:dyDescent="0.2">
      <c r="A302" s="616">
        <v>42788</v>
      </c>
      <c r="B302" s="617">
        <v>368203.72</v>
      </c>
    </row>
    <row r="303" spans="1:2" x14ac:dyDescent="0.2">
      <c r="A303" s="616">
        <v>42789</v>
      </c>
      <c r="B303" s="617">
        <v>349211.92</v>
      </c>
    </row>
    <row r="304" spans="1:2" x14ac:dyDescent="0.2">
      <c r="A304" s="616">
        <v>42790</v>
      </c>
      <c r="B304" s="617">
        <v>384176.45</v>
      </c>
    </row>
    <row r="305" spans="1:2" x14ac:dyDescent="0.2">
      <c r="A305" s="616">
        <v>42793</v>
      </c>
      <c r="B305" s="617">
        <v>384176</v>
      </c>
    </row>
    <row r="306" spans="1:2" x14ac:dyDescent="0.2">
      <c r="A306" s="616">
        <v>42794</v>
      </c>
      <c r="B306" s="617">
        <v>384176</v>
      </c>
    </row>
    <row r="307" spans="1:2" x14ac:dyDescent="0.2">
      <c r="A307" s="616">
        <v>42795</v>
      </c>
      <c r="B307" s="617">
        <v>384176</v>
      </c>
    </row>
    <row r="308" spans="1:2" x14ac:dyDescent="0.2">
      <c r="A308" s="616">
        <v>42796</v>
      </c>
      <c r="B308" s="617">
        <v>395396.43</v>
      </c>
    </row>
    <row r="309" spans="1:2" x14ac:dyDescent="0.2">
      <c r="A309" s="616">
        <v>42797</v>
      </c>
      <c r="B309" s="617">
        <v>395396</v>
      </c>
    </row>
    <row r="310" spans="1:2" x14ac:dyDescent="0.2">
      <c r="A310" s="616">
        <v>42800</v>
      </c>
      <c r="B310" s="617">
        <v>395396</v>
      </c>
    </row>
    <row r="311" spans="1:2" x14ac:dyDescent="0.2">
      <c r="A311" s="616">
        <v>42801</v>
      </c>
      <c r="B311" s="617">
        <v>361856.47</v>
      </c>
    </row>
    <row r="312" spans="1:2" x14ac:dyDescent="0.2">
      <c r="A312" s="616">
        <v>42802</v>
      </c>
      <c r="B312" s="617">
        <v>361856</v>
      </c>
    </row>
    <row r="313" spans="1:2" x14ac:dyDescent="0.2">
      <c r="A313" s="616">
        <v>42803</v>
      </c>
      <c r="B313" s="617">
        <v>349877.16</v>
      </c>
    </row>
    <row r="314" spans="1:2" x14ac:dyDescent="0.2">
      <c r="A314" s="616">
        <v>42804</v>
      </c>
      <c r="B314" s="617">
        <v>359297.81</v>
      </c>
    </row>
    <row r="315" spans="1:2" x14ac:dyDescent="0.2">
      <c r="A315" s="616">
        <v>42807</v>
      </c>
      <c r="B315" s="617">
        <v>361678.91</v>
      </c>
    </row>
    <row r="316" spans="1:2" x14ac:dyDescent="0.2">
      <c r="A316" s="616">
        <v>42808</v>
      </c>
      <c r="B316" s="617">
        <v>361679</v>
      </c>
    </row>
    <row r="317" spans="1:2" x14ac:dyDescent="0.2">
      <c r="A317" s="616">
        <v>42809</v>
      </c>
      <c r="B317" s="617">
        <v>370843.37</v>
      </c>
    </row>
    <row r="318" spans="1:2" x14ac:dyDescent="0.2">
      <c r="A318" s="616">
        <v>42810</v>
      </c>
      <c r="B318" s="617">
        <v>377566.07</v>
      </c>
    </row>
    <row r="319" spans="1:2" x14ac:dyDescent="0.2">
      <c r="A319" s="616">
        <v>42811</v>
      </c>
      <c r="B319" s="617">
        <v>370373.97</v>
      </c>
    </row>
    <row r="320" spans="1:2" x14ac:dyDescent="0.2">
      <c r="A320" s="616">
        <v>42814</v>
      </c>
      <c r="B320" s="617">
        <v>338340.3</v>
      </c>
    </row>
    <row r="321" spans="1:2" x14ac:dyDescent="0.2">
      <c r="A321" s="616">
        <v>42815</v>
      </c>
      <c r="B321" s="617">
        <v>338340</v>
      </c>
    </row>
    <row r="322" spans="1:2" x14ac:dyDescent="0.2">
      <c r="A322" s="616">
        <v>42816</v>
      </c>
      <c r="B322" s="617">
        <v>338340</v>
      </c>
    </row>
    <row r="323" spans="1:2" x14ac:dyDescent="0.2">
      <c r="A323" s="616">
        <v>42817</v>
      </c>
      <c r="B323" s="617">
        <f>25944.71+322493.66</f>
        <v>348438.37</v>
      </c>
    </row>
    <row r="324" spans="1:2" x14ac:dyDescent="0.2">
      <c r="A324" s="616">
        <v>42818</v>
      </c>
      <c r="B324" s="617">
        <v>348438</v>
      </c>
    </row>
    <row r="325" spans="1:2" x14ac:dyDescent="0.2">
      <c r="A325" s="616">
        <v>42821</v>
      </c>
      <c r="B325" s="617">
        <v>348360.51</v>
      </c>
    </row>
    <row r="326" spans="1:2" x14ac:dyDescent="0.2">
      <c r="A326" s="616">
        <v>42822</v>
      </c>
      <c r="B326" s="586">
        <v>348440.48</v>
      </c>
    </row>
    <row r="327" spans="1:2" x14ac:dyDescent="0.2">
      <c r="A327" s="616">
        <v>42823</v>
      </c>
      <c r="B327" s="586">
        <v>348440</v>
      </c>
    </row>
    <row r="328" spans="1:2" x14ac:dyDescent="0.2">
      <c r="A328" s="616">
        <v>42824</v>
      </c>
      <c r="B328" s="586">
        <v>350305.92</v>
      </c>
    </row>
    <row r="329" spans="1:2" x14ac:dyDescent="0.2">
      <c r="A329" s="616">
        <v>42825</v>
      </c>
      <c r="B329" s="586">
        <v>350306</v>
      </c>
    </row>
    <row r="330" spans="1:2" x14ac:dyDescent="0.2">
      <c r="A330" s="616">
        <v>42828</v>
      </c>
      <c r="B330" s="586">
        <v>350306</v>
      </c>
    </row>
    <row r="331" spans="1:2" x14ac:dyDescent="0.2">
      <c r="A331" s="616">
        <v>42829</v>
      </c>
      <c r="B331" s="586">
        <v>320389.65000000002</v>
      </c>
    </row>
    <row r="332" spans="1:2" x14ac:dyDescent="0.2">
      <c r="A332" s="616">
        <v>42830</v>
      </c>
      <c r="B332" s="586">
        <v>320390</v>
      </c>
    </row>
    <row r="333" spans="1:2" x14ac:dyDescent="0.2">
      <c r="A333" s="616">
        <v>42831</v>
      </c>
      <c r="B333" s="586">
        <v>313344</v>
      </c>
    </row>
    <row r="334" spans="1:2" x14ac:dyDescent="0.2">
      <c r="A334" s="616">
        <v>42832</v>
      </c>
      <c r="B334" s="586">
        <v>313344</v>
      </c>
    </row>
    <row r="335" spans="1:2" x14ac:dyDescent="0.2">
      <c r="A335" s="616">
        <v>42835</v>
      </c>
      <c r="B335" s="586">
        <v>306132.78000000003</v>
      </c>
    </row>
    <row r="336" spans="1:2" x14ac:dyDescent="0.2">
      <c r="A336" s="616">
        <v>42836</v>
      </c>
      <c r="B336" s="586">
        <v>286047.34999999998</v>
      </c>
    </row>
    <row r="337" spans="1:2" x14ac:dyDescent="0.2">
      <c r="A337" s="616">
        <v>42837</v>
      </c>
      <c r="B337" s="586">
        <v>286047</v>
      </c>
    </row>
    <row r="338" spans="1:2" x14ac:dyDescent="0.2">
      <c r="A338" s="616">
        <v>42838</v>
      </c>
      <c r="B338" s="586">
        <v>272128.99</v>
      </c>
    </row>
    <row r="339" spans="1:2" x14ac:dyDescent="0.2">
      <c r="A339" s="616">
        <v>42839</v>
      </c>
      <c r="B339" s="586">
        <v>272229.71000000002</v>
      </c>
    </row>
    <row r="340" spans="1:2" x14ac:dyDescent="0.2">
      <c r="A340" s="616">
        <v>42842</v>
      </c>
      <c r="B340" s="586">
        <v>236683.56</v>
      </c>
    </row>
    <row r="341" spans="1:2" x14ac:dyDescent="0.2">
      <c r="A341" s="616">
        <v>42843</v>
      </c>
      <c r="B341" s="586">
        <v>244114.64</v>
      </c>
    </row>
    <row r="342" spans="1:2" x14ac:dyDescent="0.2">
      <c r="A342" s="616">
        <v>42844</v>
      </c>
      <c r="B342" s="586">
        <v>244115</v>
      </c>
    </row>
    <row r="343" spans="1:2" x14ac:dyDescent="0.2">
      <c r="A343" s="616">
        <v>42845</v>
      </c>
      <c r="B343" s="586">
        <v>241798.76</v>
      </c>
    </row>
    <row r="344" spans="1:2" x14ac:dyDescent="0.2">
      <c r="A344" s="616">
        <v>42846</v>
      </c>
      <c r="B344" s="586">
        <v>241799</v>
      </c>
    </row>
    <row r="345" spans="1:2" x14ac:dyDescent="0.2">
      <c r="A345" s="616">
        <v>42849</v>
      </c>
      <c r="B345" s="586">
        <v>241973.76000000001</v>
      </c>
    </row>
    <row r="346" spans="1:2" x14ac:dyDescent="0.2">
      <c r="A346" s="616">
        <v>42850</v>
      </c>
      <c r="B346" s="586">
        <v>243364.2</v>
      </c>
    </row>
    <row r="347" spans="1:2" x14ac:dyDescent="0.2">
      <c r="A347" s="616">
        <v>42851</v>
      </c>
      <c r="B347" s="586">
        <v>243364</v>
      </c>
    </row>
    <row r="348" spans="1:2" x14ac:dyDescent="0.2">
      <c r="A348" s="616">
        <v>42852</v>
      </c>
      <c r="B348" s="586">
        <v>259265.45</v>
      </c>
    </row>
    <row r="349" spans="1:2" x14ac:dyDescent="0.2">
      <c r="A349" s="616">
        <v>42853</v>
      </c>
      <c r="B349" s="586">
        <v>290731.18</v>
      </c>
    </row>
    <row r="350" spans="1:2" x14ac:dyDescent="0.2">
      <c r="A350" s="616">
        <v>42856</v>
      </c>
      <c r="B350" s="586">
        <v>251486.17</v>
      </c>
    </row>
    <row r="351" spans="1:2" x14ac:dyDescent="0.2">
      <c r="A351" s="616">
        <v>42857</v>
      </c>
      <c r="B351" s="586">
        <v>253188.17</v>
      </c>
    </row>
    <row r="352" spans="1:2" x14ac:dyDescent="0.2">
      <c r="A352" s="616">
        <v>42858</v>
      </c>
      <c r="B352" s="586">
        <v>253188</v>
      </c>
    </row>
    <row r="353" spans="1:2" x14ac:dyDescent="0.2">
      <c r="A353" s="616">
        <v>42859</v>
      </c>
      <c r="B353" s="586">
        <v>232739.33</v>
      </c>
    </row>
    <row r="354" spans="1:2" x14ac:dyDescent="0.2">
      <c r="A354" s="616">
        <v>42860</v>
      </c>
      <c r="B354" s="586">
        <v>234049.33</v>
      </c>
    </row>
    <row r="355" spans="1:2" x14ac:dyDescent="0.2">
      <c r="A355" s="616">
        <v>42863</v>
      </c>
      <c r="B355" s="586">
        <v>314317.77</v>
      </c>
    </row>
    <row r="356" spans="1:2" x14ac:dyDescent="0.2">
      <c r="A356" s="616">
        <v>42864</v>
      </c>
      <c r="B356" s="586">
        <v>314318</v>
      </c>
    </row>
    <row r="357" spans="1:2" x14ac:dyDescent="0.2">
      <c r="A357" s="616">
        <v>42865</v>
      </c>
      <c r="B357" s="586">
        <v>314318</v>
      </c>
    </row>
    <row r="358" spans="1:2" x14ac:dyDescent="0.2">
      <c r="A358" s="616">
        <v>42866</v>
      </c>
      <c r="B358" s="586">
        <v>313971.28000000003</v>
      </c>
    </row>
    <row r="359" spans="1:2" x14ac:dyDescent="0.2">
      <c r="A359" s="616">
        <v>42867</v>
      </c>
      <c r="B359" s="586">
        <v>313971</v>
      </c>
    </row>
    <row r="360" spans="1:2" x14ac:dyDescent="0.2">
      <c r="A360" s="616">
        <v>42870</v>
      </c>
      <c r="B360" s="586">
        <v>271063.69</v>
      </c>
    </row>
    <row r="361" spans="1:2" x14ac:dyDescent="0.2">
      <c r="A361" s="616">
        <v>42871</v>
      </c>
      <c r="B361" s="586">
        <v>271064</v>
      </c>
    </row>
    <row r="362" spans="1:2" x14ac:dyDescent="0.2">
      <c r="A362" s="616">
        <v>42872</v>
      </c>
      <c r="B362" s="586">
        <v>271064</v>
      </c>
    </row>
    <row r="363" spans="1:2" x14ac:dyDescent="0.2">
      <c r="A363" s="616">
        <v>42873</v>
      </c>
      <c r="B363" s="586">
        <v>261497.73</v>
      </c>
    </row>
    <row r="364" spans="1:2" x14ac:dyDescent="0.2">
      <c r="A364" s="616">
        <v>42874</v>
      </c>
      <c r="B364" s="586">
        <v>311507.92</v>
      </c>
    </row>
    <row r="365" spans="1:2" x14ac:dyDescent="0.2">
      <c r="A365" s="616">
        <v>42877</v>
      </c>
      <c r="B365" s="586">
        <v>290080.52</v>
      </c>
    </row>
    <row r="366" spans="1:2" x14ac:dyDescent="0.2">
      <c r="A366" s="616">
        <v>42878</v>
      </c>
      <c r="B366" s="586">
        <v>290081</v>
      </c>
    </row>
    <row r="367" spans="1:2" x14ac:dyDescent="0.2">
      <c r="A367" s="616">
        <v>42879</v>
      </c>
      <c r="B367" s="586">
        <v>327080.46000000002</v>
      </c>
    </row>
    <row r="368" spans="1:2" x14ac:dyDescent="0.2">
      <c r="A368" s="616">
        <v>42880</v>
      </c>
      <c r="B368" s="586">
        <v>327080</v>
      </c>
    </row>
    <row r="369" spans="1:2" x14ac:dyDescent="0.2">
      <c r="A369" s="616">
        <v>42881</v>
      </c>
      <c r="B369" s="586">
        <v>336844.12</v>
      </c>
    </row>
    <row r="370" spans="1:2" x14ac:dyDescent="0.2">
      <c r="A370" s="616">
        <v>42884</v>
      </c>
      <c r="B370" s="586">
        <v>336844</v>
      </c>
    </row>
    <row r="371" spans="1:2" x14ac:dyDescent="0.2">
      <c r="A371" s="616">
        <v>42885</v>
      </c>
      <c r="B371" s="586">
        <v>300553.48</v>
      </c>
    </row>
    <row r="372" spans="1:2" x14ac:dyDescent="0.2">
      <c r="A372" s="616">
        <v>42886</v>
      </c>
      <c r="B372" s="586">
        <v>296887.5</v>
      </c>
    </row>
    <row r="373" spans="1:2" x14ac:dyDescent="0.2">
      <c r="A373" s="616">
        <v>42887</v>
      </c>
      <c r="B373" s="586">
        <v>297355.68</v>
      </c>
    </row>
    <row r="374" spans="1:2" x14ac:dyDescent="0.2">
      <c r="A374" s="616">
        <v>42888</v>
      </c>
      <c r="B374" s="586">
        <v>298760.68</v>
      </c>
    </row>
    <row r="375" spans="1:2" x14ac:dyDescent="0.2">
      <c r="A375" s="616">
        <v>42891</v>
      </c>
      <c r="B375" s="586">
        <v>279006.82</v>
      </c>
    </row>
    <row r="376" spans="1:2" x14ac:dyDescent="0.2">
      <c r="A376" s="616">
        <v>42892</v>
      </c>
      <c r="B376" s="586">
        <v>279007</v>
      </c>
    </row>
    <row r="377" spans="1:2" x14ac:dyDescent="0.2">
      <c r="A377" s="616">
        <v>42893</v>
      </c>
      <c r="B377" s="586">
        <v>279007</v>
      </c>
    </row>
    <row r="378" spans="1:2" x14ac:dyDescent="0.2">
      <c r="A378" s="616">
        <v>42894</v>
      </c>
      <c r="B378" s="586">
        <v>279112.07</v>
      </c>
    </row>
    <row r="379" spans="1:2" x14ac:dyDescent="0.2">
      <c r="A379" s="616">
        <v>42895</v>
      </c>
      <c r="B379" s="586">
        <v>279112</v>
      </c>
    </row>
    <row r="380" spans="1:2" x14ac:dyDescent="0.2">
      <c r="A380" s="616">
        <v>42898</v>
      </c>
      <c r="B380" s="586">
        <v>244072.02</v>
      </c>
    </row>
    <row r="381" spans="1:2" x14ac:dyDescent="0.2">
      <c r="A381" s="616">
        <v>42899</v>
      </c>
      <c r="B381" s="586">
        <v>249325.41</v>
      </c>
    </row>
    <row r="382" spans="1:2" x14ac:dyDescent="0.2">
      <c r="A382" s="616">
        <v>42900</v>
      </c>
      <c r="B382" s="586">
        <v>249325</v>
      </c>
    </row>
    <row r="383" spans="1:2" x14ac:dyDescent="0.2">
      <c r="A383" s="616">
        <v>42901</v>
      </c>
      <c r="B383" s="586">
        <v>252874.48</v>
      </c>
    </row>
    <row r="384" spans="1:2" x14ac:dyDescent="0.2">
      <c r="A384" s="616">
        <v>42902</v>
      </c>
      <c r="B384" s="586">
        <v>253128.65</v>
      </c>
    </row>
    <row r="385" spans="1:2" x14ac:dyDescent="0.2">
      <c r="A385" s="616">
        <v>42905</v>
      </c>
      <c r="B385" s="586">
        <v>255098.96</v>
      </c>
    </row>
    <row r="386" spans="1:2" x14ac:dyDescent="0.2">
      <c r="A386" s="616">
        <v>42906</v>
      </c>
      <c r="B386" s="586">
        <v>253521.42</v>
      </c>
    </row>
    <row r="387" spans="1:2" x14ac:dyDescent="0.2">
      <c r="A387" s="616">
        <v>42907</v>
      </c>
      <c r="B387" s="586">
        <v>253521</v>
      </c>
    </row>
    <row r="388" spans="1:2" x14ac:dyDescent="0.2">
      <c r="A388" s="616">
        <v>42908</v>
      </c>
      <c r="B388" s="586">
        <v>235912.36</v>
      </c>
    </row>
    <row r="389" spans="1:2" x14ac:dyDescent="0.2">
      <c r="A389" s="616">
        <v>42909</v>
      </c>
      <c r="B389" s="586">
        <v>235912</v>
      </c>
    </row>
    <row r="390" spans="1:2" x14ac:dyDescent="0.2">
      <c r="A390" s="616">
        <v>42912</v>
      </c>
      <c r="B390" s="663">
        <v>198879.76</v>
      </c>
    </row>
    <row r="391" spans="1:2" x14ac:dyDescent="0.2">
      <c r="A391" s="616">
        <v>42913</v>
      </c>
      <c r="B391" s="586">
        <v>199009.76</v>
      </c>
    </row>
    <row r="392" spans="1:2" x14ac:dyDescent="0.2">
      <c r="A392" s="616">
        <v>42914</v>
      </c>
      <c r="B392" s="586">
        <v>199010</v>
      </c>
    </row>
    <row r="393" spans="1:2" x14ac:dyDescent="0.2">
      <c r="A393" s="616">
        <v>42915</v>
      </c>
      <c r="B393" s="586">
        <v>210354</v>
      </c>
    </row>
    <row r="394" spans="1:2" x14ac:dyDescent="0.2">
      <c r="A394" s="616">
        <v>42916</v>
      </c>
      <c r="B394" s="586">
        <v>260779.62</v>
      </c>
    </row>
    <row r="395" spans="1:2" x14ac:dyDescent="0.2">
      <c r="A395" s="616">
        <v>42919</v>
      </c>
      <c r="B395" s="586">
        <v>260780</v>
      </c>
    </row>
    <row r="396" spans="1:2" x14ac:dyDescent="0.2">
      <c r="A396" s="616">
        <v>42920</v>
      </c>
      <c r="B396" s="586">
        <v>260780</v>
      </c>
    </row>
    <row r="397" spans="1:2" x14ac:dyDescent="0.2">
      <c r="A397" s="616">
        <v>42921</v>
      </c>
      <c r="B397" s="586">
        <v>260780</v>
      </c>
    </row>
    <row r="398" spans="1:2" x14ac:dyDescent="0.2">
      <c r="A398" s="616">
        <v>42922</v>
      </c>
      <c r="B398" s="586">
        <v>261774.11</v>
      </c>
    </row>
    <row r="399" spans="1:2" x14ac:dyDescent="0.2">
      <c r="A399" s="616">
        <v>42923</v>
      </c>
      <c r="B399" s="586">
        <v>261774</v>
      </c>
    </row>
    <row r="400" spans="1:2" x14ac:dyDescent="0.2">
      <c r="A400" s="616">
        <v>42926</v>
      </c>
      <c r="B400" s="586">
        <v>226950.89</v>
      </c>
    </row>
    <row r="401" spans="1:2" x14ac:dyDescent="0.2">
      <c r="A401" s="616">
        <v>42927</v>
      </c>
      <c r="B401" s="586">
        <v>226951</v>
      </c>
    </row>
    <row r="402" spans="1:2" x14ac:dyDescent="0.2">
      <c r="A402" s="616">
        <v>42928</v>
      </c>
      <c r="B402" s="586">
        <v>248711.94</v>
      </c>
    </row>
    <row r="403" spans="1:2" x14ac:dyDescent="0.2">
      <c r="A403" s="616">
        <v>42929</v>
      </c>
      <c r="B403" s="586">
        <v>256201.58</v>
      </c>
    </row>
    <row r="404" spans="1:2" x14ac:dyDescent="0.2">
      <c r="A404" s="616">
        <v>42930</v>
      </c>
      <c r="B404" s="586">
        <v>256272.97</v>
      </c>
    </row>
    <row r="405" spans="1:2" x14ac:dyDescent="0.2">
      <c r="A405" s="616">
        <v>42933</v>
      </c>
      <c r="B405" s="586">
        <v>256056.42</v>
      </c>
    </row>
    <row r="406" spans="1:2" x14ac:dyDescent="0.2">
      <c r="A406" s="616">
        <v>42934</v>
      </c>
      <c r="B406" s="586">
        <v>257213.96</v>
      </c>
    </row>
    <row r="407" spans="1:2" x14ac:dyDescent="0.2">
      <c r="A407" s="616">
        <v>42935</v>
      </c>
      <c r="B407" s="586">
        <v>257214</v>
      </c>
    </row>
    <row r="408" spans="1:2" x14ac:dyDescent="0.2">
      <c r="A408" s="616">
        <v>42936</v>
      </c>
      <c r="B408" s="586">
        <v>260075.5</v>
      </c>
    </row>
    <row r="409" spans="1:2" x14ac:dyDescent="0.2">
      <c r="A409" s="616">
        <v>42937</v>
      </c>
      <c r="B409" s="586">
        <v>339825.5</v>
      </c>
    </row>
    <row r="410" spans="1:2" x14ac:dyDescent="0.2">
      <c r="A410" s="616">
        <v>42940</v>
      </c>
      <c r="B410" s="586">
        <v>303182.65000000002</v>
      </c>
    </row>
    <row r="411" spans="1:2" x14ac:dyDescent="0.2">
      <c r="A411" s="616">
        <v>42941</v>
      </c>
      <c r="B411" s="586">
        <v>322340.12</v>
      </c>
    </row>
    <row r="412" spans="1:2" x14ac:dyDescent="0.2">
      <c r="A412" s="616">
        <v>42942</v>
      </c>
      <c r="B412" s="586">
        <v>322340</v>
      </c>
    </row>
    <row r="413" spans="1:2" x14ac:dyDescent="0.2">
      <c r="A413" s="616">
        <v>42943</v>
      </c>
      <c r="B413" s="586">
        <v>308772.78999999998</v>
      </c>
    </row>
    <row r="414" spans="1:2" x14ac:dyDescent="0.2">
      <c r="A414" s="616">
        <v>42944</v>
      </c>
      <c r="B414" s="586">
        <v>317343.40999999997</v>
      </c>
    </row>
    <row r="415" spans="1:2" x14ac:dyDescent="0.2">
      <c r="A415" s="616">
        <v>42947</v>
      </c>
      <c r="B415" s="586">
        <v>317343</v>
      </c>
    </row>
    <row r="416" spans="1:2" x14ac:dyDescent="0.2">
      <c r="A416" s="616">
        <v>42948</v>
      </c>
      <c r="B416" s="586">
        <v>369152.35</v>
      </c>
    </row>
    <row r="417" spans="1:2" x14ac:dyDescent="0.2">
      <c r="A417" s="616">
        <v>42949</v>
      </c>
      <c r="B417" s="586">
        <v>371061.94</v>
      </c>
    </row>
    <row r="418" spans="1:2" x14ac:dyDescent="0.2">
      <c r="A418" s="616">
        <v>42950</v>
      </c>
      <c r="B418" s="586">
        <v>372080.87</v>
      </c>
    </row>
    <row r="419" spans="1:2" x14ac:dyDescent="0.2">
      <c r="A419" s="616">
        <v>42951</v>
      </c>
      <c r="B419" s="586">
        <v>372080.87</v>
      </c>
    </row>
    <row r="420" spans="1:2" x14ac:dyDescent="0.2">
      <c r="A420" s="616">
        <v>42954</v>
      </c>
      <c r="B420" s="586">
        <v>336189.47</v>
      </c>
    </row>
    <row r="421" spans="1:2" x14ac:dyDescent="0.2">
      <c r="A421" s="616">
        <v>42955</v>
      </c>
      <c r="B421" s="586">
        <v>340998.07</v>
      </c>
    </row>
    <row r="422" spans="1:2" x14ac:dyDescent="0.2">
      <c r="A422" s="616">
        <v>42956</v>
      </c>
      <c r="B422" s="586">
        <v>332763.65000000002</v>
      </c>
    </row>
    <row r="423" spans="1:2" x14ac:dyDescent="0.2">
      <c r="A423" s="616">
        <v>42957</v>
      </c>
      <c r="B423" s="586">
        <v>375651.45</v>
      </c>
    </row>
    <row r="424" spans="1:2" x14ac:dyDescent="0.2">
      <c r="A424" s="616">
        <v>42958</v>
      </c>
      <c r="B424" s="586">
        <v>378293.21</v>
      </c>
    </row>
    <row r="425" spans="1:2" x14ac:dyDescent="0.2">
      <c r="A425" s="616">
        <v>42961</v>
      </c>
      <c r="B425" s="586">
        <v>378293</v>
      </c>
    </row>
    <row r="426" spans="1:2" x14ac:dyDescent="0.2">
      <c r="A426" s="616">
        <v>42962</v>
      </c>
      <c r="B426" s="586">
        <v>401190.06</v>
      </c>
    </row>
    <row r="427" spans="1:2" x14ac:dyDescent="0.2">
      <c r="A427" s="616">
        <v>42963</v>
      </c>
      <c r="B427" s="586">
        <v>401190</v>
      </c>
    </row>
    <row r="428" spans="1:2" x14ac:dyDescent="0.2">
      <c r="A428" s="616">
        <v>42964</v>
      </c>
      <c r="B428" s="586">
        <v>401569.72</v>
      </c>
    </row>
    <row r="429" spans="1:2" x14ac:dyDescent="0.2">
      <c r="A429" s="616">
        <v>42965</v>
      </c>
      <c r="B429" s="586">
        <v>403837.72</v>
      </c>
    </row>
    <row r="430" spans="1:2" x14ac:dyDescent="0.2">
      <c r="A430" s="616">
        <v>42968</v>
      </c>
      <c r="B430" s="586">
        <v>369495.17</v>
      </c>
    </row>
    <row r="431" spans="1:2" x14ac:dyDescent="0.2">
      <c r="A431" s="616">
        <v>42969</v>
      </c>
      <c r="B431" s="586">
        <v>379169.06</v>
      </c>
    </row>
    <row r="432" spans="1:2" x14ac:dyDescent="0.2">
      <c r="A432" s="616">
        <v>42970</v>
      </c>
      <c r="B432" s="586">
        <v>379169</v>
      </c>
    </row>
    <row r="433" spans="1:2" x14ac:dyDescent="0.2">
      <c r="A433" s="616">
        <v>42971</v>
      </c>
      <c r="B433" s="586">
        <v>372540.41</v>
      </c>
    </row>
    <row r="434" spans="1:2" x14ac:dyDescent="0.2">
      <c r="A434" s="616">
        <v>42972</v>
      </c>
      <c r="B434" s="586">
        <v>372540</v>
      </c>
    </row>
    <row r="435" spans="1:2" x14ac:dyDescent="0.2">
      <c r="A435" s="616">
        <v>42975</v>
      </c>
      <c r="B435" s="586">
        <v>372540</v>
      </c>
    </row>
    <row r="436" spans="1:2" x14ac:dyDescent="0.2">
      <c r="A436" s="616">
        <v>42976</v>
      </c>
      <c r="B436" s="586">
        <v>374625.25</v>
      </c>
    </row>
    <row r="437" spans="1:2" x14ac:dyDescent="0.2">
      <c r="A437" s="616">
        <v>42977</v>
      </c>
      <c r="B437" s="586">
        <v>382658.46</v>
      </c>
    </row>
    <row r="438" spans="1:2" x14ac:dyDescent="0.2">
      <c r="A438" s="616">
        <v>42978</v>
      </c>
      <c r="B438" s="586">
        <v>389160.26</v>
      </c>
    </row>
    <row r="439" spans="1:2" x14ac:dyDescent="0.2">
      <c r="A439" s="616">
        <v>42979</v>
      </c>
      <c r="B439" s="586">
        <v>389160</v>
      </c>
    </row>
    <row r="440" spans="1:2" x14ac:dyDescent="0.2">
      <c r="A440" s="616">
        <v>42982</v>
      </c>
      <c r="B440" s="586">
        <v>389160</v>
      </c>
    </row>
    <row r="441" spans="1:2" x14ac:dyDescent="0.2">
      <c r="A441" s="616">
        <v>42983</v>
      </c>
      <c r="B441" s="586">
        <v>352908.42</v>
      </c>
    </row>
    <row r="442" spans="1:2" x14ac:dyDescent="0.2">
      <c r="A442" s="616">
        <v>42984</v>
      </c>
      <c r="B442" s="586">
        <v>383959.41</v>
      </c>
    </row>
    <row r="443" spans="1:2" x14ac:dyDescent="0.2">
      <c r="A443" s="616">
        <v>42985</v>
      </c>
      <c r="B443" s="586">
        <v>403148.81</v>
      </c>
    </row>
    <row r="444" spans="1:2" x14ac:dyDescent="0.2">
      <c r="A444" s="616">
        <v>42986</v>
      </c>
      <c r="B444" s="586">
        <v>403344.11</v>
      </c>
    </row>
    <row r="445" spans="1:2" x14ac:dyDescent="0.2">
      <c r="A445" s="616">
        <v>42989</v>
      </c>
      <c r="B445" s="586">
        <v>403344</v>
      </c>
    </row>
    <row r="446" spans="1:2" x14ac:dyDescent="0.2">
      <c r="A446" s="616">
        <v>42990</v>
      </c>
      <c r="B446" s="586">
        <v>403344</v>
      </c>
    </row>
    <row r="447" spans="1:2" x14ac:dyDescent="0.2">
      <c r="A447" s="616">
        <v>42991</v>
      </c>
      <c r="B447" s="586">
        <v>403344</v>
      </c>
    </row>
    <row r="448" spans="1:2" x14ac:dyDescent="0.2">
      <c r="A448" s="616">
        <v>42992</v>
      </c>
      <c r="B448" s="586">
        <v>399784.25</v>
      </c>
    </row>
    <row r="449" spans="1:2" x14ac:dyDescent="0.2">
      <c r="A449" s="616">
        <v>42993</v>
      </c>
      <c r="B449" s="586">
        <v>399902.41</v>
      </c>
    </row>
    <row r="450" spans="1:2" x14ac:dyDescent="0.2">
      <c r="A450" s="616">
        <v>42996</v>
      </c>
      <c r="B450" s="586">
        <v>364572.56</v>
      </c>
    </row>
    <row r="451" spans="1:2" x14ac:dyDescent="0.2">
      <c r="A451" s="616">
        <v>42997</v>
      </c>
      <c r="B451" s="586">
        <v>371571.78</v>
      </c>
    </row>
    <row r="452" spans="1:2" x14ac:dyDescent="0.2">
      <c r="A452" s="616">
        <v>42998</v>
      </c>
    </row>
    <row r="453" spans="1:2" x14ac:dyDescent="0.2">
      <c r="A453" s="616">
        <v>42999</v>
      </c>
    </row>
    <row r="454" spans="1:2" x14ac:dyDescent="0.2">
      <c r="A454" s="616">
        <v>43000</v>
      </c>
    </row>
    <row r="455" spans="1:2" x14ac:dyDescent="0.2">
      <c r="A455" s="616">
        <v>43003</v>
      </c>
    </row>
    <row r="456" spans="1:2" x14ac:dyDescent="0.2">
      <c r="A456" s="616">
        <v>43004</v>
      </c>
    </row>
    <row r="457" spans="1:2" x14ac:dyDescent="0.2">
      <c r="A457" s="616">
        <v>43005</v>
      </c>
    </row>
    <row r="458" spans="1:2" x14ac:dyDescent="0.2">
      <c r="A458" s="616">
        <v>43006</v>
      </c>
    </row>
    <row r="459" spans="1:2" x14ac:dyDescent="0.2">
      <c r="A459" s="616">
        <v>43007</v>
      </c>
    </row>
    <row r="460" spans="1:2" x14ac:dyDescent="0.2">
      <c r="A460" s="616">
        <v>43010</v>
      </c>
    </row>
    <row r="461" spans="1:2" x14ac:dyDescent="0.2">
      <c r="A461" s="616">
        <v>43011</v>
      </c>
    </row>
    <row r="462" spans="1:2" x14ac:dyDescent="0.2">
      <c r="A462" s="616">
        <v>43012</v>
      </c>
    </row>
    <row r="463" spans="1:2" x14ac:dyDescent="0.2">
      <c r="A463" s="616">
        <v>43013</v>
      </c>
    </row>
    <row r="464" spans="1:2" x14ac:dyDescent="0.2">
      <c r="A464" s="616">
        <v>43014</v>
      </c>
    </row>
    <row r="465" spans="1:1" x14ac:dyDescent="0.2">
      <c r="A465" s="616">
        <v>43017</v>
      </c>
    </row>
    <row r="466" spans="1:1" x14ac:dyDescent="0.2">
      <c r="A466" s="616">
        <v>43018</v>
      </c>
    </row>
    <row r="467" spans="1:1" x14ac:dyDescent="0.2">
      <c r="A467" s="616">
        <v>43019</v>
      </c>
    </row>
    <row r="468" spans="1:1" x14ac:dyDescent="0.2">
      <c r="A468" s="616">
        <v>43020</v>
      </c>
    </row>
    <row r="469" spans="1:1" x14ac:dyDescent="0.2">
      <c r="A469" s="616">
        <v>43021</v>
      </c>
    </row>
    <row r="470" spans="1:1" x14ac:dyDescent="0.2">
      <c r="A470" s="616">
        <v>43024</v>
      </c>
    </row>
    <row r="471" spans="1:1" x14ac:dyDescent="0.2">
      <c r="A471" s="616">
        <v>43025</v>
      </c>
    </row>
    <row r="472" spans="1:1" x14ac:dyDescent="0.2">
      <c r="A472" s="616">
        <v>43026</v>
      </c>
    </row>
    <row r="473" spans="1:1" x14ac:dyDescent="0.2">
      <c r="A473" s="616">
        <v>43027</v>
      </c>
    </row>
    <row r="474" spans="1:1" x14ac:dyDescent="0.2">
      <c r="A474" s="616">
        <v>43028</v>
      </c>
    </row>
    <row r="475" spans="1:1" x14ac:dyDescent="0.2">
      <c r="A475" s="616">
        <v>43031</v>
      </c>
    </row>
    <row r="476" spans="1:1" x14ac:dyDescent="0.2">
      <c r="A476" s="616">
        <v>43032</v>
      </c>
    </row>
    <row r="477" spans="1:1" x14ac:dyDescent="0.2">
      <c r="A477" s="616">
        <v>43033</v>
      </c>
    </row>
    <row r="478" spans="1:1" x14ac:dyDescent="0.2">
      <c r="A478" s="616">
        <v>43034</v>
      </c>
    </row>
    <row r="484" spans="1:2" x14ac:dyDescent="0.2">
      <c r="A484" s="621" t="s">
        <v>372</v>
      </c>
      <c r="B484" s="586">
        <f>MAX(B265:B481)</f>
        <v>404679.36</v>
      </c>
    </row>
    <row r="485" spans="1:2" x14ac:dyDescent="0.2">
      <c r="A485" s="621" t="s">
        <v>373</v>
      </c>
      <c r="B485" s="586">
        <f>MIN(B265:B481)</f>
        <v>198879.76</v>
      </c>
    </row>
    <row r="515" spans="1:2" x14ac:dyDescent="0.2">
      <c r="A515" s="621" t="s">
        <v>372</v>
      </c>
      <c r="B515" s="586">
        <f>MAX(B400:B512)</f>
        <v>404679.36</v>
      </c>
    </row>
    <row r="516" spans="1:2" x14ac:dyDescent="0.2">
      <c r="A516" s="621" t="s">
        <v>373</v>
      </c>
      <c r="B516" s="586">
        <f>MIN(B400:B512)</f>
        <v>198879.76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1"/>
  <sheetViews>
    <sheetView topLeftCell="A2" zoomScaleNormal="100" workbookViewId="0">
      <selection activeCell="F17" sqref="F17"/>
    </sheetView>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34</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424</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79" t="s">
        <v>177</v>
      </c>
      <c r="B5" s="280"/>
      <c r="C5" s="280"/>
      <c r="D5" s="280"/>
      <c r="E5" s="280"/>
      <c r="F5" s="280"/>
      <c r="G5" s="280"/>
      <c r="H5" s="280"/>
      <c r="I5" s="280"/>
      <c r="J5" s="280"/>
      <c r="K5" s="281"/>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480" t="s">
        <v>26</v>
      </c>
      <c r="B6" s="458" t="s">
        <v>16</v>
      </c>
      <c r="C6" s="458" t="s">
        <v>1</v>
      </c>
      <c r="D6" s="458" t="s">
        <v>2</v>
      </c>
      <c r="E6" s="458" t="s">
        <v>3</v>
      </c>
      <c r="F6" s="282" t="s">
        <v>13</v>
      </c>
      <c r="G6" s="282" t="s">
        <v>31</v>
      </c>
      <c r="H6" s="282" t="s">
        <v>230</v>
      </c>
      <c r="I6" s="282" t="s">
        <v>30</v>
      </c>
      <c r="J6" s="282" t="s">
        <v>23</v>
      </c>
      <c r="K6" s="282" t="s">
        <v>105</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481" t="s">
        <v>338</v>
      </c>
      <c r="B7" s="396" t="s">
        <v>18</v>
      </c>
      <c r="C7" s="318" t="s">
        <v>172</v>
      </c>
      <c r="D7" s="317">
        <v>42461</v>
      </c>
      <c r="E7" s="317">
        <v>42825</v>
      </c>
      <c r="F7" s="339"/>
      <c r="G7" s="321"/>
      <c r="H7" s="321"/>
      <c r="I7" s="321"/>
      <c r="J7" s="321"/>
      <c r="K7" s="332"/>
      <c r="L7" s="46"/>
      <c r="M7" s="29"/>
      <c r="N7" s="29"/>
    </row>
    <row r="8" spans="1:48" x14ac:dyDescent="0.2">
      <c r="A8" s="482" t="s">
        <v>369</v>
      </c>
      <c r="B8" s="397" t="s">
        <v>18</v>
      </c>
      <c r="C8" s="355" t="s">
        <v>172</v>
      </c>
      <c r="D8" s="336">
        <v>42826</v>
      </c>
      <c r="E8" s="336">
        <v>43190</v>
      </c>
      <c r="F8" s="337">
        <v>189383</v>
      </c>
      <c r="G8" s="338">
        <f>+(+I8-H8)</f>
        <v>44803.3</v>
      </c>
      <c r="H8" s="338">
        <f>'August''17 AR Aging '!G7</f>
        <v>27088.92</v>
      </c>
      <c r="I8" s="338">
        <v>71892.22</v>
      </c>
      <c r="J8" s="638">
        <f>+F8-I8</f>
        <v>117490.78</v>
      </c>
      <c r="K8" s="407"/>
      <c r="L8" s="272"/>
      <c r="M8" s="309"/>
      <c r="N8" s="29"/>
    </row>
    <row r="9" spans="1:48" x14ac:dyDescent="0.2">
      <c r="A9" s="481" t="s">
        <v>325</v>
      </c>
      <c r="B9" s="396" t="s">
        <v>17</v>
      </c>
      <c r="C9" s="318" t="s">
        <v>179</v>
      </c>
      <c r="D9" s="317">
        <v>42826</v>
      </c>
      <c r="E9" s="317">
        <v>43190</v>
      </c>
      <c r="F9" s="339">
        <v>26286</v>
      </c>
      <c r="G9" s="321">
        <f>I9-H9</f>
        <v>0</v>
      </c>
      <c r="H9" s="321">
        <f>'August''17 AR Aging '!G11</f>
        <v>10000</v>
      </c>
      <c r="I9" s="321">
        <f>H9</f>
        <v>10000</v>
      </c>
      <c r="J9" s="321">
        <f>F9-I9</f>
        <v>16286</v>
      </c>
      <c r="K9" s="321"/>
      <c r="L9" s="272"/>
      <c r="M9" s="309"/>
      <c r="N9" s="29"/>
    </row>
    <row r="10" spans="1:48" x14ac:dyDescent="0.2">
      <c r="A10" s="481" t="s">
        <v>333</v>
      </c>
      <c r="B10" s="396" t="s">
        <v>17</v>
      </c>
      <c r="C10" s="318" t="s">
        <v>179</v>
      </c>
      <c r="D10" s="317">
        <v>42552</v>
      </c>
      <c r="E10" s="317">
        <v>42916</v>
      </c>
      <c r="F10" s="339">
        <v>319000</v>
      </c>
      <c r="G10" s="321">
        <f>I10-H10</f>
        <v>287186.93</v>
      </c>
      <c r="H10" s="321">
        <f>'August''17 AR Aging '!G12</f>
        <v>31032.89</v>
      </c>
      <c r="I10" s="321">
        <v>318219.82</v>
      </c>
      <c r="J10" s="321">
        <f>+F10-I10</f>
        <v>780.17999999999302</v>
      </c>
      <c r="K10" s="321"/>
      <c r="L10" s="272"/>
      <c r="M10" s="309"/>
      <c r="N10" s="29"/>
    </row>
    <row r="11" spans="1:48" x14ac:dyDescent="0.2">
      <c r="A11" s="482" t="s">
        <v>425</v>
      </c>
      <c r="B11" s="397" t="s">
        <v>17</v>
      </c>
      <c r="C11" s="355" t="s">
        <v>179</v>
      </c>
      <c r="D11" s="336">
        <v>42917</v>
      </c>
      <c r="E11" s="336">
        <v>43281</v>
      </c>
      <c r="F11" s="337">
        <v>319000</v>
      </c>
      <c r="G11" s="338">
        <f>I11-H11</f>
        <v>12902.600000000002</v>
      </c>
      <c r="H11" s="338">
        <f>'August''17 AR Aging '!G13</f>
        <v>23961.98</v>
      </c>
      <c r="I11" s="338">
        <v>36864.58</v>
      </c>
      <c r="J11" s="338">
        <f>F11-I11</f>
        <v>282135.42</v>
      </c>
      <c r="K11" s="407">
        <v>66847.399999999994</v>
      </c>
      <c r="L11" s="272"/>
      <c r="M11" s="309"/>
      <c r="N11" s="29"/>
    </row>
    <row r="12" spans="1:48" x14ac:dyDescent="0.2">
      <c r="A12" s="481" t="s">
        <v>326</v>
      </c>
      <c r="B12" s="396" t="s">
        <v>17</v>
      </c>
      <c r="C12" s="318" t="s">
        <v>180</v>
      </c>
      <c r="D12" s="317">
        <v>42826</v>
      </c>
      <c r="E12" s="317">
        <v>43190</v>
      </c>
      <c r="F12" s="339">
        <v>11536</v>
      </c>
      <c r="G12" s="321"/>
      <c r="H12" s="321">
        <f>'August''17 AR Aging '!G17</f>
        <v>2024.41</v>
      </c>
      <c r="I12" s="321">
        <f>H12</f>
        <v>2024.41</v>
      </c>
      <c r="J12" s="537">
        <f>F12-I12</f>
        <v>9511.59</v>
      </c>
      <c r="K12" s="464"/>
      <c r="L12" s="272"/>
      <c r="M12" s="309"/>
      <c r="N12" s="29"/>
    </row>
    <row r="13" spans="1:48" s="4" customFormat="1" hidden="1" x14ac:dyDescent="0.2">
      <c r="A13" s="481" t="s">
        <v>334</v>
      </c>
      <c r="B13" s="396" t="s">
        <v>17</v>
      </c>
      <c r="C13" s="318" t="s">
        <v>180</v>
      </c>
      <c r="D13" s="317">
        <v>42461</v>
      </c>
      <c r="E13" s="317">
        <v>42825</v>
      </c>
      <c r="F13" s="339"/>
      <c r="G13" s="321"/>
      <c r="H13" s="321"/>
      <c r="I13" s="321"/>
      <c r="J13" s="321"/>
      <c r="K13" s="483">
        <v>0</v>
      </c>
      <c r="L13" s="272"/>
      <c r="M13" s="309"/>
      <c r="N13" s="29"/>
      <c r="O13" s="29"/>
      <c r="P13" s="29"/>
      <c r="Q13" s="29"/>
      <c r="R13" s="29"/>
      <c r="S13" s="29"/>
      <c r="T13" s="29"/>
      <c r="U13" s="29"/>
      <c r="V13" s="29"/>
      <c r="W13" s="29"/>
      <c r="X13" s="29"/>
      <c r="Y13" s="29"/>
      <c r="Z13" s="29"/>
      <c r="AA13" s="29"/>
      <c r="AB13" s="11"/>
      <c r="AC13" s="11"/>
      <c r="AD13" s="11"/>
      <c r="AE13" s="11"/>
      <c r="AF13" s="11"/>
      <c r="AG13" s="11"/>
      <c r="AH13" s="11"/>
      <c r="AI13" s="11"/>
      <c r="AJ13" s="11"/>
      <c r="AK13" s="11"/>
      <c r="AL13" s="11"/>
      <c r="AM13" s="1"/>
      <c r="AN13" s="1"/>
      <c r="AO13" s="1"/>
      <c r="AP13" s="1"/>
      <c r="AQ13" s="1"/>
      <c r="AR13" s="1"/>
      <c r="AS13" s="1"/>
      <c r="AT13" s="1"/>
      <c r="AU13" s="1"/>
      <c r="AV13" s="1"/>
    </row>
    <row r="14" spans="1:48" s="4" customFormat="1" x14ac:dyDescent="0.2">
      <c r="A14" s="481" t="s">
        <v>370</v>
      </c>
      <c r="B14" s="396" t="s">
        <v>17</v>
      </c>
      <c r="C14" s="318" t="s">
        <v>180</v>
      </c>
      <c r="D14" s="317">
        <v>42826</v>
      </c>
      <c r="E14" s="317">
        <v>43190</v>
      </c>
      <c r="F14" s="339">
        <v>133000</v>
      </c>
      <c r="G14" s="321">
        <f>I14-H14</f>
        <v>37226.350000000006</v>
      </c>
      <c r="H14" s="321">
        <f>'August''17 AR Aging '!G19</f>
        <v>13043.77</v>
      </c>
      <c r="I14" s="321">
        <v>50270.12</v>
      </c>
      <c r="J14" s="321">
        <f>+F14-I14</f>
        <v>82729.88</v>
      </c>
      <c r="K14" s="483">
        <v>12583.84</v>
      </c>
      <c r="L14" s="272"/>
      <c r="M14" s="309"/>
      <c r="N14" s="29"/>
      <c r="O14" s="29"/>
      <c r="P14" s="29"/>
      <c r="Q14" s="29"/>
      <c r="R14" s="29"/>
      <c r="S14" s="29"/>
      <c r="T14" s="29"/>
      <c r="U14" s="29"/>
      <c r="V14" s="29"/>
      <c r="W14" s="29"/>
      <c r="X14" s="29"/>
      <c r="Y14" s="29"/>
      <c r="Z14" s="29"/>
      <c r="AA14" s="29"/>
      <c r="AB14" s="11"/>
      <c r="AC14" s="11"/>
      <c r="AD14" s="11"/>
      <c r="AE14" s="11"/>
      <c r="AF14" s="11"/>
      <c r="AG14" s="11"/>
      <c r="AH14" s="11"/>
      <c r="AI14" s="11"/>
      <c r="AJ14" s="11"/>
      <c r="AK14" s="11"/>
      <c r="AL14" s="11"/>
      <c r="AM14" s="1"/>
      <c r="AN14" s="1"/>
      <c r="AO14" s="1"/>
      <c r="AP14" s="1"/>
      <c r="AQ14" s="1"/>
      <c r="AR14" s="1"/>
      <c r="AS14" s="1"/>
      <c r="AT14" s="1"/>
      <c r="AU14" s="1"/>
      <c r="AV14" s="1"/>
    </row>
    <row r="15" spans="1:48" s="4" customFormat="1" hidden="1" x14ac:dyDescent="0.2">
      <c r="A15" s="481" t="s">
        <v>205</v>
      </c>
      <c r="B15" s="396" t="s">
        <v>17</v>
      </c>
      <c r="C15" s="318" t="s">
        <v>181</v>
      </c>
      <c r="D15" s="317">
        <v>42461</v>
      </c>
      <c r="E15" s="317">
        <v>42825</v>
      </c>
      <c r="F15" s="433"/>
      <c r="G15" s="321"/>
      <c r="H15" s="321"/>
      <c r="I15" s="321"/>
      <c r="J15" s="321"/>
      <c r="K15" s="321"/>
      <c r="L15" s="272"/>
      <c r="M15" s="309"/>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4" customFormat="1" x14ac:dyDescent="0.2">
      <c r="A16" s="481" t="s">
        <v>205</v>
      </c>
      <c r="B16" s="396" t="s">
        <v>17</v>
      </c>
      <c r="C16" s="318" t="s">
        <v>181</v>
      </c>
      <c r="D16" s="317">
        <v>42826</v>
      </c>
      <c r="E16" s="317">
        <v>43190</v>
      </c>
      <c r="F16" s="433">
        <v>16332</v>
      </c>
      <c r="G16" s="321">
        <f>+(+I16-H16)</f>
        <v>4090.4199999999996</v>
      </c>
      <c r="H16" s="321">
        <f>'August''17 AR Aging '!G21</f>
        <v>2858.31</v>
      </c>
      <c r="I16" s="321">
        <v>6948.73</v>
      </c>
      <c r="J16" s="321">
        <f t="shared" ref="J16" si="0">+F16-I16</f>
        <v>9383.27</v>
      </c>
      <c r="K16" s="321"/>
      <c r="L16" s="272"/>
      <c r="M16" s="309"/>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x14ac:dyDescent="0.2">
      <c r="A17" s="482" t="s">
        <v>206</v>
      </c>
      <c r="B17" s="397" t="s">
        <v>175</v>
      </c>
      <c r="C17" s="355" t="s">
        <v>327</v>
      </c>
      <c r="D17" s="336">
        <v>42946</v>
      </c>
      <c r="E17" s="336">
        <v>43280</v>
      </c>
      <c r="F17" s="664" t="s">
        <v>426</v>
      </c>
      <c r="G17" s="338">
        <f>+(+I17-H17)</f>
        <v>0</v>
      </c>
      <c r="H17" s="338">
        <f>'August''17 AR Aging '!G22</f>
        <v>1071.72</v>
      </c>
      <c r="I17" s="338">
        <v>1071.72</v>
      </c>
      <c r="J17" s="407" t="s">
        <v>426</v>
      </c>
      <c r="K17" s="338"/>
      <c r="L17" s="272"/>
      <c r="M17" s="309"/>
      <c r="N17" s="29"/>
    </row>
    <row r="18" spans="1:48" hidden="1" x14ac:dyDescent="0.2">
      <c r="A18" s="481" t="s">
        <v>5</v>
      </c>
      <c r="B18" s="396" t="s">
        <v>17</v>
      </c>
      <c r="C18" s="318" t="s">
        <v>6</v>
      </c>
      <c r="D18" s="317">
        <v>40544</v>
      </c>
      <c r="E18" s="317">
        <v>40908</v>
      </c>
      <c r="F18" s="339"/>
      <c r="G18" s="321"/>
      <c r="H18" s="321"/>
      <c r="I18" s="321"/>
      <c r="J18" s="321"/>
      <c r="K18" s="321"/>
      <c r="L18" s="272"/>
      <c r="M18" s="309" t="e">
        <f t="shared" ref="M18:M19" si="1">I18/F18</f>
        <v>#DIV/0!</v>
      </c>
      <c r="N18" s="29" t="e">
        <f t="shared" ref="N18:N19" si="2">M18*12</f>
        <v>#DIV/0!</v>
      </c>
    </row>
    <row r="19" spans="1:48" hidden="1" x14ac:dyDescent="0.2">
      <c r="A19" s="481" t="s">
        <v>56</v>
      </c>
      <c r="B19" s="396" t="s">
        <v>17</v>
      </c>
      <c r="C19" s="318" t="e">
        <f>#REF!</f>
        <v>#REF!</v>
      </c>
      <c r="D19" s="317" t="e">
        <f>#REF!</f>
        <v>#REF!</v>
      </c>
      <c r="E19" s="317">
        <v>40999</v>
      </c>
      <c r="F19" s="339"/>
      <c r="G19" s="405"/>
      <c r="H19" s="321"/>
      <c r="I19" s="321"/>
      <c r="J19" s="321"/>
      <c r="K19" s="321"/>
      <c r="L19" s="272"/>
      <c r="M19" s="309" t="e">
        <f t="shared" si="1"/>
        <v>#DIV/0!</v>
      </c>
      <c r="N19" s="29" t="e">
        <f t="shared" si="2"/>
        <v>#DIV/0!</v>
      </c>
    </row>
    <row r="20" spans="1:48" hidden="1" x14ac:dyDescent="0.2">
      <c r="A20" s="481"/>
      <c r="B20" s="402"/>
      <c r="C20" s="403"/>
      <c r="D20" s="404"/>
      <c r="E20" s="404"/>
      <c r="F20" s="434"/>
      <c r="G20" s="321"/>
      <c r="H20" s="406"/>
      <c r="I20" s="406"/>
      <c r="J20" s="406"/>
      <c r="K20" s="406"/>
      <c r="L20" s="272"/>
      <c r="M20" s="309"/>
      <c r="N20" s="29"/>
    </row>
    <row r="21" spans="1:48" hidden="1" x14ac:dyDescent="0.2">
      <c r="A21" s="481" t="s">
        <v>336</v>
      </c>
      <c r="B21" s="396" t="s">
        <v>17</v>
      </c>
      <c r="C21" s="318" t="s">
        <v>173</v>
      </c>
      <c r="D21" s="404">
        <v>42278</v>
      </c>
      <c r="E21" s="317">
        <v>42643</v>
      </c>
      <c r="F21" s="339"/>
      <c r="G21" s="321"/>
      <c r="H21" s="321">
        <f>'August''17 AR Aging '!G30</f>
        <v>0</v>
      </c>
      <c r="I21" s="321"/>
      <c r="J21" s="537"/>
      <c r="K21" s="332"/>
      <c r="L21" s="272"/>
      <c r="M21" s="309"/>
      <c r="N21" s="29"/>
    </row>
    <row r="22" spans="1:48" x14ac:dyDescent="0.2">
      <c r="A22" s="482" t="s">
        <v>337</v>
      </c>
      <c r="B22" s="397" t="s">
        <v>17</v>
      </c>
      <c r="C22" s="355" t="s">
        <v>173</v>
      </c>
      <c r="D22" s="336">
        <v>42644</v>
      </c>
      <c r="E22" s="336">
        <v>43008</v>
      </c>
      <c r="F22" s="337">
        <v>315000</v>
      </c>
      <c r="G22" s="338">
        <f>I22-H22</f>
        <v>202587.21</v>
      </c>
      <c r="H22" s="338">
        <f>'August''17 AR Aging '!G31</f>
        <v>42355.82</v>
      </c>
      <c r="I22" s="338">
        <v>244943.03</v>
      </c>
      <c r="J22" s="338">
        <f>+F22-I22</f>
        <v>70056.97</v>
      </c>
      <c r="K22" s="338"/>
      <c r="L22" s="272"/>
      <c r="M22" s="309"/>
      <c r="N22" s="29"/>
    </row>
    <row r="23" spans="1:48" hidden="1" x14ac:dyDescent="0.2">
      <c r="A23" s="615" t="s">
        <v>261</v>
      </c>
      <c r="B23" s="538" t="s">
        <v>260</v>
      </c>
      <c r="C23" s="539" t="s">
        <v>262</v>
      </c>
      <c r="D23" s="438">
        <v>42461</v>
      </c>
      <c r="E23" s="438">
        <v>42735</v>
      </c>
      <c r="F23" s="540"/>
      <c r="G23" s="541"/>
      <c r="H23" s="541"/>
      <c r="I23" s="541"/>
      <c r="J23" s="541"/>
      <c r="K23" s="541"/>
      <c r="L23" s="272"/>
      <c r="M23" s="309"/>
      <c r="N23" s="29"/>
    </row>
    <row r="24" spans="1:48" s="3" customFormat="1" x14ac:dyDescent="0.2">
      <c r="A24" s="481" t="s">
        <v>339</v>
      </c>
      <c r="B24" s="396" t="s">
        <v>20</v>
      </c>
      <c r="C24" s="318" t="s">
        <v>7</v>
      </c>
      <c r="D24" s="317">
        <v>42736</v>
      </c>
      <c r="E24" s="317">
        <v>43100</v>
      </c>
      <c r="F24" s="339">
        <f>3458.33*12</f>
        <v>41499.96</v>
      </c>
      <c r="G24" s="321">
        <f>I24-H24</f>
        <v>20749.98</v>
      </c>
      <c r="H24" s="321">
        <f>'August''17 AR Aging '!G39</f>
        <v>6916.66</v>
      </c>
      <c r="I24" s="321">
        <f>F24/12*8</f>
        <v>27666.639999999999</v>
      </c>
      <c r="J24" s="321">
        <f>F24-I24</f>
        <v>13833.32</v>
      </c>
      <c r="K24" s="321"/>
      <c r="L24" s="272"/>
      <c r="M24" s="309"/>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x14ac:dyDescent="0.2">
      <c r="A25" s="481" t="s">
        <v>210</v>
      </c>
      <c r="B25" s="396" t="s">
        <v>20</v>
      </c>
      <c r="C25" s="318" t="s">
        <v>25</v>
      </c>
      <c r="D25" s="317">
        <v>42736</v>
      </c>
      <c r="E25" s="317">
        <v>43007</v>
      </c>
      <c r="F25" s="339">
        <v>2710</v>
      </c>
      <c r="G25" s="321">
        <f>I25-H25</f>
        <v>1452.71</v>
      </c>
      <c r="H25" s="321">
        <f>'August''17 AR Aging '!G45</f>
        <v>596.13</v>
      </c>
      <c r="I25" s="321">
        <v>2048.84</v>
      </c>
      <c r="J25" s="321">
        <f>+F25-I25</f>
        <v>661.15999999999985</v>
      </c>
      <c r="K25" s="321"/>
      <c r="L25" s="272"/>
      <c r="M25" s="309"/>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x14ac:dyDescent="0.2">
      <c r="A26" s="481" t="s">
        <v>335</v>
      </c>
      <c r="B26" s="396" t="s">
        <v>20</v>
      </c>
      <c r="C26" s="318" t="s">
        <v>25</v>
      </c>
      <c r="D26" s="317">
        <v>42644</v>
      </c>
      <c r="E26" s="317">
        <v>43008</v>
      </c>
      <c r="F26" s="339">
        <v>43987</v>
      </c>
      <c r="G26" s="321">
        <f>+(+I26-H26)</f>
        <v>32680.400000000001</v>
      </c>
      <c r="H26" s="339">
        <f>'August''17 AR Aging '!G48</f>
        <v>7012.36</v>
      </c>
      <c r="I26" s="321">
        <v>39692.76</v>
      </c>
      <c r="J26" s="321">
        <f t="shared" ref="J26:J27" si="3">+F26-I26</f>
        <v>4294.239999999998</v>
      </c>
      <c r="K26" s="537"/>
      <c r="L26" s="272"/>
      <c r="M26" s="309"/>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x14ac:dyDescent="0.2">
      <c r="A27" s="482" t="s">
        <v>228</v>
      </c>
      <c r="B27" s="397" t="s">
        <v>20</v>
      </c>
      <c r="C27" s="355" t="s">
        <v>25</v>
      </c>
      <c r="D27" s="336">
        <v>42736</v>
      </c>
      <c r="E27" s="336">
        <v>43190</v>
      </c>
      <c r="F27" s="493">
        <v>97102</v>
      </c>
      <c r="G27" s="338">
        <f>+(+I27-H27)</f>
        <v>32883.100000000006</v>
      </c>
      <c r="H27" s="337">
        <f>'August''17 AR Aging '!G46</f>
        <v>13136.95</v>
      </c>
      <c r="I27" s="338">
        <v>46020.05</v>
      </c>
      <c r="J27" s="338">
        <f t="shared" si="3"/>
        <v>51081.95</v>
      </c>
      <c r="K27" s="338"/>
      <c r="L27" s="272"/>
      <c r="M27" s="309"/>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x14ac:dyDescent="0.2">
      <c r="A28" s="482" t="s">
        <v>186</v>
      </c>
      <c r="B28" s="397" t="s">
        <v>194</v>
      </c>
      <c r="C28" s="355" t="s">
        <v>25</v>
      </c>
      <c r="D28" s="438">
        <v>42736</v>
      </c>
      <c r="E28" s="336">
        <v>43100</v>
      </c>
      <c r="F28" s="337">
        <v>13000</v>
      </c>
      <c r="G28" s="338">
        <f>+(+I28-H28)</f>
        <v>5105</v>
      </c>
      <c r="H28" s="337">
        <f>'August''17 AR Aging '!G54</f>
        <v>1857.5</v>
      </c>
      <c r="I28" s="338">
        <v>6962.5</v>
      </c>
      <c r="J28" s="338">
        <f t="shared" ref="J28:J29" si="4">+F28-I28</f>
        <v>6037.5</v>
      </c>
      <c r="K28" s="338"/>
      <c r="L28" s="272"/>
      <c r="M28" s="309"/>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ht="15" thickBot="1" x14ac:dyDescent="0.25">
      <c r="A29" s="557" t="s">
        <v>384</v>
      </c>
      <c r="B29" s="435" t="s">
        <v>154</v>
      </c>
      <c r="C29" s="319" t="s">
        <v>25</v>
      </c>
      <c r="D29" s="436">
        <v>42477</v>
      </c>
      <c r="E29" s="436">
        <v>43042</v>
      </c>
      <c r="F29" s="445">
        <v>29208</v>
      </c>
      <c r="G29" s="322">
        <f>+(+I29-H29)</f>
        <v>11669.87</v>
      </c>
      <c r="H29" s="333">
        <f>'August''17 AR Aging '!G58</f>
        <v>1660.49</v>
      </c>
      <c r="I29" s="322">
        <v>13330.36</v>
      </c>
      <c r="J29" s="322">
        <f t="shared" si="4"/>
        <v>15877.64</v>
      </c>
      <c r="K29" s="322"/>
      <c r="L29" s="272"/>
      <c r="M29" s="309"/>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17" customFormat="1" ht="16.5" thickBot="1" x14ac:dyDescent="0.3">
      <c r="A30" s="283" t="s">
        <v>41</v>
      </c>
      <c r="B30" s="284"/>
      <c r="C30" s="285"/>
      <c r="D30" s="286"/>
      <c r="E30" s="286"/>
      <c r="F30" s="311"/>
      <c r="G30" s="311">
        <f>SUM(G8:G29)-G18</f>
        <v>693337.86999999988</v>
      </c>
      <c r="H30" s="311">
        <f>SUM(H7:H29)</f>
        <v>184617.91</v>
      </c>
      <c r="I30" s="311">
        <f>SUM(I8:I29)-I18</f>
        <v>877955.78</v>
      </c>
      <c r="J30" s="311">
        <f>SUM(J8:J29)-J18</f>
        <v>680159.9</v>
      </c>
      <c r="K30" s="311">
        <f>SUM(K8:K29)-K18</f>
        <v>79431.239999999991</v>
      </c>
      <c r="L30" s="47"/>
      <c r="M30" s="37"/>
      <c r="N30" s="37"/>
      <c r="O30" s="37"/>
      <c r="P30" s="37"/>
      <c r="Q30" s="37"/>
      <c r="R30" s="37"/>
      <c r="S30" s="37"/>
      <c r="T30" s="37"/>
      <c r="U30" s="37"/>
      <c r="V30" s="37"/>
      <c r="W30" s="37"/>
      <c r="X30" s="37"/>
      <c r="Y30" s="37"/>
      <c r="Z30" s="37"/>
      <c r="AA30" s="37"/>
      <c r="AB30" s="38"/>
      <c r="AC30" s="38"/>
      <c r="AD30" s="38"/>
      <c r="AE30" s="38"/>
      <c r="AF30" s="38"/>
      <c r="AG30" s="38"/>
      <c r="AH30" s="38"/>
      <c r="AI30" s="38"/>
      <c r="AJ30" s="38"/>
      <c r="AK30" s="38"/>
      <c r="AL30" s="38"/>
      <c r="AM30" s="39"/>
      <c r="AN30" s="39"/>
      <c r="AO30" s="39"/>
      <c r="AP30" s="39"/>
      <c r="AQ30" s="39"/>
      <c r="AR30" s="39"/>
      <c r="AS30" s="39"/>
      <c r="AT30" s="39"/>
      <c r="AU30" s="39"/>
      <c r="AV30" s="39"/>
    </row>
    <row r="31" spans="1:48" s="18" customFormat="1" x14ac:dyDescent="0.2">
      <c r="A31" s="55"/>
      <c r="B31" s="55"/>
      <c r="C31" s="19"/>
      <c r="D31" s="55"/>
      <c r="E31" s="310"/>
      <c r="F31" s="29"/>
      <c r="G31" s="29"/>
      <c r="I31" s="29"/>
      <c r="J31" s="29"/>
      <c r="K31" s="29"/>
      <c r="L31" s="29"/>
      <c r="M31" s="29"/>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18" customFormat="1" ht="10.5" customHeight="1" thickBot="1" x14ac:dyDescent="0.25">
      <c r="A32" s="1"/>
      <c r="B32" s="44"/>
      <c r="C32" s="6"/>
      <c r="D32" s="6"/>
      <c r="E32" s="6"/>
      <c r="F32" s="29"/>
      <c r="G32" s="29"/>
      <c r="H32" s="29"/>
      <c r="I32" s="29"/>
      <c r="J32" s="29"/>
      <c r="K32" s="29"/>
      <c r="L32" s="29"/>
      <c r="M32" s="29"/>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22" customFormat="1" ht="16.5" thickBot="1" x14ac:dyDescent="0.3">
      <c r="A33" s="326" t="s">
        <v>43</v>
      </c>
      <c r="B33" s="158"/>
      <c r="C33" s="159"/>
      <c r="D33" s="159"/>
      <c r="E33" s="159"/>
      <c r="F33" s="160"/>
      <c r="G33" s="160"/>
      <c r="H33" s="160"/>
      <c r="I33" s="160"/>
      <c r="J33" s="160"/>
      <c r="K33" s="161"/>
      <c r="L33" s="29"/>
      <c r="M33" s="29"/>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20" customFormat="1" ht="45.75" thickBot="1" x14ac:dyDescent="0.25">
      <c r="A34" s="349" t="s">
        <v>26</v>
      </c>
      <c r="B34" s="688" t="s">
        <v>16</v>
      </c>
      <c r="C34" s="689"/>
      <c r="D34" s="349" t="s">
        <v>2</v>
      </c>
      <c r="E34" s="349" t="s">
        <v>3</v>
      </c>
      <c r="F34" s="354" t="s">
        <v>27</v>
      </c>
      <c r="G34" s="354" t="s">
        <v>356</v>
      </c>
      <c r="H34" s="354" t="s">
        <v>185</v>
      </c>
      <c r="I34" s="354" t="s">
        <v>23</v>
      </c>
      <c r="J34" s="354" t="s">
        <v>12</v>
      </c>
      <c r="K34" s="354" t="s">
        <v>4</v>
      </c>
      <c r="L34" s="35"/>
      <c r="M34" s="35"/>
      <c r="N34" s="35"/>
      <c r="O34" s="35"/>
      <c r="P34" s="35"/>
      <c r="Q34" s="35"/>
      <c r="R34" s="35"/>
      <c r="S34" s="35"/>
      <c r="T34" s="35"/>
      <c r="U34" s="6"/>
      <c r="V34" s="35"/>
      <c r="W34" s="35"/>
      <c r="X34" s="35"/>
      <c r="Y34" s="35"/>
      <c r="Z34" s="35"/>
      <c r="AA34" s="35"/>
      <c r="AB34" s="36"/>
      <c r="AC34" s="36"/>
      <c r="AD34" s="36"/>
      <c r="AE34" s="36"/>
      <c r="AF34" s="36"/>
      <c r="AG34" s="36"/>
      <c r="AH34" s="36"/>
      <c r="AI34" s="36"/>
      <c r="AJ34" s="36"/>
      <c r="AK34" s="36"/>
      <c r="AL34" s="36"/>
      <c r="AM34" s="6"/>
      <c r="AN34" s="6"/>
      <c r="AO34" s="6"/>
      <c r="AP34" s="6"/>
      <c r="AQ34" s="6"/>
      <c r="AR34" s="6"/>
      <c r="AS34" s="6"/>
      <c r="AT34" s="6"/>
      <c r="AU34" s="6"/>
      <c r="AV34" s="6"/>
    </row>
    <row r="35" spans="1:48" hidden="1" x14ac:dyDescent="0.2">
      <c r="A35" s="313" t="s">
        <v>19</v>
      </c>
      <c r="B35" s="694" t="s">
        <v>15</v>
      </c>
      <c r="C35" s="695"/>
      <c r="D35" s="347">
        <v>41275</v>
      </c>
      <c r="E35" s="317">
        <v>41639</v>
      </c>
      <c r="F35" s="321"/>
      <c r="G35" s="321">
        <v>0</v>
      </c>
      <c r="H35" s="321"/>
      <c r="I35" s="321">
        <f>F35-H35</f>
        <v>0</v>
      </c>
      <c r="J35" s="321">
        <v>0</v>
      </c>
      <c r="K35" s="321">
        <f t="shared" ref="K35:K41" si="5">I35</f>
        <v>0</v>
      </c>
      <c r="L35" s="29"/>
      <c r="M35" s="29"/>
      <c r="N35" s="29"/>
    </row>
    <row r="36" spans="1:48" hidden="1" x14ac:dyDescent="0.2">
      <c r="A36" s="313"/>
      <c r="B36" s="694"/>
      <c r="C36" s="695"/>
      <c r="D36" s="347"/>
      <c r="E36" s="317"/>
      <c r="F36" s="321"/>
      <c r="G36" s="321"/>
      <c r="H36" s="321"/>
      <c r="I36" s="321"/>
      <c r="J36" s="321"/>
      <c r="K36" s="432"/>
      <c r="L36" s="29"/>
      <c r="M36" s="29"/>
      <c r="N36" s="29"/>
    </row>
    <row r="37" spans="1:48" x14ac:dyDescent="0.2">
      <c r="A37" s="313" t="s">
        <v>348</v>
      </c>
      <c r="B37" s="694" t="s">
        <v>15</v>
      </c>
      <c r="C37" s="695"/>
      <c r="D37" s="347">
        <v>42736</v>
      </c>
      <c r="E37" s="317">
        <v>43100</v>
      </c>
      <c r="F37" s="321">
        <v>25000</v>
      </c>
      <c r="G37" s="321">
        <v>0</v>
      </c>
      <c r="H37" s="321">
        <v>16218.23</v>
      </c>
      <c r="I37" s="321">
        <f>25000-H37</f>
        <v>8781.77</v>
      </c>
      <c r="J37" s="321"/>
      <c r="K37" s="432">
        <f t="shared" si="5"/>
        <v>8781.77</v>
      </c>
      <c r="L37" s="29"/>
      <c r="M37" s="29"/>
      <c r="N37" s="29"/>
    </row>
    <row r="38" spans="1:48" x14ac:dyDescent="0.2">
      <c r="A38" s="313" t="s">
        <v>207</v>
      </c>
      <c r="B38" s="694" t="s">
        <v>15</v>
      </c>
      <c r="C38" s="695"/>
      <c r="D38" s="347">
        <v>42248</v>
      </c>
      <c r="E38" s="317">
        <v>43100</v>
      </c>
      <c r="F38" s="321">
        <v>14250</v>
      </c>
      <c r="G38" s="321">
        <f>12113.27-7125</f>
        <v>4988.2700000000004</v>
      </c>
      <c r="H38" s="321">
        <v>2299.3000000000002</v>
      </c>
      <c r="I38" s="321">
        <f>G38-H38</f>
        <v>2688.9700000000003</v>
      </c>
      <c r="J38" s="321">
        <v>0</v>
      </c>
      <c r="K38" s="321">
        <f t="shared" si="5"/>
        <v>2688.9700000000003</v>
      </c>
      <c r="L38" s="29"/>
      <c r="M38" s="29"/>
      <c r="N38" s="29"/>
    </row>
    <row r="39" spans="1:48" x14ac:dyDescent="0.2">
      <c r="A39" s="313" t="s">
        <v>237</v>
      </c>
      <c r="B39" s="694" t="s">
        <v>15</v>
      </c>
      <c r="C39" s="695"/>
      <c r="D39" s="347">
        <v>42370</v>
      </c>
      <c r="E39" s="317">
        <v>43465</v>
      </c>
      <c r="F39" s="321">
        <v>7125</v>
      </c>
      <c r="G39" s="321">
        <v>7125</v>
      </c>
      <c r="H39" s="321"/>
      <c r="I39" s="321">
        <v>7125</v>
      </c>
      <c r="J39" s="321"/>
      <c r="K39" s="321">
        <f t="shared" si="5"/>
        <v>7125</v>
      </c>
      <c r="L39" s="29"/>
      <c r="M39" s="29"/>
      <c r="N39" s="29"/>
    </row>
    <row r="40" spans="1:48" s="4" customFormat="1" hidden="1" x14ac:dyDescent="0.2">
      <c r="A40" s="313" t="s">
        <v>200</v>
      </c>
      <c r="B40" s="704" t="s">
        <v>21</v>
      </c>
      <c r="C40" s="705"/>
      <c r="D40" s="347"/>
      <c r="E40" s="317"/>
      <c r="F40" s="321"/>
      <c r="G40" s="321"/>
      <c r="H40" s="321"/>
      <c r="I40" s="321"/>
      <c r="J40" s="321"/>
      <c r="K40" s="321"/>
      <c r="L40" s="29"/>
      <c r="M40" s="29"/>
      <c r="N40" s="29"/>
      <c r="O40" s="29"/>
      <c r="P40" s="29"/>
      <c r="Q40" s="29"/>
      <c r="R40" s="29"/>
      <c r="S40" s="29"/>
      <c r="T40" s="29"/>
      <c r="U40" s="1"/>
      <c r="V40" s="29"/>
      <c r="W40" s="29"/>
      <c r="X40" s="29"/>
      <c r="Y40" s="29"/>
      <c r="Z40" s="29"/>
      <c r="AA40" s="29"/>
      <c r="AB40" s="11"/>
      <c r="AC40" s="11"/>
      <c r="AD40" s="11"/>
      <c r="AE40" s="11"/>
      <c r="AF40" s="11"/>
      <c r="AG40" s="11"/>
      <c r="AH40" s="11"/>
      <c r="AI40" s="11"/>
      <c r="AJ40" s="11"/>
      <c r="AK40" s="11"/>
      <c r="AL40" s="11"/>
      <c r="AM40" s="1"/>
      <c r="AN40" s="1"/>
      <c r="AO40" s="1"/>
      <c r="AP40" s="1"/>
      <c r="AQ40" s="1"/>
      <c r="AR40" s="1"/>
      <c r="AS40" s="1"/>
      <c r="AT40" s="1"/>
      <c r="AU40" s="1"/>
      <c r="AV40" s="1"/>
    </row>
    <row r="41" spans="1:48" s="4" customFormat="1" x14ac:dyDescent="0.2">
      <c r="A41" s="313" t="s">
        <v>201</v>
      </c>
      <c r="B41" s="704" t="s">
        <v>21</v>
      </c>
      <c r="C41" s="705"/>
      <c r="D41" s="347">
        <v>42736</v>
      </c>
      <c r="E41" s="317">
        <v>43465</v>
      </c>
      <c r="F41" s="321">
        <v>40000</v>
      </c>
      <c r="G41" s="321">
        <v>0</v>
      </c>
      <c r="H41" s="321">
        <v>11953.02</v>
      </c>
      <c r="I41" s="321">
        <f>22000-H41</f>
        <v>10046.98</v>
      </c>
      <c r="J41" s="321"/>
      <c r="K41" s="321">
        <f t="shared" si="5"/>
        <v>10046.98</v>
      </c>
      <c r="L41" s="29"/>
      <c r="M41" s="29"/>
      <c r="N41" s="29"/>
      <c r="O41" s="29"/>
      <c r="P41" s="29"/>
      <c r="Q41" s="29"/>
      <c r="R41" s="29"/>
      <c r="S41" s="29"/>
      <c r="T41" s="29"/>
      <c r="U41" s="1"/>
      <c r="V41" s="29"/>
      <c r="W41" s="29"/>
      <c r="X41" s="29"/>
      <c r="Y41" s="29"/>
      <c r="Z41" s="29"/>
      <c r="AA41" s="29"/>
      <c r="AB41" s="11"/>
      <c r="AC41" s="11"/>
      <c r="AD41" s="11"/>
      <c r="AE41" s="11"/>
      <c r="AF41" s="11"/>
      <c r="AG41" s="11"/>
      <c r="AH41" s="11"/>
      <c r="AI41" s="11"/>
      <c r="AJ41" s="11"/>
      <c r="AK41" s="11"/>
      <c r="AL41" s="11"/>
      <c r="AM41" s="1"/>
      <c r="AN41" s="1"/>
      <c r="AO41" s="1"/>
      <c r="AP41" s="1"/>
      <c r="AQ41" s="1"/>
      <c r="AR41" s="1"/>
      <c r="AS41" s="1"/>
      <c r="AT41" s="1"/>
      <c r="AU41" s="1"/>
      <c r="AV41" s="1"/>
    </row>
    <row r="42" spans="1:48" s="2" customFormat="1" ht="15" thickBot="1" x14ac:dyDescent="0.25">
      <c r="A42" s="313" t="s">
        <v>22</v>
      </c>
      <c r="B42" s="690" t="s">
        <v>47</v>
      </c>
      <c r="C42" s="692"/>
      <c r="D42" s="347">
        <v>40226</v>
      </c>
      <c r="E42" s="318" t="s">
        <v>29</v>
      </c>
      <c r="F42" s="321">
        <f>8007.78+5000+50</f>
        <v>13057.779999999999</v>
      </c>
      <c r="G42" s="321">
        <v>5854.58</v>
      </c>
      <c r="H42" s="321">
        <v>200</v>
      </c>
      <c r="I42" s="321">
        <f>+G42-H42</f>
        <v>5654.58</v>
      </c>
      <c r="J42" s="321">
        <f>I42</f>
        <v>5654.58</v>
      </c>
      <c r="K42" s="321">
        <v>0</v>
      </c>
      <c r="L42" s="29"/>
      <c r="M42" s="29"/>
      <c r="N42" s="29"/>
      <c r="O42" s="29"/>
      <c r="P42" s="29"/>
      <c r="Q42" s="29"/>
      <c r="R42" s="29"/>
      <c r="S42" s="29"/>
      <c r="T42" s="29"/>
      <c r="U42" s="1"/>
      <c r="V42" s="29"/>
      <c r="W42" s="29"/>
      <c r="X42" s="29"/>
      <c r="Y42" s="29"/>
      <c r="Z42" s="29"/>
      <c r="AA42" s="29"/>
      <c r="AB42" s="11"/>
      <c r="AC42" s="11"/>
      <c r="AD42" s="11"/>
      <c r="AE42" s="11"/>
      <c r="AF42" s="11"/>
      <c r="AG42" s="11"/>
      <c r="AH42" s="11"/>
      <c r="AI42" s="11"/>
      <c r="AJ42" s="11"/>
      <c r="AK42" s="11"/>
      <c r="AL42" s="11"/>
      <c r="AM42" s="1"/>
      <c r="AN42" s="1"/>
      <c r="AO42" s="1"/>
      <c r="AP42" s="1"/>
      <c r="AQ42" s="1"/>
      <c r="AR42" s="1"/>
      <c r="AS42" s="1"/>
      <c r="AT42" s="1"/>
      <c r="AU42" s="1"/>
      <c r="AV42" s="1"/>
    </row>
    <row r="43" spans="1:48" s="2" customFormat="1" ht="15.75" thickBot="1" x14ac:dyDescent="0.3">
      <c r="A43" s="314"/>
      <c r="B43" s="696"/>
      <c r="C43" s="697"/>
      <c r="D43" s="348"/>
      <c r="E43" s="319"/>
      <c r="F43" s="322"/>
      <c r="G43" s="322"/>
      <c r="H43" s="322">
        <v>0</v>
      </c>
      <c r="I43" s="322"/>
      <c r="J43" s="322"/>
      <c r="K43" s="322">
        <v>0</v>
      </c>
      <c r="L43" s="278" t="s">
        <v>110</v>
      </c>
      <c r="M43" s="29"/>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s="276" customFormat="1" ht="15.75" thickBot="1" x14ac:dyDescent="0.3">
      <c r="A44" s="312" t="s">
        <v>32</v>
      </c>
      <c r="B44" s="315"/>
      <c r="C44" s="315"/>
      <c r="D44" s="316"/>
      <c r="E44" s="316"/>
      <c r="F44" s="320">
        <f t="shared" ref="F44:K44" si="6">SUM(F35:F43)</f>
        <v>99432.78</v>
      </c>
      <c r="G44" s="323">
        <f t="shared" si="6"/>
        <v>17967.849999999999</v>
      </c>
      <c r="H44" s="320">
        <f t="shared" si="6"/>
        <v>30670.55</v>
      </c>
      <c r="I44" s="320">
        <f t="shared" si="6"/>
        <v>34297.300000000003</v>
      </c>
      <c r="J44" s="324">
        <f t="shared" si="6"/>
        <v>5654.58</v>
      </c>
      <c r="K44" s="325">
        <f t="shared" si="6"/>
        <v>28642.720000000001</v>
      </c>
      <c r="L44" s="507">
        <f>K30+K44</f>
        <v>108073.95999999999</v>
      </c>
      <c r="M44" s="274"/>
      <c r="N44" s="274"/>
      <c r="O44" s="274"/>
      <c r="P44" s="274"/>
      <c r="Q44" s="274"/>
      <c r="R44" s="274"/>
      <c r="S44" s="274"/>
      <c r="T44" s="274"/>
      <c r="U44" s="275"/>
      <c r="V44" s="274"/>
      <c r="W44" s="274"/>
      <c r="X44" s="274"/>
      <c r="Y44" s="274"/>
      <c r="Z44" s="274"/>
      <c r="AA44" s="274"/>
      <c r="AB44" s="274"/>
      <c r="AC44" s="274"/>
      <c r="AD44" s="274"/>
      <c r="AE44" s="274"/>
      <c r="AF44" s="274"/>
      <c r="AG44" s="274"/>
      <c r="AH44" s="274"/>
      <c r="AI44" s="274"/>
      <c r="AJ44" s="274"/>
      <c r="AK44" s="274"/>
      <c r="AL44" s="274"/>
      <c r="AM44" s="275"/>
      <c r="AN44" s="275"/>
      <c r="AO44" s="275"/>
      <c r="AP44" s="275"/>
      <c r="AQ44" s="275"/>
      <c r="AR44" s="275"/>
      <c r="AS44" s="275"/>
      <c r="AT44" s="275"/>
      <c r="AU44" s="275"/>
      <c r="AV44" s="275"/>
    </row>
    <row r="45" spans="1:48" s="18" customFormat="1" ht="15" thickBot="1" x14ac:dyDescent="0.25">
      <c r="B45" s="1"/>
      <c r="C45" s="6"/>
      <c r="D45" s="6"/>
      <c r="E45" s="6"/>
      <c r="F45" s="29"/>
      <c r="G45" s="29"/>
      <c r="H45" s="29"/>
      <c r="I45" s="29"/>
      <c r="J45" s="29"/>
      <c r="K45" s="29"/>
      <c r="L45" s="29"/>
      <c r="M45" s="29"/>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s="21" customFormat="1" ht="18.75" thickBot="1" x14ac:dyDescent="0.3">
      <c r="A46" s="326" t="s">
        <v>153</v>
      </c>
      <c r="B46" s="327"/>
      <c r="C46" s="328"/>
      <c r="D46" s="328"/>
      <c r="E46" s="328"/>
      <c r="F46" s="331"/>
      <c r="G46" s="331"/>
      <c r="H46" s="331"/>
      <c r="I46" s="331"/>
      <c r="J46" s="331"/>
      <c r="K46" s="334"/>
      <c r="L46" s="331"/>
      <c r="M46" s="335"/>
      <c r="N46" s="40"/>
      <c r="O46" s="40"/>
      <c r="P46" s="40"/>
      <c r="Q46" s="40"/>
      <c r="R46" s="40"/>
      <c r="S46" s="40"/>
      <c r="T46" s="40"/>
      <c r="U46" s="41"/>
      <c r="V46" s="40"/>
      <c r="W46" s="40"/>
      <c r="X46" s="40"/>
      <c r="Y46" s="40"/>
      <c r="Z46" s="40"/>
      <c r="AA46" s="40"/>
      <c r="AB46" s="42"/>
      <c r="AC46" s="42"/>
      <c r="AD46" s="42"/>
      <c r="AE46" s="42"/>
      <c r="AF46" s="42"/>
      <c r="AG46" s="42"/>
      <c r="AH46" s="42"/>
      <c r="AI46" s="42"/>
      <c r="AJ46" s="42"/>
      <c r="AK46" s="42"/>
      <c r="AL46" s="42"/>
      <c r="AM46" s="41"/>
      <c r="AN46" s="41"/>
      <c r="AO46" s="41"/>
      <c r="AP46" s="41"/>
      <c r="AQ46" s="41"/>
      <c r="AR46" s="41"/>
      <c r="AS46" s="41"/>
      <c r="AT46" s="41"/>
      <c r="AU46" s="41"/>
      <c r="AV46" s="41"/>
    </row>
    <row r="47" spans="1:48" s="23" customFormat="1" ht="33" customHeight="1" thickBot="1" x14ac:dyDescent="0.25">
      <c r="A47" s="349" t="s">
        <v>35</v>
      </c>
      <c r="B47" s="688" t="s">
        <v>28</v>
      </c>
      <c r="C47" s="693"/>
      <c r="D47" s="693"/>
      <c r="E47" s="689"/>
      <c r="F47" s="353" t="s">
        <v>44</v>
      </c>
      <c r="G47" s="282" t="s">
        <v>356</v>
      </c>
      <c r="H47" s="282" t="s">
        <v>184</v>
      </c>
      <c r="I47" s="282" t="s">
        <v>229</v>
      </c>
      <c r="J47" s="282" t="s">
        <v>48</v>
      </c>
      <c r="K47" s="282" t="s">
        <v>14</v>
      </c>
      <c r="L47" s="282" t="s">
        <v>11</v>
      </c>
      <c r="M47" s="282" t="s">
        <v>4</v>
      </c>
      <c r="N47" s="35"/>
      <c r="O47" s="35"/>
      <c r="P47" s="35"/>
      <c r="Q47" s="35"/>
      <c r="R47" s="35"/>
      <c r="S47" s="35"/>
      <c r="T47" s="35"/>
      <c r="U47" s="6"/>
      <c r="V47" s="35"/>
      <c r="W47" s="35"/>
      <c r="X47" s="35"/>
      <c r="Y47" s="35"/>
      <c r="Z47" s="35"/>
      <c r="AA47" s="35"/>
      <c r="AB47" s="36"/>
      <c r="AC47" s="36"/>
      <c r="AD47" s="36"/>
      <c r="AE47" s="36"/>
      <c r="AF47" s="36"/>
      <c r="AG47" s="36"/>
      <c r="AH47" s="36"/>
      <c r="AI47" s="36"/>
      <c r="AJ47" s="36"/>
      <c r="AK47" s="36"/>
      <c r="AL47" s="36"/>
      <c r="AM47" s="6"/>
      <c r="AN47" s="6"/>
      <c r="AO47" s="6"/>
      <c r="AP47" s="6"/>
      <c r="AQ47" s="6"/>
      <c r="AR47" s="6"/>
      <c r="AS47" s="6"/>
      <c r="AT47" s="6"/>
      <c r="AU47" s="6"/>
      <c r="AV47" s="6"/>
    </row>
    <row r="48" spans="1:48" s="18" customFormat="1" hidden="1" x14ac:dyDescent="0.2">
      <c r="A48" s="313" t="s">
        <v>36</v>
      </c>
      <c r="B48" s="690" t="s">
        <v>39</v>
      </c>
      <c r="C48" s="691"/>
      <c r="D48" s="691"/>
      <c r="E48" s="692"/>
      <c r="F48" s="321"/>
      <c r="G48" s="321"/>
      <c r="H48" s="321">
        <v>0</v>
      </c>
      <c r="I48" s="321"/>
      <c r="J48" s="321"/>
      <c r="K48" s="321"/>
      <c r="L48" s="321"/>
      <c r="M48" s="321">
        <v>0</v>
      </c>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hidden="1" x14ac:dyDescent="0.2">
      <c r="A49" s="313" t="s">
        <v>37</v>
      </c>
      <c r="B49" s="690" t="s">
        <v>40</v>
      </c>
      <c r="C49" s="691"/>
      <c r="D49" s="691"/>
      <c r="E49" s="692"/>
      <c r="F49" s="321"/>
      <c r="G49" s="321"/>
      <c r="H49" s="321"/>
      <c r="I49" s="332"/>
      <c r="J49" s="321"/>
      <c r="K49" s="321"/>
      <c r="L49" s="321"/>
      <c r="M49" s="321">
        <v>0</v>
      </c>
      <c r="N49" s="29"/>
    </row>
    <row r="50" spans="1:48" ht="15" hidden="1" customHeight="1" x14ac:dyDescent="0.2">
      <c r="A50" s="313"/>
      <c r="B50" s="690"/>
      <c r="C50" s="691"/>
      <c r="D50" s="691"/>
      <c r="E50" s="692"/>
      <c r="F50" s="321"/>
      <c r="G50" s="321"/>
      <c r="H50" s="321"/>
      <c r="I50" s="605"/>
      <c r="J50" s="321"/>
      <c r="K50" s="432"/>
      <c r="L50" s="321"/>
      <c r="M50" s="321"/>
      <c r="N50" s="29"/>
    </row>
    <row r="51" spans="1:48" s="18" customFormat="1" hidden="1" x14ac:dyDescent="0.2">
      <c r="A51" s="313"/>
      <c r="B51" s="690"/>
      <c r="C51" s="691"/>
      <c r="D51" s="691"/>
      <c r="E51" s="692"/>
      <c r="F51" s="321"/>
      <c r="G51" s="321"/>
      <c r="H51" s="321"/>
      <c r="I51" s="321"/>
      <c r="J51" s="321"/>
      <c r="K51" s="432"/>
      <c r="L51" s="321"/>
      <c r="M51" s="321"/>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x14ac:dyDescent="0.2">
      <c r="A52" s="313" t="s">
        <v>349</v>
      </c>
      <c r="B52" s="690" t="s">
        <v>352</v>
      </c>
      <c r="C52" s="691"/>
      <c r="D52" s="691"/>
      <c r="E52" s="692"/>
      <c r="F52" s="321">
        <v>49000</v>
      </c>
      <c r="G52" s="321">
        <v>0</v>
      </c>
      <c r="H52" s="321">
        <f>24500*2</f>
        <v>49000</v>
      </c>
      <c r="I52" s="405">
        <f>'August''17 AR Aging '!G60</f>
        <v>0</v>
      </c>
      <c r="J52" s="537">
        <f>H52/12*8</f>
        <v>32666.666666666668</v>
      </c>
      <c r="K52" s="432">
        <f>H52-J52</f>
        <v>16333.333333333332</v>
      </c>
      <c r="L52" s="321">
        <f>K52</f>
        <v>16333.333333333332</v>
      </c>
      <c r="M52" s="321"/>
      <c r="N52" s="29"/>
    </row>
    <row r="53" spans="1:48" s="18" customFormat="1" x14ac:dyDescent="0.2">
      <c r="A53" s="313" t="s">
        <v>350</v>
      </c>
      <c r="B53" s="690" t="s">
        <v>351</v>
      </c>
      <c r="C53" s="691"/>
      <c r="D53" s="691"/>
      <c r="E53" s="692"/>
      <c r="F53" s="321">
        <f>6500+3500+2000+3500+3500</f>
        <v>19000</v>
      </c>
      <c r="G53" s="321"/>
      <c r="H53" s="321">
        <v>19000</v>
      </c>
      <c r="I53" s="321"/>
      <c r="J53" s="537">
        <f>H53/12*8</f>
        <v>12666.666666666666</v>
      </c>
      <c r="K53" s="432">
        <f>H53-J53</f>
        <v>6333.3333333333339</v>
      </c>
      <c r="L53" s="321">
        <f>K53</f>
        <v>6333.3333333333339</v>
      </c>
      <c r="M53" s="321"/>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row>
    <row r="54" spans="1:48" x14ac:dyDescent="0.2">
      <c r="A54" s="313" t="s">
        <v>24</v>
      </c>
      <c r="B54" s="690" t="s">
        <v>155</v>
      </c>
      <c r="C54" s="691"/>
      <c r="D54" s="691"/>
      <c r="E54" s="692"/>
      <c r="F54" s="321"/>
      <c r="G54" s="321">
        <v>0</v>
      </c>
      <c r="H54" s="321">
        <v>7238.25</v>
      </c>
      <c r="I54" s="321"/>
      <c r="J54" s="321">
        <f>H54</f>
        <v>7238.25</v>
      </c>
      <c r="K54" s="432"/>
      <c r="L54" s="321">
        <v>0</v>
      </c>
      <c r="M54" s="321">
        <v>0</v>
      </c>
      <c r="N54" s="29"/>
    </row>
    <row r="55" spans="1:48" x14ac:dyDescent="0.2">
      <c r="A55" s="313" t="s">
        <v>24</v>
      </c>
      <c r="B55" s="690" t="s">
        <v>8</v>
      </c>
      <c r="C55" s="691"/>
      <c r="D55" s="691"/>
      <c r="E55" s="692"/>
      <c r="F55" s="321"/>
      <c r="G55" s="321">
        <v>1100.82</v>
      </c>
      <c r="H55" s="321"/>
      <c r="I55" s="321"/>
      <c r="J55" s="321">
        <v>0</v>
      </c>
      <c r="K55" s="432">
        <v>1100.82</v>
      </c>
      <c r="L55" s="321">
        <f>K55</f>
        <v>1100.82</v>
      </c>
      <c r="M55" s="321">
        <v>0</v>
      </c>
      <c r="N55" s="29"/>
    </row>
    <row r="56" spans="1:48" x14ac:dyDescent="0.2">
      <c r="A56" s="313" t="s">
        <v>24</v>
      </c>
      <c r="B56" s="690" t="s">
        <v>9</v>
      </c>
      <c r="C56" s="691"/>
      <c r="D56" s="691"/>
      <c r="E56" s="692"/>
      <c r="F56" s="321"/>
      <c r="G56" s="321">
        <v>17437.849999999999</v>
      </c>
      <c r="H56" s="321">
        <v>5289.15</v>
      </c>
      <c r="I56" s="321"/>
      <c r="J56" s="321">
        <v>8336.16</v>
      </c>
      <c r="K56" s="432">
        <f>G56+H56-J56</f>
        <v>14390.84</v>
      </c>
      <c r="L56" s="321">
        <f>K56</f>
        <v>14390.84</v>
      </c>
      <c r="M56" s="321">
        <v>0</v>
      </c>
      <c r="N56" s="29"/>
    </row>
    <row r="57" spans="1:48" x14ac:dyDescent="0.2">
      <c r="A57" s="313" t="s">
        <v>24</v>
      </c>
      <c r="B57" s="690" t="s">
        <v>10</v>
      </c>
      <c r="C57" s="691"/>
      <c r="D57" s="691"/>
      <c r="E57" s="692"/>
      <c r="F57" s="321"/>
      <c r="G57" s="321">
        <v>8260.73</v>
      </c>
      <c r="H57" s="321">
        <v>3660</v>
      </c>
      <c r="I57" s="321"/>
      <c r="J57" s="321">
        <v>2707.08</v>
      </c>
      <c r="K57" s="432">
        <f>G57+H57-J57</f>
        <v>9213.65</v>
      </c>
      <c r="L57" s="321">
        <f>K57</f>
        <v>9213.65</v>
      </c>
      <c r="M57" s="321">
        <v>0</v>
      </c>
      <c r="N57" s="29"/>
    </row>
    <row r="58" spans="1:48" s="25" customFormat="1" ht="15" thickBot="1" x14ac:dyDescent="0.25">
      <c r="A58" s="313"/>
      <c r="B58" s="690"/>
      <c r="C58" s="691"/>
      <c r="D58" s="691"/>
      <c r="E58" s="692"/>
      <c r="F58" s="321"/>
      <c r="G58" s="321"/>
      <c r="H58" s="321"/>
      <c r="I58" s="321"/>
      <c r="J58" s="321"/>
      <c r="K58" s="321"/>
      <c r="L58" s="321">
        <f>K58</f>
        <v>0</v>
      </c>
      <c r="M58" s="321">
        <v>0</v>
      </c>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s="25" customFormat="1" ht="15" hidden="1" thickBot="1" x14ac:dyDescent="0.25">
      <c r="A59" s="313" t="s">
        <v>24</v>
      </c>
      <c r="B59" s="329" t="s">
        <v>87</v>
      </c>
      <c r="C59" s="304"/>
      <c r="D59" s="304"/>
      <c r="E59" s="330"/>
      <c r="F59" s="321"/>
      <c r="G59" s="321"/>
      <c r="H59" s="321"/>
      <c r="I59" s="321"/>
      <c r="J59" s="321"/>
      <c r="K59" s="321"/>
      <c r="L59" s="321"/>
      <c r="M59" s="321"/>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18" customFormat="1" ht="15" hidden="1" customHeight="1" thickBot="1" x14ac:dyDescent="0.25">
      <c r="A60" s="314"/>
      <c r="B60" s="690"/>
      <c r="C60" s="691"/>
      <c r="D60" s="691"/>
      <c r="E60" s="692"/>
      <c r="F60" s="322"/>
      <c r="G60" s="322">
        <v>0</v>
      </c>
      <c r="H60" s="322"/>
      <c r="I60" s="333"/>
      <c r="J60" s="322"/>
      <c r="K60" s="322"/>
      <c r="L60" s="322"/>
      <c r="M60" s="322">
        <v>0</v>
      </c>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s="276" customFormat="1" ht="15.75" thickBot="1" x14ac:dyDescent="0.3">
      <c r="A61" s="350" t="s">
        <v>42</v>
      </c>
      <c r="B61" s="351"/>
      <c r="C61" s="351"/>
      <c r="D61" s="351"/>
      <c r="E61" s="352"/>
      <c r="F61" s="425">
        <f t="shared" ref="F61:M61" si="7">SUM(F48:F60)</f>
        <v>68000</v>
      </c>
      <c r="G61" s="426">
        <f t="shared" si="7"/>
        <v>26799.399999999998</v>
      </c>
      <c r="H61" s="426">
        <f t="shared" si="7"/>
        <v>84187.4</v>
      </c>
      <c r="I61" s="426">
        <f t="shared" si="7"/>
        <v>0</v>
      </c>
      <c r="J61" s="426">
        <f t="shared" si="7"/>
        <v>63614.823333333334</v>
      </c>
      <c r="K61" s="427">
        <f t="shared" si="7"/>
        <v>47371.976666666662</v>
      </c>
      <c r="L61" s="428">
        <f>SUM(L48:L60)</f>
        <v>47371.976666666662</v>
      </c>
      <c r="M61" s="427">
        <f t="shared" si="7"/>
        <v>0</v>
      </c>
      <c r="N61" s="274"/>
      <c r="O61" s="274"/>
      <c r="P61" s="274"/>
      <c r="Q61" s="274"/>
      <c r="R61" s="274"/>
      <c r="S61" s="274"/>
      <c r="T61" s="274"/>
      <c r="U61" s="275"/>
      <c r="V61" s="274"/>
      <c r="W61" s="274"/>
      <c r="X61" s="274"/>
      <c r="Y61" s="274"/>
      <c r="Z61" s="274"/>
      <c r="AA61" s="274"/>
      <c r="AB61" s="274"/>
      <c r="AC61" s="274"/>
      <c r="AD61" s="274"/>
      <c r="AE61" s="274"/>
      <c r="AF61" s="274"/>
      <c r="AG61" s="274"/>
      <c r="AH61" s="274"/>
      <c r="AI61" s="274"/>
      <c r="AJ61" s="274"/>
      <c r="AK61" s="274"/>
      <c r="AL61" s="274"/>
      <c r="AM61" s="275"/>
      <c r="AN61" s="275"/>
      <c r="AO61" s="275"/>
      <c r="AP61" s="275"/>
      <c r="AQ61" s="275"/>
      <c r="AR61" s="275"/>
      <c r="AS61" s="275"/>
      <c r="AT61" s="275"/>
      <c r="AU61" s="275"/>
      <c r="AV61" s="275"/>
    </row>
    <row r="62" spans="1:48" ht="15.75" thickBot="1" x14ac:dyDescent="0.3">
      <c r="H62" s="28"/>
      <c r="L62" s="277" t="s">
        <v>111</v>
      </c>
      <c r="N62" s="29"/>
    </row>
    <row r="63" spans="1:48" s="48" customFormat="1" ht="16.5" thickBot="1" x14ac:dyDescent="0.3">
      <c r="A63" s="52"/>
      <c r="B63" s="53"/>
      <c r="C63" s="53"/>
      <c r="D63" s="53"/>
      <c r="E63" s="53"/>
      <c r="F63" s="53"/>
      <c r="G63" s="53"/>
      <c r="H63" s="53"/>
      <c r="I63" s="53"/>
      <c r="J63" s="53"/>
      <c r="K63" s="53"/>
      <c r="L63" s="579">
        <f>L61+J44</f>
        <v>53026.556666666664</v>
      </c>
      <c r="M63" s="49"/>
      <c r="N63" s="29"/>
      <c r="O63" s="29"/>
      <c r="P63" s="29"/>
      <c r="Q63" s="29"/>
      <c r="R63" s="29"/>
      <c r="S63" s="29"/>
      <c r="T63" s="29"/>
      <c r="U63" s="29"/>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51" customFormat="1" ht="31.5" hidden="1" x14ac:dyDescent="0.25">
      <c r="A64" s="54"/>
      <c r="B64" s="50"/>
      <c r="C64" s="50"/>
      <c r="D64" s="50"/>
      <c r="E64" s="50"/>
      <c r="F64" s="50"/>
      <c r="G64" s="151" t="s">
        <v>195</v>
      </c>
      <c r="H64" s="152" t="s">
        <v>184</v>
      </c>
      <c r="I64" s="152" t="s">
        <v>109</v>
      </c>
      <c r="J64" s="152" t="s">
        <v>63</v>
      </c>
      <c r="K64" s="153" t="s">
        <v>50</v>
      </c>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row>
    <row r="65" spans="1:48" s="43" customFormat="1" ht="20.25" hidden="1" customHeight="1" x14ac:dyDescent="0.2">
      <c r="A65" s="371" t="s">
        <v>82</v>
      </c>
      <c r="B65" s="700" t="s">
        <v>49</v>
      </c>
      <c r="C65" s="700"/>
      <c r="D65" s="700"/>
      <c r="E65" s="700"/>
      <c r="F65" s="372"/>
      <c r="G65" s="372">
        <f>104647.76-J51-1250-1250</f>
        <v>102147.76</v>
      </c>
      <c r="H65" s="372">
        <f>90450.47-J65-H68</f>
        <v>74184.67</v>
      </c>
      <c r="I65" s="372">
        <f>H54</f>
        <v>7238.25</v>
      </c>
      <c r="J65" s="372">
        <f>'August''17 AR Aging '!G41</f>
        <v>16265.8</v>
      </c>
      <c r="K65" s="373">
        <f>+I65+J65+H65-G65</f>
        <v>-4459.0399999999936</v>
      </c>
      <c r="L65" s="46"/>
      <c r="M65" s="46"/>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row>
    <row r="66" spans="1:48" s="25" customFormat="1" hidden="1" x14ac:dyDescent="0.2">
      <c r="A66" s="374" t="s">
        <v>38</v>
      </c>
      <c r="B66" s="699" t="s">
        <v>33</v>
      </c>
      <c r="C66" s="699"/>
      <c r="D66" s="699"/>
      <c r="E66" s="699"/>
      <c r="F66" s="369"/>
      <c r="G66" s="369"/>
      <c r="H66" s="369">
        <v>0</v>
      </c>
      <c r="I66" s="370"/>
      <c r="J66" s="369">
        <v>0</v>
      </c>
      <c r="K66" s="375"/>
      <c r="L66" s="340"/>
      <c r="M66" s="340">
        <v>0</v>
      </c>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row>
    <row r="67" spans="1:48" s="18" customFormat="1" hidden="1" x14ac:dyDescent="0.2">
      <c r="A67" s="374" t="s">
        <v>24</v>
      </c>
      <c r="B67" s="701" t="s">
        <v>164</v>
      </c>
      <c r="C67" s="702"/>
      <c r="D67" s="702"/>
      <c r="E67" s="703"/>
      <c r="F67" s="369"/>
      <c r="G67" s="369"/>
      <c r="H67" s="369"/>
      <c r="I67" s="370"/>
      <c r="J67" s="369"/>
      <c r="K67" s="375"/>
      <c r="L67" s="340"/>
      <c r="M67" s="340"/>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18" customFormat="1" ht="15" hidden="1" thickBot="1" x14ac:dyDescent="0.25">
      <c r="A68" s="376" t="s">
        <v>163</v>
      </c>
      <c r="B68" s="698" t="s">
        <v>49</v>
      </c>
      <c r="C68" s="698"/>
      <c r="D68" s="698"/>
      <c r="E68" s="698"/>
      <c r="F68" s="377"/>
      <c r="G68" s="377"/>
      <c r="H68" s="377">
        <v>0</v>
      </c>
      <c r="I68" s="377"/>
      <c r="J68" s="377">
        <f>'August''17 AR Aging '!G40</f>
        <v>0</v>
      </c>
      <c r="K68" s="378"/>
      <c r="L68" s="46"/>
      <c r="M68" s="46"/>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row>
    <row r="69" spans="1:48" x14ac:dyDescent="0.2">
      <c r="F69" s="250"/>
      <c r="G69" s="251"/>
      <c r="H69" s="250"/>
      <c r="I69" s="250"/>
      <c r="J69" s="250">
        <f>J65+I61+H30+J68</f>
        <v>200883.71</v>
      </c>
      <c r="K69" s="250" t="s">
        <v>55</v>
      </c>
      <c r="N69" s="29"/>
    </row>
    <row r="70" spans="1:48" x14ac:dyDescent="0.2">
      <c r="F70" s="250"/>
      <c r="G70" s="251"/>
      <c r="H70" s="250"/>
      <c r="I70" s="250"/>
      <c r="J70" s="271">
        <f>'August''17 AR Aging '!G62</f>
        <v>200883.71</v>
      </c>
      <c r="K70" s="250" t="s">
        <v>427</v>
      </c>
      <c r="N70" s="29"/>
    </row>
    <row r="71" spans="1:48" ht="15" customHeight="1" x14ac:dyDescent="0.2">
      <c r="F71" s="250"/>
      <c r="G71" s="251"/>
      <c r="H71" s="250"/>
      <c r="I71" s="250"/>
      <c r="J71" s="597">
        <f>J70-J69</f>
        <v>0</v>
      </c>
      <c r="K71" s="250" t="s">
        <v>371</v>
      </c>
      <c r="N71" s="29"/>
    </row>
    <row r="72" spans="1:48" ht="15" customHeight="1" x14ac:dyDescent="0.2">
      <c r="C72" s="8"/>
      <c r="E72" s="9"/>
    </row>
    <row r="81" spans="1:12" x14ac:dyDescent="0.2">
      <c r="A81" s="10"/>
      <c r="B81" s="1"/>
      <c r="C81" s="6"/>
      <c r="D81" s="6"/>
      <c r="E81" s="7"/>
      <c r="F81" s="29"/>
      <c r="G81" s="29"/>
      <c r="I81" s="29"/>
      <c r="J81" s="29"/>
      <c r="K81" s="29"/>
      <c r="L81" s="29"/>
    </row>
  </sheetData>
  <mergeCells count="27">
    <mergeCell ref="B57:E57"/>
    <mergeCell ref="B40:C40"/>
    <mergeCell ref="B38:C38"/>
    <mergeCell ref="B39:C39"/>
    <mergeCell ref="B41:C41"/>
    <mergeCell ref="B68:E68"/>
    <mergeCell ref="B58:E58"/>
    <mergeCell ref="B66:E66"/>
    <mergeCell ref="B60:E60"/>
    <mergeCell ref="B65:E65"/>
    <mergeCell ref="B67:E67"/>
    <mergeCell ref="B34:C34"/>
    <mergeCell ref="B56:E56"/>
    <mergeCell ref="B47:E47"/>
    <mergeCell ref="B36:C36"/>
    <mergeCell ref="B42:C42"/>
    <mergeCell ref="B43:C43"/>
    <mergeCell ref="B48:E48"/>
    <mergeCell ref="B49:E49"/>
    <mergeCell ref="B54:E54"/>
    <mergeCell ref="B55:E55"/>
    <mergeCell ref="B35:C35"/>
    <mergeCell ref="B37:C37"/>
    <mergeCell ref="B50:E50"/>
    <mergeCell ref="B51:E51"/>
    <mergeCell ref="B52:E52"/>
    <mergeCell ref="B53:E53"/>
  </mergeCells>
  <pageMargins left="0.45" right="0" top="0.75" bottom="0" header="0.3" footer="0.05"/>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41"/>
  <sheetViews>
    <sheetView zoomScale="75" zoomScaleNormal="75" workbookViewId="0">
      <selection activeCell="D92" sqref="D92"/>
    </sheetView>
  </sheetViews>
  <sheetFormatPr defaultRowHeight="14.25" x14ac:dyDescent="0.2"/>
  <cols>
    <col min="1" max="1" width="1.875" style="58" customWidth="1"/>
    <col min="2" max="2" width="54" style="58" customWidth="1"/>
    <col min="3" max="5" width="17.125" style="124" customWidth="1"/>
    <col min="6" max="6" width="18.75" style="124" customWidth="1"/>
    <col min="7" max="7" width="16.875" style="124" customWidth="1"/>
    <col min="8" max="8" width="11.75" style="1" customWidth="1"/>
    <col min="9"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2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402</v>
      </c>
      <c r="B2" s="16"/>
      <c r="C2" s="13"/>
      <c r="D2" s="13"/>
      <c r="E2" s="26"/>
      <c r="F2" s="26"/>
      <c r="G2" s="2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4" spans="1:2009" s="57" customFormat="1" ht="16.5" thickBot="1" x14ac:dyDescent="0.3">
      <c r="A4" s="56"/>
      <c r="B4" s="56"/>
      <c r="C4" s="93" t="s">
        <v>401</v>
      </c>
      <c r="D4" s="93" t="s">
        <v>403</v>
      </c>
      <c r="E4" s="93" t="s">
        <v>383</v>
      </c>
      <c r="F4" s="93" t="s">
        <v>404</v>
      </c>
      <c r="G4" s="93" t="s">
        <v>81</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706" t="s">
        <v>76</v>
      </c>
      <c r="B5" s="707"/>
      <c r="C5" s="149"/>
      <c r="D5" s="149"/>
      <c r="E5" s="157"/>
      <c r="F5" s="157"/>
      <c r="G5" s="14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68" customFormat="1" ht="24.95" hidden="1" customHeight="1" x14ac:dyDescent="0.25">
      <c r="A6" s="363"/>
      <c r="B6" s="125" t="s">
        <v>255</v>
      </c>
      <c r="C6" s="364"/>
      <c r="D6" s="164"/>
      <c r="E6" s="613"/>
      <c r="F6" s="365"/>
      <c r="G6" s="166">
        <f>ROUND(SUM(C6:F6),5)</f>
        <v>0</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c r="ED6" s="367"/>
      <c r="EE6" s="367"/>
      <c r="EF6" s="367"/>
      <c r="EG6" s="367"/>
      <c r="EH6" s="367"/>
      <c r="EI6" s="367"/>
      <c r="EJ6" s="367"/>
      <c r="EK6" s="367"/>
      <c r="EL6" s="367"/>
      <c r="EM6" s="367"/>
      <c r="EN6" s="367"/>
      <c r="EO6" s="367"/>
      <c r="EP6" s="367"/>
      <c r="EQ6" s="367"/>
      <c r="ER6" s="367"/>
      <c r="ES6" s="367"/>
      <c r="ET6" s="367"/>
      <c r="EU6" s="367"/>
      <c r="EV6" s="367"/>
      <c r="EW6" s="367"/>
      <c r="EX6" s="367"/>
      <c r="EY6" s="367"/>
      <c r="EZ6" s="367"/>
      <c r="FA6" s="367"/>
      <c r="FB6" s="367"/>
      <c r="FC6" s="367"/>
      <c r="FD6" s="367"/>
      <c r="FE6" s="367"/>
      <c r="FF6" s="367"/>
      <c r="FG6" s="367"/>
      <c r="FH6" s="367"/>
      <c r="FI6" s="367"/>
      <c r="FJ6" s="367"/>
      <c r="FK6" s="367"/>
      <c r="FL6" s="367"/>
      <c r="FM6" s="367"/>
      <c r="FN6" s="367"/>
      <c r="FO6" s="367"/>
      <c r="FP6" s="367"/>
      <c r="FQ6" s="367"/>
      <c r="FR6" s="367"/>
      <c r="FS6" s="367"/>
      <c r="FT6" s="367"/>
      <c r="FU6" s="367"/>
      <c r="FV6" s="367"/>
      <c r="FW6" s="367"/>
      <c r="FX6" s="367"/>
      <c r="FY6" s="367"/>
      <c r="FZ6" s="367"/>
      <c r="GA6" s="367"/>
      <c r="GB6" s="367"/>
      <c r="GC6" s="367"/>
      <c r="GD6" s="367"/>
      <c r="GE6" s="367"/>
      <c r="GF6" s="367"/>
      <c r="GG6" s="367"/>
      <c r="GH6" s="367"/>
      <c r="GI6" s="367"/>
      <c r="GJ6" s="367"/>
      <c r="GK6" s="367"/>
      <c r="GL6" s="367"/>
      <c r="GM6" s="367"/>
      <c r="GN6" s="367"/>
      <c r="GO6" s="367"/>
      <c r="GP6" s="367"/>
      <c r="GQ6" s="367"/>
      <c r="GR6" s="367"/>
      <c r="GS6" s="367"/>
      <c r="GT6" s="367"/>
      <c r="GU6" s="367"/>
      <c r="GV6" s="367"/>
      <c r="GW6" s="367"/>
      <c r="GX6" s="367"/>
      <c r="GY6" s="367"/>
      <c r="GZ6" s="367"/>
      <c r="HA6" s="367"/>
      <c r="HB6" s="367"/>
      <c r="HC6" s="367"/>
      <c r="HD6" s="367"/>
      <c r="HE6" s="367"/>
      <c r="HF6" s="367"/>
      <c r="HG6" s="367"/>
      <c r="HH6" s="367"/>
      <c r="HI6" s="367"/>
      <c r="HJ6" s="367"/>
      <c r="HK6" s="367"/>
      <c r="HL6" s="367"/>
      <c r="HM6" s="367"/>
      <c r="HN6" s="367"/>
      <c r="HO6" s="367"/>
      <c r="HP6" s="367"/>
      <c r="HQ6" s="367"/>
      <c r="HR6" s="367"/>
      <c r="HS6" s="367"/>
      <c r="HT6" s="367"/>
      <c r="HU6" s="367"/>
      <c r="HV6" s="367"/>
      <c r="HW6" s="367"/>
      <c r="HX6" s="367"/>
      <c r="HY6" s="367"/>
      <c r="HZ6" s="367"/>
      <c r="IA6" s="367"/>
      <c r="IB6" s="367"/>
      <c r="IC6" s="367"/>
      <c r="ID6" s="367"/>
      <c r="IE6" s="367"/>
      <c r="IF6" s="367"/>
      <c r="IG6" s="367"/>
      <c r="IH6" s="367"/>
      <c r="II6" s="367"/>
      <c r="IJ6" s="367"/>
      <c r="IK6" s="367"/>
      <c r="IL6" s="367"/>
      <c r="IM6" s="367"/>
      <c r="IN6" s="367"/>
      <c r="IO6" s="367"/>
      <c r="IP6" s="367"/>
      <c r="IQ6" s="367"/>
      <c r="IR6" s="367"/>
      <c r="IS6" s="367"/>
      <c r="IT6" s="367"/>
      <c r="IU6" s="367"/>
      <c r="IV6" s="367"/>
      <c r="IW6" s="367"/>
      <c r="IX6" s="367"/>
      <c r="IY6" s="367"/>
      <c r="IZ6" s="367"/>
      <c r="JA6" s="367"/>
      <c r="JB6" s="367"/>
      <c r="JC6" s="367"/>
      <c r="JD6" s="367"/>
      <c r="JE6" s="367"/>
      <c r="JF6" s="367"/>
      <c r="JG6" s="367"/>
      <c r="JH6" s="367"/>
      <c r="JI6" s="367"/>
      <c r="JJ6" s="367"/>
      <c r="JK6" s="367"/>
      <c r="JL6" s="367"/>
      <c r="JM6" s="367"/>
      <c r="JN6" s="367"/>
      <c r="JO6" s="367"/>
      <c r="JP6" s="367"/>
      <c r="JQ6" s="367"/>
      <c r="JR6" s="367"/>
      <c r="JS6" s="367"/>
      <c r="JT6" s="367"/>
      <c r="JU6" s="367"/>
      <c r="JV6" s="367"/>
      <c r="JW6" s="367"/>
      <c r="JX6" s="367"/>
      <c r="JY6" s="367"/>
      <c r="JZ6" s="367"/>
      <c r="KA6" s="367"/>
      <c r="KB6" s="367"/>
      <c r="KC6" s="367"/>
      <c r="KD6" s="367"/>
      <c r="KE6" s="367"/>
      <c r="KF6" s="367"/>
      <c r="KG6" s="367"/>
      <c r="KH6" s="367"/>
      <c r="KI6" s="367"/>
      <c r="KJ6" s="367"/>
      <c r="KK6" s="367"/>
      <c r="KL6" s="367"/>
      <c r="KM6" s="367"/>
      <c r="KN6" s="367"/>
      <c r="KO6" s="367"/>
      <c r="KP6" s="367"/>
      <c r="KQ6" s="367"/>
      <c r="KR6" s="367"/>
      <c r="KS6" s="367"/>
      <c r="KT6" s="367"/>
      <c r="KU6" s="367"/>
      <c r="KV6" s="367"/>
      <c r="KW6" s="367"/>
      <c r="KX6" s="367"/>
      <c r="KY6" s="367"/>
      <c r="KZ6" s="367"/>
      <c r="LA6" s="367"/>
      <c r="LB6" s="367"/>
      <c r="LC6" s="367"/>
      <c r="LD6" s="367"/>
      <c r="LE6" s="367"/>
      <c r="LF6" s="367"/>
      <c r="LG6" s="367"/>
      <c r="LH6" s="367"/>
      <c r="LI6" s="367"/>
      <c r="LJ6" s="367"/>
      <c r="LK6" s="367"/>
      <c r="LL6" s="367"/>
      <c r="LM6" s="367"/>
      <c r="LN6" s="367"/>
      <c r="LO6" s="367"/>
      <c r="LP6" s="367"/>
      <c r="LQ6" s="367"/>
      <c r="LR6" s="367"/>
      <c r="LS6" s="367"/>
      <c r="LT6" s="367"/>
      <c r="LU6" s="367"/>
      <c r="LV6" s="367"/>
      <c r="LW6" s="367"/>
      <c r="LX6" s="367"/>
      <c r="LY6" s="367"/>
      <c r="LZ6" s="367"/>
      <c r="MA6" s="367"/>
      <c r="MB6" s="367"/>
      <c r="MC6" s="367"/>
      <c r="MD6" s="367"/>
      <c r="ME6" s="367"/>
      <c r="MF6" s="367"/>
      <c r="MG6" s="367"/>
      <c r="MH6" s="367"/>
      <c r="MI6" s="367"/>
      <c r="MJ6" s="367"/>
      <c r="MK6" s="367"/>
      <c r="ML6" s="367"/>
      <c r="MM6" s="367"/>
      <c r="MN6" s="367"/>
      <c r="MO6" s="367"/>
      <c r="MP6" s="367"/>
      <c r="MQ6" s="367"/>
      <c r="MR6" s="367"/>
      <c r="MS6" s="367"/>
      <c r="MT6" s="367"/>
      <c r="MU6" s="367"/>
      <c r="MV6" s="367"/>
      <c r="MW6" s="367"/>
      <c r="MX6" s="367"/>
      <c r="MY6" s="367"/>
      <c r="MZ6" s="367"/>
      <c r="NA6" s="367"/>
      <c r="NB6" s="367"/>
      <c r="NC6" s="367"/>
      <c r="ND6" s="367"/>
      <c r="NE6" s="367"/>
      <c r="NF6" s="367"/>
      <c r="NG6" s="367"/>
      <c r="NH6" s="367"/>
      <c r="NI6" s="367"/>
      <c r="NJ6" s="367"/>
      <c r="NK6" s="367"/>
      <c r="NL6" s="367"/>
      <c r="NM6" s="367"/>
      <c r="NN6" s="367"/>
      <c r="NO6" s="367"/>
      <c r="NP6" s="367"/>
      <c r="NQ6" s="367"/>
      <c r="NR6" s="367"/>
      <c r="NS6" s="367"/>
      <c r="NT6" s="367"/>
      <c r="NU6" s="367"/>
      <c r="NV6" s="367"/>
      <c r="NW6" s="367"/>
      <c r="NX6" s="367"/>
      <c r="NY6" s="367"/>
      <c r="NZ6" s="367"/>
      <c r="OA6" s="367"/>
      <c r="OB6" s="367"/>
      <c r="OC6" s="367"/>
      <c r="OD6" s="367"/>
      <c r="OE6" s="367"/>
      <c r="OF6" s="367"/>
      <c r="OG6" s="367"/>
      <c r="OH6" s="367"/>
      <c r="OI6" s="367"/>
      <c r="OJ6" s="367"/>
      <c r="OK6" s="367"/>
      <c r="OL6" s="367"/>
      <c r="OM6" s="367"/>
      <c r="ON6" s="367"/>
      <c r="OO6" s="367"/>
      <c r="OP6" s="367"/>
      <c r="OQ6" s="367"/>
      <c r="OR6" s="367"/>
      <c r="OS6" s="367"/>
      <c r="OT6" s="367"/>
      <c r="OU6" s="367"/>
      <c r="OV6" s="367"/>
      <c r="OW6" s="367"/>
      <c r="OX6" s="367"/>
      <c r="OY6" s="367"/>
      <c r="OZ6" s="367"/>
      <c r="PA6" s="367"/>
      <c r="PB6" s="367"/>
      <c r="PC6" s="367"/>
      <c r="PD6" s="367"/>
      <c r="PE6" s="367"/>
      <c r="PF6" s="367"/>
      <c r="PG6" s="367"/>
      <c r="PH6" s="367"/>
      <c r="PI6" s="367"/>
      <c r="PJ6" s="367"/>
      <c r="PK6" s="367"/>
      <c r="PL6" s="367"/>
      <c r="PM6" s="367"/>
      <c r="PN6" s="367"/>
      <c r="PO6" s="367"/>
      <c r="PP6" s="367"/>
      <c r="PQ6" s="367"/>
      <c r="PR6" s="367"/>
      <c r="PS6" s="367"/>
      <c r="PT6" s="367"/>
      <c r="PU6" s="367"/>
      <c r="PV6" s="367"/>
      <c r="PW6" s="367"/>
      <c r="PX6" s="367"/>
      <c r="PY6" s="367"/>
      <c r="PZ6" s="367"/>
      <c r="QA6" s="367"/>
      <c r="QB6" s="367"/>
      <c r="QC6" s="367"/>
      <c r="QD6" s="367"/>
      <c r="QE6" s="367"/>
      <c r="QF6" s="367"/>
      <c r="QG6" s="367"/>
      <c r="QH6" s="367"/>
      <c r="QI6" s="367"/>
      <c r="QJ6" s="367"/>
      <c r="QK6" s="367"/>
      <c r="QL6" s="367"/>
      <c r="QM6" s="367"/>
      <c r="QN6" s="367"/>
      <c r="QO6" s="367"/>
      <c r="QP6" s="367"/>
      <c r="QQ6" s="367"/>
      <c r="QR6" s="367"/>
      <c r="QS6" s="367"/>
      <c r="QT6" s="367"/>
      <c r="QU6" s="367"/>
      <c r="QV6" s="367"/>
      <c r="QW6" s="367"/>
      <c r="QX6" s="367"/>
      <c r="QY6" s="367"/>
      <c r="QZ6" s="367"/>
      <c r="RA6" s="367"/>
      <c r="RB6" s="367"/>
      <c r="RC6" s="367"/>
      <c r="RD6" s="367"/>
      <c r="RE6" s="367"/>
      <c r="RF6" s="367"/>
      <c r="RG6" s="367"/>
      <c r="RH6" s="367"/>
      <c r="RI6" s="367"/>
      <c r="RJ6" s="367"/>
      <c r="RK6" s="367"/>
      <c r="RL6" s="367"/>
      <c r="RM6" s="367"/>
      <c r="RN6" s="367"/>
      <c r="RO6" s="367"/>
      <c r="RP6" s="367"/>
      <c r="RQ6" s="367"/>
      <c r="RR6" s="367"/>
      <c r="RS6" s="367"/>
      <c r="RT6" s="367"/>
      <c r="RU6" s="367"/>
      <c r="RV6" s="367"/>
      <c r="RW6" s="367"/>
      <c r="RX6" s="367"/>
      <c r="RY6" s="367"/>
      <c r="RZ6" s="367"/>
      <c r="SA6" s="367"/>
      <c r="SB6" s="367"/>
      <c r="SC6" s="367"/>
      <c r="SD6" s="367"/>
      <c r="SE6" s="367"/>
      <c r="SF6" s="367"/>
      <c r="SG6" s="367"/>
      <c r="SH6" s="367"/>
      <c r="SI6" s="367"/>
      <c r="SJ6" s="367"/>
      <c r="SK6" s="367"/>
      <c r="SL6" s="367"/>
      <c r="SM6" s="367"/>
      <c r="SN6" s="367"/>
      <c r="SO6" s="367"/>
      <c r="SP6" s="367"/>
      <c r="SQ6" s="367"/>
      <c r="SR6" s="367"/>
      <c r="SS6" s="367"/>
      <c r="ST6" s="367"/>
      <c r="SU6" s="367"/>
      <c r="SV6" s="367"/>
      <c r="SW6" s="367"/>
      <c r="SX6" s="367"/>
      <c r="SY6" s="367"/>
      <c r="SZ6" s="367"/>
      <c r="TA6" s="367"/>
      <c r="TB6" s="367"/>
      <c r="TC6" s="367"/>
      <c r="TD6" s="367"/>
      <c r="TE6" s="367"/>
      <c r="TF6" s="367"/>
      <c r="TG6" s="367"/>
      <c r="TH6" s="367"/>
      <c r="TI6" s="367"/>
      <c r="TJ6" s="367"/>
      <c r="TK6" s="367"/>
      <c r="TL6" s="367"/>
      <c r="TM6" s="367"/>
      <c r="TN6" s="367"/>
      <c r="TO6" s="367"/>
      <c r="TP6" s="367"/>
      <c r="TQ6" s="367"/>
      <c r="TR6" s="367"/>
      <c r="TS6" s="367"/>
      <c r="TT6" s="367"/>
      <c r="TU6" s="367"/>
      <c r="TV6" s="367"/>
      <c r="TW6" s="367"/>
      <c r="TX6" s="367"/>
      <c r="TY6" s="367"/>
      <c r="TZ6" s="367"/>
      <c r="UA6" s="367"/>
      <c r="UB6" s="367"/>
      <c r="UC6" s="367"/>
      <c r="UD6" s="367"/>
      <c r="UE6" s="367"/>
      <c r="UF6" s="367"/>
      <c r="UG6" s="367"/>
      <c r="UH6" s="367"/>
      <c r="UI6" s="367"/>
      <c r="UJ6" s="367"/>
      <c r="UK6" s="367"/>
      <c r="UL6" s="367"/>
      <c r="UM6" s="367"/>
      <c r="UN6" s="367"/>
      <c r="UO6" s="367"/>
      <c r="UP6" s="367"/>
      <c r="UQ6" s="367"/>
      <c r="UR6" s="367"/>
      <c r="US6" s="367"/>
      <c r="UT6" s="367"/>
      <c r="UU6" s="367"/>
      <c r="UV6" s="367"/>
      <c r="UW6" s="367"/>
      <c r="UX6" s="367"/>
      <c r="UY6" s="367"/>
      <c r="UZ6" s="367"/>
      <c r="VA6" s="367"/>
      <c r="VB6" s="367"/>
      <c r="VC6" s="367"/>
      <c r="VD6" s="367"/>
      <c r="VE6" s="367"/>
      <c r="VF6" s="367"/>
      <c r="VG6" s="367"/>
      <c r="VH6" s="367"/>
      <c r="VI6" s="367"/>
      <c r="VJ6" s="367"/>
      <c r="VK6" s="367"/>
      <c r="VL6" s="367"/>
      <c r="VM6" s="367"/>
      <c r="VN6" s="367"/>
      <c r="VO6" s="367"/>
      <c r="VP6" s="367"/>
      <c r="VQ6" s="367"/>
      <c r="VR6" s="367"/>
      <c r="VS6" s="367"/>
      <c r="VT6" s="367"/>
      <c r="VU6" s="367"/>
      <c r="VV6" s="367"/>
      <c r="VW6" s="367"/>
      <c r="VX6" s="367"/>
      <c r="VY6" s="367"/>
      <c r="VZ6" s="367"/>
      <c r="WA6" s="367"/>
      <c r="WB6" s="367"/>
      <c r="WC6" s="367"/>
      <c r="WD6" s="367"/>
      <c r="WE6" s="367"/>
      <c r="WF6" s="367"/>
      <c r="WG6" s="367"/>
      <c r="WH6" s="367"/>
      <c r="WI6" s="367"/>
      <c r="WJ6" s="367"/>
      <c r="WK6" s="367"/>
      <c r="WL6" s="367"/>
      <c r="WM6" s="367"/>
      <c r="WN6" s="367"/>
      <c r="WO6" s="367"/>
      <c r="WP6" s="367"/>
      <c r="WQ6" s="367"/>
      <c r="WR6" s="367"/>
      <c r="WS6" s="367"/>
      <c r="WT6" s="367"/>
      <c r="WU6" s="367"/>
      <c r="WV6" s="367"/>
      <c r="WW6" s="367"/>
      <c r="WX6" s="367"/>
      <c r="WY6" s="367"/>
      <c r="WZ6" s="367"/>
      <c r="XA6" s="367"/>
      <c r="XB6" s="367"/>
      <c r="XC6" s="367"/>
      <c r="XD6" s="367"/>
      <c r="XE6" s="367"/>
      <c r="XF6" s="367"/>
      <c r="XG6" s="367"/>
      <c r="XH6" s="367"/>
      <c r="XI6" s="367"/>
      <c r="XJ6" s="367"/>
      <c r="XK6" s="367"/>
      <c r="XL6" s="367"/>
      <c r="XM6" s="367"/>
      <c r="XN6" s="367"/>
      <c r="XO6" s="367"/>
      <c r="XP6" s="367"/>
      <c r="XQ6" s="367"/>
      <c r="XR6" s="367"/>
      <c r="XS6" s="367"/>
      <c r="XT6" s="367"/>
      <c r="XU6" s="367"/>
      <c r="XV6" s="367"/>
      <c r="XW6" s="367"/>
      <c r="XX6" s="367"/>
      <c r="XY6" s="367"/>
      <c r="XZ6" s="367"/>
      <c r="YA6" s="367"/>
      <c r="YB6" s="367"/>
      <c r="YC6" s="367"/>
      <c r="YD6" s="367"/>
      <c r="YE6" s="367"/>
      <c r="YF6" s="367"/>
      <c r="YG6" s="367"/>
      <c r="YH6" s="367"/>
      <c r="YI6" s="367"/>
      <c r="YJ6" s="367"/>
      <c r="YK6" s="367"/>
      <c r="YL6" s="367"/>
      <c r="YM6" s="367"/>
      <c r="YN6" s="367"/>
      <c r="YO6" s="367"/>
      <c r="YP6" s="367"/>
      <c r="YQ6" s="367"/>
      <c r="YR6" s="367"/>
      <c r="YS6" s="367"/>
      <c r="YT6" s="367"/>
      <c r="YU6" s="367"/>
      <c r="YV6" s="367"/>
      <c r="YW6" s="367"/>
      <c r="YX6" s="367"/>
      <c r="YY6" s="367"/>
      <c r="YZ6" s="367"/>
      <c r="ZA6" s="367"/>
      <c r="ZB6" s="367"/>
      <c r="ZC6" s="367"/>
      <c r="ZD6" s="367"/>
      <c r="ZE6" s="367"/>
      <c r="ZF6" s="367"/>
      <c r="ZG6" s="367"/>
      <c r="ZH6" s="367"/>
      <c r="ZI6" s="367"/>
      <c r="ZJ6" s="367"/>
      <c r="ZK6" s="367"/>
      <c r="ZL6" s="367"/>
      <c r="ZM6" s="367"/>
      <c r="ZN6" s="367"/>
      <c r="ZO6" s="367"/>
      <c r="ZP6" s="367"/>
      <c r="ZQ6" s="367"/>
      <c r="ZR6" s="367"/>
      <c r="ZS6" s="367"/>
      <c r="ZT6" s="367"/>
      <c r="ZU6" s="367"/>
      <c r="ZV6" s="367"/>
      <c r="ZW6" s="367"/>
      <c r="ZX6" s="367"/>
      <c r="ZY6" s="367"/>
      <c r="ZZ6" s="367"/>
      <c r="AAA6" s="367"/>
      <c r="AAB6" s="367"/>
      <c r="AAC6" s="367"/>
      <c r="AAD6" s="367"/>
      <c r="AAE6" s="367"/>
      <c r="AAF6" s="367"/>
      <c r="AAG6" s="367"/>
      <c r="AAH6" s="367"/>
      <c r="AAI6" s="367"/>
      <c r="AAJ6" s="367"/>
      <c r="AAK6" s="367"/>
      <c r="AAL6" s="367"/>
      <c r="AAM6" s="367"/>
      <c r="AAN6" s="367"/>
      <c r="AAO6" s="367"/>
      <c r="AAP6" s="367"/>
      <c r="AAQ6" s="367"/>
      <c r="AAR6" s="367"/>
      <c r="AAS6" s="367"/>
      <c r="AAT6" s="367"/>
      <c r="AAU6" s="367"/>
      <c r="AAV6" s="367"/>
      <c r="AAW6" s="367"/>
      <c r="AAX6" s="367"/>
      <c r="AAY6" s="367"/>
      <c r="AAZ6" s="367"/>
      <c r="ABA6" s="367"/>
      <c r="ABB6" s="367"/>
      <c r="ABC6" s="367"/>
      <c r="ABD6" s="367"/>
      <c r="ABE6" s="367"/>
      <c r="ABF6" s="367"/>
      <c r="ABG6" s="367"/>
      <c r="ABH6" s="367"/>
      <c r="ABI6" s="367"/>
      <c r="ABJ6" s="367"/>
      <c r="ABK6" s="367"/>
      <c r="ABL6" s="367"/>
      <c r="ABM6" s="367"/>
      <c r="ABN6" s="367"/>
      <c r="ABO6" s="367"/>
      <c r="ABP6" s="367"/>
      <c r="ABQ6" s="367"/>
      <c r="ABR6" s="367"/>
      <c r="ABS6" s="367"/>
      <c r="ABT6" s="367"/>
      <c r="ABU6" s="367"/>
      <c r="ABV6" s="367"/>
      <c r="ABW6" s="367"/>
      <c r="ABX6" s="367"/>
      <c r="ABY6" s="367"/>
      <c r="ABZ6" s="367"/>
      <c r="ACA6" s="367"/>
      <c r="ACB6" s="367"/>
      <c r="ACC6" s="367"/>
      <c r="ACD6" s="367"/>
      <c r="ACE6" s="367"/>
      <c r="ACF6" s="367"/>
      <c r="ACG6" s="367"/>
      <c r="ACH6" s="367"/>
      <c r="ACI6" s="367"/>
      <c r="ACJ6" s="367"/>
      <c r="ACK6" s="367"/>
      <c r="ACL6" s="367"/>
      <c r="ACM6" s="367"/>
      <c r="ACN6" s="367"/>
      <c r="ACO6" s="367"/>
      <c r="ACP6" s="367"/>
      <c r="ACQ6" s="367"/>
      <c r="ACR6" s="367"/>
      <c r="ACS6" s="367"/>
      <c r="ACT6" s="367"/>
      <c r="ACU6" s="367"/>
      <c r="ACV6" s="367"/>
      <c r="ACW6" s="367"/>
      <c r="ACX6" s="367"/>
      <c r="ACY6" s="367"/>
      <c r="ACZ6" s="367"/>
      <c r="ADA6" s="367"/>
      <c r="ADB6" s="367"/>
      <c r="ADC6" s="367"/>
      <c r="ADD6" s="367"/>
      <c r="ADE6" s="367"/>
      <c r="ADF6" s="367"/>
      <c r="ADG6" s="367"/>
      <c r="ADH6" s="367"/>
      <c r="ADI6" s="367"/>
      <c r="ADJ6" s="367"/>
      <c r="ADK6" s="367"/>
      <c r="ADL6" s="367"/>
      <c r="ADM6" s="367"/>
      <c r="ADN6" s="367"/>
      <c r="ADO6" s="367"/>
      <c r="ADP6" s="367"/>
      <c r="ADQ6" s="367"/>
      <c r="ADR6" s="367"/>
      <c r="ADS6" s="367"/>
      <c r="ADT6" s="367"/>
      <c r="ADU6" s="367"/>
      <c r="ADV6" s="367"/>
      <c r="ADW6" s="367"/>
      <c r="ADX6" s="367"/>
      <c r="ADY6" s="367"/>
      <c r="ADZ6" s="367"/>
      <c r="AEA6" s="367"/>
      <c r="AEB6" s="367"/>
      <c r="AEC6" s="367"/>
      <c r="AED6" s="367"/>
      <c r="AEE6" s="367"/>
      <c r="AEF6" s="367"/>
      <c r="AEG6" s="367"/>
      <c r="AEH6" s="367"/>
      <c r="AEI6" s="367"/>
      <c r="AEJ6" s="367"/>
      <c r="AEK6" s="367"/>
      <c r="AEL6" s="367"/>
      <c r="AEM6" s="367"/>
      <c r="AEN6" s="367"/>
      <c r="AEO6" s="367"/>
      <c r="AEP6" s="367"/>
      <c r="AEQ6" s="367"/>
      <c r="AER6" s="367"/>
      <c r="AES6" s="367"/>
      <c r="AET6" s="367"/>
      <c r="AEU6" s="367"/>
      <c r="AEV6" s="367"/>
      <c r="AEW6" s="367"/>
      <c r="AEX6" s="367"/>
      <c r="AEY6" s="367"/>
      <c r="AEZ6" s="367"/>
      <c r="AFA6" s="367"/>
      <c r="AFB6" s="367"/>
      <c r="AFC6" s="367"/>
      <c r="AFD6" s="367"/>
      <c r="AFE6" s="367"/>
      <c r="AFF6" s="367"/>
      <c r="AFG6" s="367"/>
      <c r="AFH6" s="367"/>
      <c r="AFI6" s="367"/>
      <c r="AFJ6" s="367"/>
      <c r="AFK6" s="367"/>
      <c r="AFL6" s="367"/>
      <c r="AFM6" s="367"/>
      <c r="AFN6" s="367"/>
      <c r="AFO6" s="367"/>
      <c r="AFP6" s="367"/>
      <c r="AFQ6" s="367"/>
      <c r="AFR6" s="367"/>
      <c r="AFS6" s="367"/>
      <c r="AFT6" s="367"/>
      <c r="AFU6" s="367"/>
      <c r="AFV6" s="367"/>
      <c r="AFW6" s="367"/>
      <c r="AFX6" s="367"/>
      <c r="AFY6" s="367"/>
      <c r="AFZ6" s="367"/>
      <c r="AGA6" s="367"/>
      <c r="AGB6" s="367"/>
      <c r="AGC6" s="367"/>
      <c r="AGD6" s="367"/>
      <c r="AGE6" s="367"/>
      <c r="AGF6" s="367"/>
      <c r="AGG6" s="367"/>
      <c r="AGH6" s="367"/>
      <c r="AGI6" s="367"/>
      <c r="AGJ6" s="367"/>
      <c r="AGK6" s="367"/>
      <c r="AGL6" s="367"/>
      <c r="AGM6" s="367"/>
      <c r="AGN6" s="367"/>
      <c r="AGO6" s="367"/>
      <c r="AGP6" s="367"/>
      <c r="AGQ6" s="367"/>
      <c r="AGR6" s="367"/>
      <c r="AGS6" s="367"/>
      <c r="AGT6" s="367"/>
      <c r="AGU6" s="367"/>
      <c r="AGV6" s="367"/>
      <c r="AGW6" s="367"/>
      <c r="AGX6" s="367"/>
      <c r="AGY6" s="367"/>
      <c r="AGZ6" s="367"/>
      <c r="AHA6" s="367"/>
      <c r="AHB6" s="367"/>
      <c r="AHC6" s="367"/>
      <c r="AHD6" s="367"/>
      <c r="AHE6" s="367"/>
      <c r="AHF6" s="367"/>
      <c r="AHG6" s="367"/>
      <c r="AHH6" s="367"/>
      <c r="AHI6" s="367"/>
      <c r="AHJ6" s="367"/>
      <c r="AHK6" s="367"/>
      <c r="AHL6" s="367"/>
      <c r="AHM6" s="367"/>
      <c r="AHN6" s="367"/>
      <c r="AHO6" s="367"/>
      <c r="AHP6" s="367"/>
      <c r="AHQ6" s="367"/>
      <c r="AHR6" s="367"/>
      <c r="AHS6" s="367"/>
      <c r="AHT6" s="367"/>
      <c r="AHU6" s="367"/>
      <c r="AHV6" s="367"/>
      <c r="AHW6" s="367"/>
      <c r="AHX6" s="367"/>
      <c r="AHY6" s="367"/>
      <c r="AHZ6" s="367"/>
      <c r="AIA6" s="367"/>
      <c r="AIB6" s="367"/>
      <c r="AIC6" s="367"/>
      <c r="AID6" s="367"/>
      <c r="AIE6" s="367"/>
      <c r="AIF6" s="367"/>
      <c r="AIG6" s="367"/>
      <c r="AIH6" s="367"/>
      <c r="AII6" s="367"/>
      <c r="AIJ6" s="367"/>
      <c r="AIK6" s="367"/>
      <c r="AIL6" s="367"/>
      <c r="AIM6" s="367"/>
      <c r="AIN6" s="367"/>
      <c r="AIO6" s="367"/>
      <c r="AIP6" s="367"/>
      <c r="AIQ6" s="367"/>
      <c r="AIR6" s="367"/>
      <c r="AIS6" s="367"/>
      <c r="AIT6" s="367"/>
      <c r="AIU6" s="367"/>
      <c r="AIV6" s="367"/>
      <c r="AIW6" s="367"/>
      <c r="AIX6" s="367"/>
      <c r="AIY6" s="367"/>
      <c r="AIZ6" s="367"/>
      <c r="AJA6" s="367"/>
      <c r="AJB6" s="367"/>
      <c r="AJC6" s="367"/>
      <c r="AJD6" s="367"/>
      <c r="AJE6" s="367"/>
      <c r="AJF6" s="367"/>
      <c r="AJG6" s="367"/>
      <c r="AJH6" s="367"/>
      <c r="AJI6" s="367"/>
      <c r="AJJ6" s="367"/>
      <c r="AJK6" s="367"/>
      <c r="AJL6" s="367"/>
      <c r="AJM6" s="367"/>
      <c r="AJN6" s="367"/>
      <c r="AJO6" s="367"/>
      <c r="AJP6" s="367"/>
      <c r="AJQ6" s="367"/>
      <c r="AJR6" s="367"/>
      <c r="AJS6" s="367"/>
      <c r="AJT6" s="367"/>
      <c r="AJU6" s="367"/>
      <c r="AJV6" s="367"/>
      <c r="AJW6" s="367"/>
      <c r="AJX6" s="367"/>
      <c r="AJY6" s="367"/>
      <c r="AJZ6" s="367"/>
      <c r="AKA6" s="367"/>
      <c r="AKB6" s="367"/>
      <c r="AKC6" s="367"/>
      <c r="AKD6" s="367"/>
      <c r="AKE6" s="367"/>
      <c r="AKF6" s="367"/>
      <c r="AKG6" s="367"/>
      <c r="AKH6" s="367"/>
      <c r="AKI6" s="367"/>
      <c r="AKJ6" s="367"/>
      <c r="AKK6" s="367"/>
      <c r="AKL6" s="367"/>
      <c r="AKM6" s="367"/>
      <c r="AKN6" s="367"/>
      <c r="AKO6" s="367"/>
      <c r="AKP6" s="367"/>
      <c r="AKQ6" s="367"/>
      <c r="AKR6" s="367"/>
      <c r="AKS6" s="367"/>
      <c r="AKT6" s="367"/>
      <c r="AKU6" s="367"/>
      <c r="AKV6" s="367"/>
      <c r="AKW6" s="367"/>
      <c r="AKX6" s="367"/>
      <c r="AKY6" s="367"/>
      <c r="AKZ6" s="367"/>
      <c r="ALA6" s="367"/>
      <c r="ALB6" s="367"/>
      <c r="ALC6" s="367"/>
      <c r="ALD6" s="367"/>
      <c r="ALE6" s="367"/>
      <c r="ALF6" s="367"/>
      <c r="ALG6" s="367"/>
      <c r="ALH6" s="367"/>
      <c r="ALI6" s="367"/>
      <c r="ALJ6" s="367"/>
      <c r="ALK6" s="367"/>
      <c r="ALL6" s="367"/>
      <c r="ALM6" s="367"/>
      <c r="ALN6" s="367"/>
      <c r="ALO6" s="367"/>
      <c r="ALP6" s="367"/>
      <c r="ALQ6" s="367"/>
      <c r="ALR6" s="367"/>
      <c r="ALS6" s="367"/>
      <c r="ALT6" s="367"/>
      <c r="ALU6" s="367"/>
      <c r="ALV6" s="367"/>
      <c r="ALW6" s="367"/>
      <c r="ALX6" s="367"/>
      <c r="ALY6" s="367"/>
      <c r="ALZ6" s="367"/>
      <c r="AMA6" s="367"/>
      <c r="AMB6" s="367"/>
      <c r="AMC6" s="367"/>
      <c r="AMD6" s="367"/>
      <c r="AME6" s="367"/>
      <c r="AMF6" s="367"/>
      <c r="AMG6" s="367"/>
      <c r="AMH6" s="367"/>
      <c r="AMI6" s="367"/>
      <c r="AMJ6" s="367"/>
      <c r="AMK6" s="367"/>
      <c r="AML6" s="367"/>
      <c r="AMM6" s="367"/>
      <c r="AMN6" s="367"/>
      <c r="AMO6" s="367"/>
      <c r="AMP6" s="367"/>
      <c r="AMQ6" s="367"/>
      <c r="AMR6" s="367"/>
      <c r="AMS6" s="367"/>
      <c r="AMT6" s="367"/>
      <c r="AMU6" s="367"/>
      <c r="AMV6" s="367"/>
      <c r="AMW6" s="367"/>
      <c r="AMX6" s="367"/>
      <c r="AMY6" s="367"/>
      <c r="AMZ6" s="367"/>
      <c r="ANA6" s="367"/>
      <c r="ANB6" s="367"/>
      <c r="ANC6" s="367"/>
      <c r="AND6" s="367"/>
      <c r="ANE6" s="367"/>
      <c r="ANF6" s="367"/>
      <c r="ANG6" s="367"/>
      <c r="ANH6" s="367"/>
      <c r="ANI6" s="367"/>
      <c r="ANJ6" s="367"/>
      <c r="ANK6" s="367"/>
      <c r="ANL6" s="367"/>
      <c r="ANM6" s="367"/>
      <c r="ANN6" s="367"/>
      <c r="ANO6" s="367"/>
      <c r="ANP6" s="367"/>
      <c r="ANQ6" s="367"/>
      <c r="ANR6" s="367"/>
      <c r="ANS6" s="367"/>
      <c r="ANT6" s="367"/>
      <c r="ANU6" s="367"/>
      <c r="ANV6" s="367"/>
      <c r="ANW6" s="367"/>
      <c r="ANX6" s="367"/>
      <c r="ANY6" s="367"/>
      <c r="ANZ6" s="367"/>
      <c r="AOA6" s="367"/>
      <c r="AOB6" s="367"/>
      <c r="AOC6" s="367"/>
      <c r="AOD6" s="367"/>
      <c r="AOE6" s="367"/>
      <c r="AOF6" s="367"/>
      <c r="AOG6" s="367"/>
      <c r="AOH6" s="367"/>
      <c r="AOI6" s="367"/>
      <c r="AOJ6" s="367"/>
      <c r="AOK6" s="367"/>
      <c r="AOL6" s="367"/>
      <c r="AOM6" s="367"/>
      <c r="AON6" s="367"/>
      <c r="AOO6" s="367"/>
      <c r="AOP6" s="367"/>
      <c r="AOQ6" s="367"/>
      <c r="AOR6" s="367"/>
      <c r="AOS6" s="367"/>
      <c r="AOT6" s="367"/>
      <c r="AOU6" s="367"/>
      <c r="AOV6" s="367"/>
      <c r="AOW6" s="367"/>
      <c r="AOX6" s="367"/>
      <c r="AOY6" s="367"/>
      <c r="AOZ6" s="367"/>
      <c r="APA6" s="367"/>
      <c r="APB6" s="367"/>
      <c r="APC6" s="367"/>
      <c r="APD6" s="367"/>
      <c r="APE6" s="367"/>
      <c r="APF6" s="367"/>
      <c r="APG6" s="367"/>
      <c r="APH6" s="367"/>
      <c r="API6" s="367"/>
      <c r="APJ6" s="367"/>
      <c r="APK6" s="367"/>
      <c r="APL6" s="367"/>
      <c r="APM6" s="367"/>
      <c r="APN6" s="367"/>
      <c r="APO6" s="367"/>
      <c r="APP6" s="367"/>
      <c r="APQ6" s="367"/>
      <c r="APR6" s="367"/>
      <c r="APS6" s="367"/>
      <c r="APT6" s="367"/>
      <c r="APU6" s="367"/>
      <c r="APV6" s="367"/>
      <c r="APW6" s="367"/>
      <c r="APX6" s="367"/>
      <c r="APY6" s="367"/>
      <c r="APZ6" s="367"/>
      <c r="AQA6" s="367"/>
      <c r="AQB6" s="367"/>
      <c r="AQC6" s="367"/>
      <c r="AQD6" s="367"/>
      <c r="AQE6" s="367"/>
      <c r="AQF6" s="367"/>
      <c r="AQG6" s="367"/>
      <c r="AQH6" s="367"/>
      <c r="AQI6" s="367"/>
      <c r="AQJ6" s="367"/>
      <c r="AQK6" s="367"/>
      <c r="AQL6" s="367"/>
      <c r="AQM6" s="367"/>
      <c r="AQN6" s="367"/>
      <c r="AQO6" s="367"/>
      <c r="AQP6" s="367"/>
      <c r="AQQ6" s="367"/>
      <c r="AQR6" s="367"/>
      <c r="AQS6" s="367"/>
      <c r="AQT6" s="367"/>
      <c r="AQU6" s="367"/>
      <c r="AQV6" s="367"/>
      <c r="AQW6" s="367"/>
      <c r="AQX6" s="367"/>
      <c r="AQY6" s="367"/>
      <c r="AQZ6" s="367"/>
      <c r="ARA6" s="367"/>
      <c r="ARB6" s="367"/>
      <c r="ARC6" s="367"/>
      <c r="ARD6" s="367"/>
      <c r="ARE6" s="367"/>
      <c r="ARF6" s="367"/>
      <c r="ARG6" s="367"/>
      <c r="ARH6" s="367"/>
      <c r="ARI6" s="367"/>
      <c r="ARJ6" s="367"/>
      <c r="ARK6" s="367"/>
      <c r="ARL6" s="367"/>
      <c r="ARM6" s="367"/>
      <c r="ARN6" s="367"/>
      <c r="ARO6" s="367"/>
      <c r="ARP6" s="367"/>
      <c r="ARQ6" s="367"/>
      <c r="ARR6" s="367"/>
      <c r="ARS6" s="367"/>
      <c r="ART6" s="367"/>
      <c r="ARU6" s="367"/>
      <c r="ARV6" s="367"/>
      <c r="ARW6" s="367"/>
      <c r="ARX6" s="367"/>
      <c r="ARY6" s="367"/>
      <c r="ARZ6" s="367"/>
      <c r="ASA6" s="367"/>
      <c r="ASB6" s="367"/>
      <c r="ASC6" s="367"/>
      <c r="ASD6" s="367"/>
      <c r="ASE6" s="367"/>
      <c r="ASF6" s="367"/>
      <c r="ASG6" s="367"/>
      <c r="ASH6" s="367"/>
      <c r="ASI6" s="367"/>
      <c r="ASJ6" s="367"/>
      <c r="ASK6" s="367"/>
      <c r="ASL6" s="367"/>
      <c r="ASM6" s="367"/>
      <c r="ASN6" s="367"/>
      <c r="ASO6" s="367"/>
      <c r="ASP6" s="367"/>
      <c r="ASQ6" s="367"/>
      <c r="ASR6" s="367"/>
      <c r="ASS6" s="367"/>
      <c r="AST6" s="367"/>
      <c r="ASU6" s="367"/>
      <c r="ASV6" s="367"/>
      <c r="ASW6" s="367"/>
      <c r="ASX6" s="367"/>
      <c r="ASY6" s="367"/>
      <c r="ASZ6" s="367"/>
      <c r="ATA6" s="367"/>
      <c r="ATB6" s="367"/>
      <c r="ATC6" s="367"/>
      <c r="ATD6" s="367"/>
      <c r="ATE6" s="367"/>
      <c r="ATF6" s="367"/>
      <c r="ATG6" s="367"/>
      <c r="ATH6" s="367"/>
      <c r="ATI6" s="367"/>
      <c r="ATJ6" s="367"/>
      <c r="ATK6" s="367"/>
      <c r="ATL6" s="367"/>
      <c r="ATM6" s="367"/>
      <c r="ATN6" s="367"/>
      <c r="ATO6" s="367"/>
      <c r="ATP6" s="367"/>
      <c r="ATQ6" s="367"/>
      <c r="ATR6" s="367"/>
      <c r="ATS6" s="367"/>
      <c r="ATT6" s="367"/>
      <c r="ATU6" s="367"/>
      <c r="ATV6" s="367"/>
      <c r="ATW6" s="367"/>
      <c r="ATX6" s="367"/>
      <c r="ATY6" s="367"/>
      <c r="ATZ6" s="367"/>
      <c r="AUA6" s="367"/>
      <c r="AUB6" s="367"/>
      <c r="AUC6" s="367"/>
      <c r="AUD6" s="367"/>
      <c r="AUE6" s="367"/>
      <c r="AUF6" s="367"/>
      <c r="AUG6" s="367"/>
      <c r="AUH6" s="367"/>
      <c r="AUI6" s="367"/>
      <c r="AUJ6" s="367"/>
      <c r="AUK6" s="367"/>
      <c r="AUL6" s="367"/>
      <c r="AUM6" s="367"/>
      <c r="AUN6" s="367"/>
      <c r="AUO6" s="367"/>
      <c r="AUP6" s="367"/>
      <c r="AUQ6" s="367"/>
      <c r="AUR6" s="367"/>
      <c r="AUS6" s="367"/>
      <c r="AUT6" s="367"/>
      <c r="AUU6" s="367"/>
      <c r="AUV6" s="367"/>
      <c r="AUW6" s="367"/>
      <c r="AUX6" s="367"/>
      <c r="AUY6" s="367"/>
      <c r="AUZ6" s="367"/>
      <c r="AVA6" s="367"/>
      <c r="AVB6" s="367"/>
      <c r="AVC6" s="367"/>
      <c r="AVD6" s="367"/>
      <c r="AVE6" s="367"/>
      <c r="AVF6" s="367"/>
      <c r="AVG6" s="367"/>
      <c r="AVH6" s="367"/>
      <c r="AVI6" s="367"/>
      <c r="AVJ6" s="367"/>
      <c r="AVK6" s="367"/>
      <c r="AVL6" s="367"/>
      <c r="AVM6" s="367"/>
      <c r="AVN6" s="367"/>
      <c r="AVO6" s="367"/>
      <c r="AVP6" s="367"/>
      <c r="AVQ6" s="367"/>
      <c r="AVR6" s="367"/>
      <c r="AVS6" s="367"/>
      <c r="AVT6" s="367"/>
      <c r="AVU6" s="367"/>
      <c r="AVV6" s="367"/>
      <c r="AVW6" s="367"/>
      <c r="AVX6" s="367"/>
      <c r="AVY6" s="367"/>
      <c r="AVZ6" s="367"/>
      <c r="AWA6" s="367"/>
      <c r="AWB6" s="367"/>
      <c r="AWC6" s="367"/>
      <c r="AWD6" s="367"/>
      <c r="AWE6" s="367"/>
      <c r="AWF6" s="367"/>
      <c r="AWG6" s="367"/>
      <c r="AWH6" s="367"/>
      <c r="AWI6" s="367"/>
      <c r="AWJ6" s="367"/>
      <c r="AWK6" s="367"/>
      <c r="AWL6" s="367"/>
      <c r="AWM6" s="367"/>
      <c r="AWN6" s="367"/>
      <c r="AWO6" s="367"/>
      <c r="AWP6" s="367"/>
      <c r="AWQ6" s="367"/>
      <c r="AWR6" s="367"/>
      <c r="AWS6" s="367"/>
      <c r="AWT6" s="367"/>
      <c r="AWU6" s="367"/>
      <c r="AWV6" s="367"/>
      <c r="AWW6" s="367"/>
      <c r="AWX6" s="367"/>
      <c r="AWY6" s="367"/>
      <c r="AWZ6" s="367"/>
      <c r="AXA6" s="367"/>
      <c r="AXB6" s="367"/>
      <c r="AXC6" s="367"/>
      <c r="AXD6" s="367"/>
      <c r="AXE6" s="367"/>
      <c r="AXF6" s="367"/>
      <c r="AXG6" s="367"/>
      <c r="AXH6" s="367"/>
      <c r="AXI6" s="367"/>
      <c r="AXJ6" s="367"/>
      <c r="AXK6" s="367"/>
      <c r="AXL6" s="367"/>
      <c r="AXM6" s="367"/>
      <c r="AXN6" s="367"/>
      <c r="AXO6" s="367"/>
      <c r="AXP6" s="367"/>
      <c r="AXQ6" s="367"/>
      <c r="AXR6" s="367"/>
      <c r="AXS6" s="367"/>
      <c r="AXT6" s="367"/>
      <c r="AXU6" s="367"/>
      <c r="AXV6" s="367"/>
      <c r="AXW6" s="367"/>
      <c r="AXX6" s="367"/>
      <c r="AXY6" s="367"/>
      <c r="AXZ6" s="367"/>
      <c r="AYA6" s="367"/>
      <c r="AYB6" s="367"/>
      <c r="AYC6" s="367"/>
      <c r="AYD6" s="367"/>
      <c r="AYE6" s="367"/>
      <c r="AYF6" s="367"/>
      <c r="AYG6" s="367"/>
      <c r="AYH6" s="367"/>
      <c r="AYI6" s="367"/>
      <c r="AYJ6" s="367"/>
      <c r="AYK6" s="367"/>
      <c r="AYL6" s="367"/>
      <c r="AYM6" s="367"/>
      <c r="AYN6" s="367"/>
      <c r="AYO6" s="367"/>
      <c r="AYP6" s="367"/>
      <c r="AYQ6" s="367"/>
      <c r="AYR6" s="367"/>
      <c r="AYS6" s="367"/>
      <c r="AYT6" s="367"/>
      <c r="AYU6" s="367"/>
      <c r="AYV6" s="367"/>
      <c r="AYW6" s="367"/>
      <c r="AYX6" s="367"/>
      <c r="AYY6" s="367"/>
      <c r="AYZ6" s="367"/>
      <c r="AZA6" s="367"/>
      <c r="AZB6" s="367"/>
      <c r="AZC6" s="367"/>
      <c r="AZD6" s="367"/>
      <c r="AZE6" s="367"/>
      <c r="AZF6" s="367"/>
      <c r="AZG6" s="367"/>
      <c r="AZH6" s="367"/>
      <c r="AZI6" s="367"/>
      <c r="AZJ6" s="367"/>
      <c r="AZK6" s="367"/>
      <c r="AZL6" s="367"/>
      <c r="AZM6" s="367"/>
      <c r="AZN6" s="367"/>
      <c r="AZO6" s="367"/>
      <c r="AZP6" s="367"/>
      <c r="AZQ6" s="367"/>
      <c r="AZR6" s="367"/>
      <c r="AZS6" s="367"/>
      <c r="AZT6" s="367"/>
      <c r="AZU6" s="367"/>
      <c r="AZV6" s="367"/>
      <c r="AZW6" s="367"/>
      <c r="AZX6" s="367"/>
      <c r="AZY6" s="367"/>
      <c r="AZZ6" s="367"/>
      <c r="BAA6" s="367"/>
      <c r="BAB6" s="367"/>
      <c r="BAC6" s="367"/>
      <c r="BAD6" s="367"/>
      <c r="BAE6" s="367"/>
      <c r="BAF6" s="367"/>
      <c r="BAG6" s="367"/>
      <c r="BAH6" s="367"/>
      <c r="BAI6" s="367"/>
      <c r="BAJ6" s="367"/>
      <c r="BAK6" s="367"/>
      <c r="BAL6" s="367"/>
      <c r="BAM6" s="367"/>
      <c r="BAN6" s="367"/>
      <c r="BAO6" s="367"/>
      <c r="BAP6" s="367"/>
      <c r="BAQ6" s="367"/>
      <c r="BAR6" s="367"/>
      <c r="BAS6" s="367"/>
      <c r="BAT6" s="367"/>
      <c r="BAU6" s="367"/>
      <c r="BAV6" s="367"/>
      <c r="BAW6" s="367"/>
      <c r="BAX6" s="367"/>
      <c r="BAY6" s="367"/>
      <c r="BAZ6" s="367"/>
      <c r="BBA6" s="367"/>
      <c r="BBB6" s="367"/>
      <c r="BBC6" s="367"/>
      <c r="BBD6" s="367"/>
      <c r="BBE6" s="367"/>
      <c r="BBF6" s="367"/>
      <c r="BBG6" s="367"/>
      <c r="BBH6" s="367"/>
      <c r="BBI6" s="367"/>
      <c r="BBJ6" s="367"/>
      <c r="BBK6" s="367"/>
      <c r="BBL6" s="367"/>
      <c r="BBM6" s="367"/>
      <c r="BBN6" s="367"/>
      <c r="BBO6" s="367"/>
      <c r="BBP6" s="367"/>
      <c r="BBQ6" s="367"/>
      <c r="BBR6" s="367"/>
      <c r="BBS6" s="367"/>
      <c r="BBT6" s="367"/>
      <c r="BBU6" s="367"/>
      <c r="BBV6" s="367"/>
      <c r="BBW6" s="367"/>
      <c r="BBX6" s="367"/>
      <c r="BBY6" s="367"/>
      <c r="BBZ6" s="367"/>
      <c r="BCA6" s="367"/>
      <c r="BCB6" s="367"/>
      <c r="BCC6" s="367"/>
      <c r="BCD6" s="367"/>
      <c r="BCE6" s="367"/>
      <c r="BCF6" s="367"/>
      <c r="BCG6" s="367"/>
      <c r="BCH6" s="367"/>
      <c r="BCI6" s="367"/>
      <c r="BCJ6" s="367"/>
      <c r="BCK6" s="367"/>
      <c r="BCL6" s="367"/>
      <c r="BCM6" s="367"/>
      <c r="BCN6" s="367"/>
      <c r="BCO6" s="367"/>
      <c r="BCP6" s="367"/>
      <c r="BCQ6" s="367"/>
      <c r="BCR6" s="367"/>
      <c r="BCS6" s="367"/>
      <c r="BCT6" s="367"/>
      <c r="BCU6" s="367"/>
      <c r="BCV6" s="367"/>
      <c r="BCW6" s="367"/>
      <c r="BCX6" s="367"/>
      <c r="BCY6" s="367"/>
      <c r="BCZ6" s="367"/>
      <c r="BDA6" s="367"/>
      <c r="BDB6" s="367"/>
      <c r="BDC6" s="367"/>
      <c r="BDD6" s="367"/>
      <c r="BDE6" s="367"/>
      <c r="BDF6" s="367"/>
      <c r="BDG6" s="367"/>
      <c r="BDH6" s="367"/>
      <c r="BDI6" s="367"/>
      <c r="BDJ6" s="367"/>
      <c r="BDK6" s="367"/>
      <c r="BDL6" s="367"/>
      <c r="BDM6" s="367"/>
      <c r="BDN6" s="367"/>
      <c r="BDO6" s="367"/>
      <c r="BDP6" s="367"/>
      <c r="BDQ6" s="367"/>
      <c r="BDR6" s="367"/>
      <c r="BDS6" s="367"/>
      <c r="BDT6" s="367"/>
      <c r="BDU6" s="367"/>
      <c r="BDV6" s="367"/>
      <c r="BDW6" s="367"/>
      <c r="BDX6" s="367"/>
      <c r="BDY6" s="367"/>
      <c r="BDZ6" s="367"/>
      <c r="BEA6" s="367"/>
      <c r="BEB6" s="367"/>
      <c r="BEC6" s="367"/>
      <c r="BED6" s="367"/>
      <c r="BEE6" s="367"/>
      <c r="BEF6" s="367"/>
      <c r="BEG6" s="367"/>
      <c r="BEH6" s="367"/>
      <c r="BEI6" s="367"/>
      <c r="BEJ6" s="367"/>
      <c r="BEK6" s="367"/>
      <c r="BEL6" s="367"/>
      <c r="BEM6" s="367"/>
      <c r="BEN6" s="367"/>
      <c r="BEO6" s="367"/>
      <c r="BEP6" s="367"/>
      <c r="BEQ6" s="367"/>
      <c r="BER6" s="367"/>
      <c r="BES6" s="367"/>
      <c r="BET6" s="367"/>
      <c r="BEU6" s="367"/>
      <c r="BEV6" s="367"/>
      <c r="BEW6" s="367"/>
      <c r="BEX6" s="367"/>
      <c r="BEY6" s="367"/>
      <c r="BEZ6" s="367"/>
      <c r="BFA6" s="367"/>
      <c r="BFB6" s="367"/>
      <c r="BFC6" s="367"/>
      <c r="BFD6" s="367"/>
      <c r="BFE6" s="367"/>
      <c r="BFF6" s="367"/>
      <c r="BFG6" s="367"/>
      <c r="BFH6" s="367"/>
      <c r="BFI6" s="367"/>
      <c r="BFJ6" s="367"/>
      <c r="BFK6" s="367"/>
      <c r="BFL6" s="367"/>
      <c r="BFM6" s="367"/>
      <c r="BFN6" s="367"/>
      <c r="BFO6" s="367"/>
      <c r="BFP6" s="367"/>
      <c r="BFQ6" s="367"/>
      <c r="BFR6" s="367"/>
      <c r="BFS6" s="367"/>
      <c r="BFT6" s="367"/>
      <c r="BFU6" s="367"/>
      <c r="BFV6" s="367"/>
      <c r="BFW6" s="367"/>
      <c r="BFX6" s="367"/>
      <c r="BFY6" s="367"/>
      <c r="BFZ6" s="367"/>
      <c r="BGA6" s="367"/>
      <c r="BGB6" s="367"/>
      <c r="BGC6" s="367"/>
      <c r="BGD6" s="367"/>
      <c r="BGE6" s="367"/>
      <c r="BGF6" s="367"/>
      <c r="BGG6" s="367"/>
      <c r="BGH6" s="367"/>
      <c r="BGI6" s="367"/>
      <c r="BGJ6" s="367"/>
      <c r="BGK6" s="367"/>
      <c r="BGL6" s="367"/>
      <c r="BGM6" s="367"/>
      <c r="BGN6" s="367"/>
      <c r="BGO6" s="367"/>
      <c r="BGP6" s="367"/>
      <c r="BGQ6" s="367"/>
      <c r="BGR6" s="367"/>
      <c r="BGS6" s="367"/>
      <c r="BGT6" s="367"/>
      <c r="BGU6" s="367"/>
      <c r="BGV6" s="367"/>
      <c r="BGW6" s="367"/>
      <c r="BGX6" s="367"/>
      <c r="BGY6" s="367"/>
      <c r="BGZ6" s="367"/>
      <c r="BHA6" s="367"/>
      <c r="BHB6" s="367"/>
      <c r="BHC6" s="367"/>
      <c r="BHD6" s="367"/>
      <c r="BHE6" s="367"/>
      <c r="BHF6" s="367"/>
      <c r="BHG6" s="367"/>
      <c r="BHH6" s="367"/>
      <c r="BHI6" s="367"/>
      <c r="BHJ6" s="367"/>
      <c r="BHK6" s="367"/>
      <c r="BHL6" s="367"/>
      <c r="BHM6" s="367"/>
      <c r="BHN6" s="367"/>
      <c r="BHO6" s="367"/>
      <c r="BHP6" s="367"/>
      <c r="BHQ6" s="367"/>
      <c r="BHR6" s="367"/>
      <c r="BHS6" s="367"/>
      <c r="BHT6" s="367"/>
      <c r="BHU6" s="367"/>
      <c r="BHV6" s="367"/>
      <c r="BHW6" s="367"/>
      <c r="BHX6" s="367"/>
      <c r="BHY6" s="367"/>
      <c r="BHZ6" s="367"/>
      <c r="BIA6" s="367"/>
      <c r="BIB6" s="367"/>
      <c r="BIC6" s="367"/>
      <c r="BID6" s="367"/>
      <c r="BIE6" s="367"/>
      <c r="BIF6" s="367"/>
      <c r="BIG6" s="367"/>
      <c r="BIH6" s="367"/>
      <c r="BII6" s="367"/>
      <c r="BIJ6" s="367"/>
      <c r="BIK6" s="367"/>
      <c r="BIL6" s="367"/>
      <c r="BIM6" s="367"/>
      <c r="BIN6" s="367"/>
      <c r="BIO6" s="367"/>
      <c r="BIP6" s="367"/>
      <c r="BIQ6" s="367"/>
      <c r="BIR6" s="367"/>
      <c r="BIS6" s="367"/>
      <c r="BIT6" s="367"/>
      <c r="BIU6" s="367"/>
      <c r="BIV6" s="367"/>
      <c r="BIW6" s="367"/>
      <c r="BIX6" s="367"/>
      <c r="BIY6" s="367"/>
      <c r="BIZ6" s="367"/>
      <c r="BJA6" s="367"/>
      <c r="BJB6" s="367"/>
      <c r="BJC6" s="367"/>
      <c r="BJD6" s="367"/>
      <c r="BJE6" s="367"/>
      <c r="BJF6" s="367"/>
      <c r="BJG6" s="367"/>
      <c r="BJH6" s="367"/>
      <c r="BJI6" s="367"/>
      <c r="BJJ6" s="367"/>
      <c r="BJK6" s="367"/>
      <c r="BJL6" s="367"/>
      <c r="BJM6" s="367"/>
      <c r="BJN6" s="367"/>
      <c r="BJO6" s="367"/>
      <c r="BJP6" s="367"/>
      <c r="BJQ6" s="367"/>
      <c r="BJR6" s="367"/>
      <c r="BJS6" s="367"/>
      <c r="BJT6" s="367"/>
      <c r="BJU6" s="367"/>
      <c r="BJV6" s="367"/>
      <c r="BJW6" s="367"/>
      <c r="BJX6" s="367"/>
      <c r="BJY6" s="367"/>
      <c r="BJZ6" s="367"/>
      <c r="BKA6" s="367"/>
      <c r="BKB6" s="367"/>
      <c r="BKC6" s="367"/>
      <c r="BKD6" s="367"/>
      <c r="BKE6" s="367"/>
      <c r="BKF6" s="367"/>
      <c r="BKG6" s="367"/>
      <c r="BKH6" s="367"/>
      <c r="BKI6" s="367"/>
      <c r="BKJ6" s="367"/>
      <c r="BKK6" s="367"/>
      <c r="BKL6" s="367"/>
      <c r="BKM6" s="367"/>
      <c r="BKN6" s="367"/>
      <c r="BKO6" s="367"/>
      <c r="BKP6" s="367"/>
      <c r="BKQ6" s="367"/>
      <c r="BKR6" s="367"/>
      <c r="BKS6" s="367"/>
      <c r="BKT6" s="367"/>
      <c r="BKU6" s="367"/>
      <c r="BKV6" s="367"/>
      <c r="BKW6" s="367"/>
      <c r="BKX6" s="367"/>
      <c r="BKY6" s="367"/>
      <c r="BKZ6" s="367"/>
      <c r="BLA6" s="367"/>
      <c r="BLB6" s="367"/>
      <c r="BLC6" s="367"/>
      <c r="BLD6" s="367"/>
      <c r="BLE6" s="367"/>
      <c r="BLF6" s="367"/>
      <c r="BLG6" s="367"/>
      <c r="BLH6" s="367"/>
      <c r="BLI6" s="367"/>
      <c r="BLJ6" s="367"/>
      <c r="BLK6" s="367"/>
      <c r="BLL6" s="367"/>
      <c r="BLM6" s="367"/>
      <c r="BLN6" s="367"/>
      <c r="BLO6" s="367"/>
      <c r="BLP6" s="367"/>
      <c r="BLQ6" s="367"/>
      <c r="BLR6" s="367"/>
      <c r="BLS6" s="367"/>
      <c r="BLT6" s="367"/>
      <c r="BLU6" s="367"/>
      <c r="BLV6" s="367"/>
      <c r="BLW6" s="367"/>
      <c r="BLX6" s="367"/>
      <c r="BLY6" s="367"/>
      <c r="BLZ6" s="367"/>
      <c r="BMA6" s="367"/>
      <c r="BMB6" s="367"/>
      <c r="BMC6" s="367"/>
      <c r="BMD6" s="367"/>
      <c r="BME6" s="367"/>
      <c r="BMF6" s="367"/>
      <c r="BMG6" s="367"/>
      <c r="BMH6" s="367"/>
      <c r="BMI6" s="367"/>
      <c r="BMJ6" s="367"/>
      <c r="BMK6" s="367"/>
      <c r="BML6" s="367"/>
      <c r="BMM6" s="367"/>
      <c r="BMN6" s="367"/>
      <c r="BMO6" s="367"/>
      <c r="BMP6" s="367"/>
      <c r="BMQ6" s="367"/>
      <c r="BMR6" s="367"/>
      <c r="BMS6" s="367"/>
      <c r="BMT6" s="367"/>
      <c r="BMU6" s="367"/>
      <c r="BMV6" s="367"/>
      <c r="BMW6" s="367"/>
      <c r="BMX6" s="367"/>
      <c r="BMY6" s="367"/>
      <c r="BMZ6" s="367"/>
      <c r="BNA6" s="367"/>
      <c r="BNB6" s="367"/>
      <c r="BNC6" s="367"/>
      <c r="BND6" s="367"/>
      <c r="BNE6" s="367"/>
      <c r="BNF6" s="367"/>
      <c r="BNG6" s="367"/>
      <c r="BNH6" s="367"/>
      <c r="BNI6" s="367"/>
      <c r="BNJ6" s="367"/>
      <c r="BNK6" s="367"/>
      <c r="BNL6" s="367"/>
      <c r="BNM6" s="367"/>
      <c r="BNN6" s="367"/>
      <c r="BNO6" s="367"/>
      <c r="BNP6" s="367"/>
      <c r="BNQ6" s="367"/>
      <c r="BNR6" s="367"/>
      <c r="BNS6" s="367"/>
      <c r="BNT6" s="367"/>
      <c r="BNU6" s="367"/>
      <c r="BNV6" s="367"/>
      <c r="BNW6" s="367"/>
      <c r="BNX6" s="367"/>
      <c r="BNY6" s="367"/>
      <c r="BNZ6" s="367"/>
      <c r="BOA6" s="367"/>
      <c r="BOB6" s="367"/>
      <c r="BOC6" s="367"/>
      <c r="BOD6" s="367"/>
      <c r="BOE6" s="367"/>
      <c r="BOF6" s="367"/>
      <c r="BOG6" s="367"/>
      <c r="BOH6" s="367"/>
      <c r="BOI6" s="367"/>
      <c r="BOJ6" s="367"/>
      <c r="BOK6" s="367"/>
      <c r="BOL6" s="367"/>
      <c r="BOM6" s="367"/>
      <c r="BON6" s="367"/>
      <c r="BOO6" s="367"/>
      <c r="BOP6" s="367"/>
      <c r="BOQ6" s="367"/>
      <c r="BOR6" s="367"/>
      <c r="BOS6" s="367"/>
      <c r="BOT6" s="367"/>
      <c r="BOU6" s="367"/>
      <c r="BOV6" s="367"/>
      <c r="BOW6" s="367"/>
      <c r="BOX6" s="367"/>
      <c r="BOY6" s="367"/>
      <c r="BOZ6" s="367"/>
      <c r="BPA6" s="367"/>
      <c r="BPB6" s="367"/>
      <c r="BPC6" s="367"/>
      <c r="BPD6" s="367"/>
      <c r="BPE6" s="367"/>
      <c r="BPF6" s="367"/>
      <c r="BPG6" s="367"/>
      <c r="BPH6" s="367"/>
      <c r="BPI6" s="367"/>
      <c r="BPJ6" s="367"/>
      <c r="BPK6" s="367"/>
      <c r="BPL6" s="367"/>
      <c r="BPM6" s="367"/>
      <c r="BPN6" s="367"/>
      <c r="BPO6" s="367"/>
      <c r="BPP6" s="367"/>
      <c r="BPQ6" s="367"/>
      <c r="BPR6" s="367"/>
      <c r="BPS6" s="367"/>
      <c r="BPT6" s="367"/>
      <c r="BPU6" s="367"/>
      <c r="BPV6" s="367"/>
      <c r="BPW6" s="367"/>
      <c r="BPX6" s="367"/>
      <c r="BPY6" s="367"/>
      <c r="BPZ6" s="367"/>
      <c r="BQA6" s="367"/>
      <c r="BQB6" s="367"/>
      <c r="BQC6" s="367"/>
      <c r="BQD6" s="367"/>
      <c r="BQE6" s="367"/>
      <c r="BQF6" s="367"/>
      <c r="BQG6" s="367"/>
      <c r="BQH6" s="367"/>
      <c r="BQI6" s="367"/>
      <c r="BQJ6" s="367"/>
      <c r="BQK6" s="367"/>
      <c r="BQL6" s="367"/>
      <c r="BQM6" s="367"/>
      <c r="BQN6" s="367"/>
      <c r="BQO6" s="367"/>
      <c r="BQP6" s="367"/>
      <c r="BQQ6" s="367"/>
      <c r="BQR6" s="367"/>
      <c r="BQS6" s="367"/>
      <c r="BQT6" s="367"/>
      <c r="BQU6" s="367"/>
      <c r="BQV6" s="367"/>
      <c r="BQW6" s="367"/>
      <c r="BQX6" s="367"/>
      <c r="BQY6" s="367"/>
      <c r="BQZ6" s="367"/>
      <c r="BRA6" s="367"/>
      <c r="BRB6" s="367"/>
      <c r="BRC6" s="367"/>
      <c r="BRD6" s="367"/>
      <c r="BRE6" s="367"/>
      <c r="BRF6" s="367"/>
      <c r="BRG6" s="367"/>
      <c r="BRH6" s="367"/>
      <c r="BRI6" s="367"/>
      <c r="BRJ6" s="367"/>
      <c r="BRK6" s="367"/>
      <c r="BRL6" s="367"/>
      <c r="BRM6" s="367"/>
      <c r="BRN6" s="367"/>
      <c r="BRO6" s="367"/>
      <c r="BRP6" s="367"/>
      <c r="BRQ6" s="367"/>
      <c r="BRR6" s="367"/>
      <c r="BRS6" s="367"/>
      <c r="BRT6" s="367"/>
      <c r="BRU6" s="367"/>
      <c r="BRV6" s="367"/>
      <c r="BRW6" s="367"/>
      <c r="BRX6" s="367"/>
      <c r="BRY6" s="367"/>
      <c r="BRZ6" s="367"/>
      <c r="BSA6" s="367"/>
      <c r="BSB6" s="367"/>
      <c r="BSC6" s="367"/>
      <c r="BSD6" s="367"/>
      <c r="BSE6" s="367"/>
      <c r="BSF6" s="367"/>
      <c r="BSG6" s="367"/>
      <c r="BSH6" s="367"/>
      <c r="BSI6" s="367"/>
      <c r="BSJ6" s="367"/>
      <c r="BSK6" s="367"/>
      <c r="BSL6" s="367"/>
      <c r="BSM6" s="367"/>
      <c r="BSN6" s="367"/>
      <c r="BSO6" s="367"/>
      <c r="BSP6" s="367"/>
      <c r="BSQ6" s="367"/>
      <c r="BSR6" s="367"/>
      <c r="BSS6" s="367"/>
      <c r="BST6" s="367"/>
      <c r="BSU6" s="367"/>
      <c r="BSV6" s="367"/>
      <c r="BSW6" s="367"/>
      <c r="BSX6" s="367"/>
      <c r="BSY6" s="367"/>
      <c r="BSZ6" s="367"/>
      <c r="BTA6" s="367"/>
      <c r="BTB6" s="367"/>
      <c r="BTC6" s="367"/>
      <c r="BTD6" s="367"/>
      <c r="BTE6" s="367"/>
      <c r="BTF6" s="367"/>
      <c r="BTG6" s="367"/>
      <c r="BTH6" s="367"/>
      <c r="BTI6" s="367"/>
      <c r="BTJ6" s="367"/>
      <c r="BTK6" s="367"/>
      <c r="BTL6" s="367"/>
      <c r="BTM6" s="367"/>
      <c r="BTN6" s="367"/>
      <c r="BTO6" s="367"/>
      <c r="BTP6" s="367"/>
      <c r="BTQ6" s="367"/>
      <c r="BTR6" s="367"/>
      <c r="BTS6" s="367"/>
      <c r="BTT6" s="367"/>
      <c r="BTU6" s="367"/>
      <c r="BTV6" s="367"/>
      <c r="BTW6" s="367"/>
      <c r="BTX6" s="367"/>
      <c r="BTY6" s="367"/>
      <c r="BTZ6" s="367"/>
      <c r="BUA6" s="367"/>
      <c r="BUB6" s="367"/>
      <c r="BUC6" s="367"/>
      <c r="BUD6" s="367"/>
      <c r="BUE6" s="367"/>
      <c r="BUF6" s="367"/>
      <c r="BUG6" s="367"/>
      <c r="BUH6" s="367"/>
      <c r="BUI6" s="367"/>
      <c r="BUJ6" s="367"/>
      <c r="BUK6" s="367"/>
      <c r="BUL6" s="367"/>
      <c r="BUM6" s="367"/>
      <c r="BUN6" s="367"/>
      <c r="BUO6" s="367"/>
      <c r="BUP6" s="367"/>
      <c r="BUQ6" s="367"/>
      <c r="BUR6" s="367"/>
      <c r="BUS6" s="367"/>
      <c r="BUT6" s="367"/>
      <c r="BUU6" s="367"/>
      <c r="BUV6" s="367"/>
      <c r="BUW6" s="367"/>
      <c r="BUX6" s="367"/>
      <c r="BUY6" s="367"/>
      <c r="BUZ6" s="367"/>
      <c r="BVA6" s="367"/>
      <c r="BVB6" s="367"/>
      <c r="BVC6" s="367"/>
      <c r="BVD6" s="367"/>
      <c r="BVE6" s="367"/>
      <c r="BVF6" s="367"/>
      <c r="BVG6" s="367"/>
      <c r="BVH6" s="367"/>
      <c r="BVI6" s="367"/>
      <c r="BVJ6" s="367"/>
      <c r="BVK6" s="367"/>
      <c r="BVL6" s="367"/>
      <c r="BVM6" s="367"/>
      <c r="BVN6" s="367"/>
      <c r="BVO6" s="367"/>
      <c r="BVP6" s="367"/>
      <c r="BVQ6" s="367"/>
      <c r="BVR6" s="367"/>
      <c r="BVS6" s="367"/>
      <c r="BVT6" s="367"/>
      <c r="BVU6" s="367"/>
      <c r="BVV6" s="367"/>
      <c r="BVW6" s="367"/>
      <c r="BVX6" s="367"/>
      <c r="BVY6" s="367"/>
      <c r="BVZ6" s="367"/>
      <c r="BWA6" s="367"/>
      <c r="BWB6" s="367"/>
      <c r="BWC6" s="367"/>
      <c r="BWD6" s="367"/>
      <c r="BWE6" s="367"/>
      <c r="BWF6" s="367"/>
      <c r="BWG6" s="367"/>
      <c r="BWH6" s="367"/>
      <c r="BWI6" s="367"/>
      <c r="BWJ6" s="367"/>
      <c r="BWK6" s="367"/>
      <c r="BWL6" s="367"/>
      <c r="BWM6" s="367"/>
      <c r="BWN6" s="367"/>
      <c r="BWO6" s="367"/>
      <c r="BWP6" s="367"/>
      <c r="BWQ6" s="367"/>
      <c r="BWR6" s="367"/>
      <c r="BWS6" s="367"/>
      <c r="BWT6" s="367"/>
      <c r="BWU6" s="367"/>
      <c r="BWV6" s="367"/>
      <c r="BWW6" s="367"/>
      <c r="BWX6" s="367"/>
      <c r="BWY6" s="367"/>
      <c r="BWZ6" s="367"/>
      <c r="BXA6" s="367"/>
      <c r="BXB6" s="367"/>
      <c r="BXC6" s="367"/>
      <c r="BXD6" s="367"/>
      <c r="BXE6" s="367"/>
      <c r="BXF6" s="367"/>
      <c r="BXG6" s="367"/>
      <c r="BXH6" s="367"/>
      <c r="BXI6" s="367"/>
      <c r="BXJ6" s="367"/>
      <c r="BXK6" s="367"/>
      <c r="BXL6" s="367"/>
      <c r="BXM6" s="367"/>
      <c r="BXN6" s="367"/>
      <c r="BXO6" s="367"/>
      <c r="BXP6" s="367"/>
      <c r="BXQ6" s="367"/>
      <c r="BXR6" s="367"/>
      <c r="BXS6" s="367"/>
      <c r="BXT6" s="367"/>
      <c r="BXU6" s="367"/>
      <c r="BXV6" s="367"/>
      <c r="BXW6" s="367"/>
      <c r="BXX6" s="367"/>
      <c r="BXY6" s="367"/>
      <c r="BXZ6" s="367"/>
      <c r="BYA6" s="367"/>
      <c r="BYB6" s="367"/>
      <c r="BYC6" s="367"/>
      <c r="BYD6" s="367"/>
      <c r="BYE6" s="367"/>
      <c r="BYF6" s="367"/>
      <c r="BYG6" s="367"/>
    </row>
    <row r="7" spans="1:2009" s="97" customFormat="1" ht="24.95" customHeight="1" x14ac:dyDescent="0.25">
      <c r="A7" s="130"/>
      <c r="B7" s="125" t="s">
        <v>359</v>
      </c>
      <c r="C7" s="164">
        <v>27088.92</v>
      </c>
      <c r="D7" s="164"/>
      <c r="E7" s="164"/>
      <c r="F7" s="165"/>
      <c r="G7" s="166">
        <f>ROUND(SUM(C7:F7),5)</f>
        <v>27088.92</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213" customFormat="1" ht="24.95" customHeight="1" thickBot="1" x14ac:dyDescent="0.3">
      <c r="A8" s="207"/>
      <c r="B8" s="208" t="s">
        <v>171</v>
      </c>
      <c r="C8" s="209">
        <f>SUM(C7)</f>
        <v>27088.92</v>
      </c>
      <c r="D8" s="209"/>
      <c r="E8" s="209"/>
      <c r="F8" s="209"/>
      <c r="G8" s="210">
        <f>ROUND(SUM(G3:G7),5)</f>
        <v>27088.92</v>
      </c>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c r="IW8" s="212"/>
      <c r="IX8" s="212"/>
      <c r="IY8" s="212"/>
      <c r="IZ8" s="212"/>
      <c r="JA8" s="212"/>
      <c r="JB8" s="212"/>
      <c r="JC8" s="212"/>
      <c r="JD8" s="212"/>
      <c r="JE8" s="212"/>
      <c r="JF8" s="212"/>
      <c r="JG8" s="212"/>
      <c r="JH8" s="212"/>
      <c r="JI8" s="212"/>
      <c r="JJ8" s="212"/>
      <c r="JK8" s="212"/>
      <c r="JL8" s="212"/>
      <c r="JM8" s="212"/>
      <c r="JN8" s="212"/>
      <c r="JO8" s="212"/>
      <c r="JP8" s="212"/>
      <c r="JQ8" s="212"/>
      <c r="JR8" s="212"/>
      <c r="JS8" s="212"/>
      <c r="JT8" s="212"/>
      <c r="JU8" s="212"/>
      <c r="JV8" s="212"/>
      <c r="JW8" s="212"/>
      <c r="JX8" s="212"/>
      <c r="JY8" s="212"/>
      <c r="JZ8" s="212"/>
      <c r="KA8" s="212"/>
      <c r="KB8" s="212"/>
      <c r="KC8" s="212"/>
      <c r="KD8" s="212"/>
      <c r="KE8" s="212"/>
      <c r="KF8" s="212"/>
      <c r="KG8" s="212"/>
      <c r="KH8" s="212"/>
      <c r="KI8" s="212"/>
      <c r="KJ8" s="212"/>
      <c r="KK8" s="212"/>
      <c r="KL8" s="212"/>
      <c r="KM8" s="212"/>
      <c r="KN8" s="212"/>
      <c r="KO8" s="212"/>
      <c r="KP8" s="212"/>
      <c r="KQ8" s="212"/>
      <c r="KR8" s="212"/>
      <c r="KS8" s="212"/>
      <c r="KT8" s="212"/>
      <c r="KU8" s="212"/>
      <c r="KV8" s="212"/>
      <c r="KW8" s="212"/>
      <c r="KX8" s="212"/>
      <c r="KY8" s="212"/>
      <c r="KZ8" s="212"/>
      <c r="LA8" s="212"/>
      <c r="LB8" s="212"/>
      <c r="LC8" s="212"/>
      <c r="LD8" s="212"/>
      <c r="LE8" s="212"/>
      <c r="LF8" s="212"/>
      <c r="LG8" s="212"/>
      <c r="LH8" s="212"/>
      <c r="LI8" s="212"/>
      <c r="LJ8" s="212"/>
      <c r="LK8" s="212"/>
      <c r="LL8" s="212"/>
      <c r="LM8" s="212"/>
      <c r="LN8" s="212"/>
      <c r="LO8" s="212"/>
      <c r="LP8" s="212"/>
      <c r="LQ8" s="212"/>
      <c r="LR8" s="212"/>
      <c r="LS8" s="212"/>
      <c r="LT8" s="212"/>
      <c r="LU8" s="212"/>
      <c r="LV8" s="212"/>
      <c r="LW8" s="212"/>
      <c r="LX8" s="212"/>
      <c r="LY8" s="212"/>
      <c r="LZ8" s="212"/>
      <c r="MA8" s="212"/>
      <c r="MB8" s="212"/>
      <c r="MC8" s="212"/>
      <c r="MD8" s="212"/>
      <c r="ME8" s="212"/>
      <c r="MF8" s="212"/>
      <c r="MG8" s="212"/>
      <c r="MH8" s="212"/>
      <c r="MI8" s="212"/>
      <c r="MJ8" s="212"/>
      <c r="MK8" s="212"/>
      <c r="ML8" s="212"/>
      <c r="MM8" s="212"/>
      <c r="MN8" s="212"/>
      <c r="MO8" s="212"/>
      <c r="MP8" s="212"/>
      <c r="MQ8" s="212"/>
      <c r="MR8" s="212"/>
      <c r="MS8" s="212"/>
      <c r="MT8" s="212"/>
      <c r="MU8" s="212"/>
      <c r="MV8" s="212"/>
      <c r="MW8" s="212"/>
      <c r="MX8" s="212"/>
      <c r="MY8" s="212"/>
      <c r="MZ8" s="212"/>
      <c r="NA8" s="212"/>
      <c r="NB8" s="212"/>
      <c r="NC8" s="212"/>
      <c r="ND8" s="212"/>
      <c r="NE8" s="212"/>
      <c r="NF8" s="212"/>
      <c r="NG8" s="212"/>
      <c r="NH8" s="212"/>
      <c r="NI8" s="212"/>
      <c r="NJ8" s="212"/>
      <c r="NK8" s="212"/>
      <c r="NL8" s="212"/>
      <c r="NM8" s="212"/>
      <c r="NN8" s="212"/>
      <c r="NO8" s="212"/>
      <c r="NP8" s="212"/>
      <c r="NQ8" s="212"/>
      <c r="NR8" s="212"/>
      <c r="NS8" s="212"/>
      <c r="NT8" s="212"/>
      <c r="NU8" s="212"/>
      <c r="NV8" s="212"/>
      <c r="NW8" s="212"/>
      <c r="NX8" s="212"/>
      <c r="NY8" s="212"/>
      <c r="NZ8" s="212"/>
      <c r="OA8" s="212"/>
      <c r="OB8" s="212"/>
      <c r="OC8" s="212"/>
      <c r="OD8" s="212"/>
      <c r="OE8" s="212"/>
      <c r="OF8" s="212"/>
      <c r="OG8" s="212"/>
      <c r="OH8" s="212"/>
      <c r="OI8" s="212"/>
      <c r="OJ8" s="212"/>
      <c r="OK8" s="212"/>
      <c r="OL8" s="212"/>
      <c r="OM8" s="212"/>
      <c r="ON8" s="212"/>
      <c r="OO8" s="212"/>
      <c r="OP8" s="212"/>
      <c r="OQ8" s="212"/>
      <c r="OR8" s="212"/>
      <c r="OS8" s="212"/>
      <c r="OT8" s="212"/>
      <c r="OU8" s="212"/>
      <c r="OV8" s="212"/>
      <c r="OW8" s="212"/>
      <c r="OX8" s="212"/>
      <c r="OY8" s="212"/>
      <c r="OZ8" s="212"/>
      <c r="PA8" s="212"/>
      <c r="PB8" s="212"/>
      <c r="PC8" s="212"/>
      <c r="PD8" s="212"/>
      <c r="PE8" s="212"/>
      <c r="PF8" s="212"/>
      <c r="PG8" s="212"/>
      <c r="PH8" s="212"/>
      <c r="PI8" s="212"/>
      <c r="PJ8" s="212"/>
      <c r="PK8" s="212"/>
      <c r="PL8" s="212"/>
      <c r="PM8" s="212"/>
      <c r="PN8" s="212"/>
      <c r="PO8" s="212"/>
      <c r="PP8" s="212"/>
      <c r="PQ8" s="212"/>
      <c r="PR8" s="212"/>
      <c r="PS8" s="212"/>
      <c r="PT8" s="212"/>
      <c r="PU8" s="212"/>
      <c r="PV8" s="212"/>
      <c r="PW8" s="212"/>
      <c r="PX8" s="212"/>
      <c r="PY8" s="212"/>
      <c r="PZ8" s="212"/>
      <c r="QA8" s="212"/>
      <c r="QB8" s="212"/>
      <c r="QC8" s="212"/>
      <c r="QD8" s="212"/>
      <c r="QE8" s="212"/>
      <c r="QF8" s="212"/>
      <c r="QG8" s="212"/>
      <c r="QH8" s="212"/>
      <c r="QI8" s="212"/>
      <c r="QJ8" s="212"/>
      <c r="QK8" s="212"/>
      <c r="QL8" s="212"/>
      <c r="QM8" s="212"/>
      <c r="QN8" s="212"/>
      <c r="QO8" s="212"/>
      <c r="QP8" s="212"/>
      <c r="QQ8" s="212"/>
      <c r="QR8" s="212"/>
      <c r="QS8" s="212"/>
      <c r="QT8" s="212"/>
      <c r="QU8" s="212"/>
      <c r="QV8" s="212"/>
      <c r="QW8" s="212"/>
      <c r="QX8" s="212"/>
      <c r="QY8" s="212"/>
      <c r="QZ8" s="212"/>
      <c r="RA8" s="212"/>
      <c r="RB8" s="212"/>
      <c r="RC8" s="212"/>
      <c r="RD8" s="212"/>
      <c r="RE8" s="212"/>
      <c r="RF8" s="212"/>
      <c r="RG8" s="212"/>
      <c r="RH8" s="212"/>
      <c r="RI8" s="212"/>
      <c r="RJ8" s="212"/>
      <c r="RK8" s="212"/>
      <c r="RL8" s="212"/>
      <c r="RM8" s="212"/>
      <c r="RN8" s="212"/>
      <c r="RO8" s="212"/>
      <c r="RP8" s="212"/>
      <c r="RQ8" s="212"/>
      <c r="RR8" s="212"/>
      <c r="RS8" s="212"/>
      <c r="RT8" s="212"/>
      <c r="RU8" s="212"/>
      <c r="RV8" s="212"/>
      <c r="RW8" s="212"/>
      <c r="RX8" s="212"/>
      <c r="RY8" s="212"/>
      <c r="RZ8" s="212"/>
      <c r="SA8" s="212"/>
      <c r="SB8" s="212"/>
      <c r="SC8" s="212"/>
      <c r="SD8" s="212"/>
      <c r="SE8" s="212"/>
      <c r="SF8" s="212"/>
      <c r="SG8" s="212"/>
      <c r="SH8" s="212"/>
      <c r="SI8" s="212"/>
      <c r="SJ8" s="212"/>
      <c r="SK8" s="212"/>
      <c r="SL8" s="212"/>
      <c r="SM8" s="212"/>
      <c r="SN8" s="212"/>
      <c r="SO8" s="212"/>
      <c r="SP8" s="212"/>
      <c r="SQ8" s="212"/>
      <c r="SR8" s="212"/>
      <c r="SS8" s="212"/>
      <c r="ST8" s="212"/>
      <c r="SU8" s="212"/>
      <c r="SV8" s="212"/>
      <c r="SW8" s="212"/>
      <c r="SX8" s="212"/>
      <c r="SY8" s="212"/>
      <c r="SZ8" s="212"/>
      <c r="TA8" s="212"/>
      <c r="TB8" s="212"/>
      <c r="TC8" s="212"/>
      <c r="TD8" s="212"/>
      <c r="TE8" s="212"/>
      <c r="TF8" s="212"/>
      <c r="TG8" s="212"/>
      <c r="TH8" s="212"/>
      <c r="TI8" s="212"/>
      <c r="TJ8" s="212"/>
      <c r="TK8" s="212"/>
      <c r="TL8" s="212"/>
      <c r="TM8" s="212"/>
      <c r="TN8" s="212"/>
      <c r="TO8" s="212"/>
      <c r="TP8" s="212"/>
      <c r="TQ8" s="212"/>
      <c r="TR8" s="212"/>
      <c r="TS8" s="212"/>
      <c r="TT8" s="212"/>
      <c r="TU8" s="212"/>
      <c r="TV8" s="212"/>
      <c r="TW8" s="212"/>
      <c r="TX8" s="212"/>
      <c r="TY8" s="212"/>
      <c r="TZ8" s="212"/>
      <c r="UA8" s="212"/>
      <c r="UB8" s="212"/>
      <c r="UC8" s="212"/>
      <c r="UD8" s="212"/>
      <c r="UE8" s="212"/>
      <c r="UF8" s="212"/>
      <c r="UG8" s="212"/>
      <c r="UH8" s="212"/>
      <c r="UI8" s="212"/>
      <c r="UJ8" s="212"/>
      <c r="UK8" s="212"/>
      <c r="UL8" s="212"/>
      <c r="UM8" s="212"/>
      <c r="UN8" s="212"/>
      <c r="UO8" s="212"/>
      <c r="UP8" s="212"/>
      <c r="UQ8" s="212"/>
      <c r="UR8" s="212"/>
      <c r="US8" s="212"/>
      <c r="UT8" s="212"/>
      <c r="UU8" s="212"/>
      <c r="UV8" s="212"/>
      <c r="UW8" s="212"/>
      <c r="UX8" s="212"/>
      <c r="UY8" s="212"/>
      <c r="UZ8" s="212"/>
      <c r="VA8" s="212"/>
      <c r="VB8" s="212"/>
      <c r="VC8" s="212"/>
      <c r="VD8" s="212"/>
      <c r="VE8" s="212"/>
      <c r="VF8" s="212"/>
      <c r="VG8" s="212"/>
      <c r="VH8" s="212"/>
      <c r="VI8" s="212"/>
      <c r="VJ8" s="212"/>
      <c r="VK8" s="212"/>
      <c r="VL8" s="212"/>
      <c r="VM8" s="212"/>
      <c r="VN8" s="212"/>
      <c r="VO8" s="212"/>
      <c r="VP8" s="212"/>
      <c r="VQ8" s="212"/>
      <c r="VR8" s="212"/>
      <c r="VS8" s="212"/>
      <c r="VT8" s="212"/>
      <c r="VU8" s="212"/>
      <c r="VV8" s="212"/>
      <c r="VW8" s="212"/>
      <c r="VX8" s="212"/>
      <c r="VY8" s="212"/>
      <c r="VZ8" s="212"/>
      <c r="WA8" s="212"/>
      <c r="WB8" s="212"/>
      <c r="WC8" s="212"/>
      <c r="WD8" s="212"/>
      <c r="WE8" s="212"/>
      <c r="WF8" s="212"/>
      <c r="WG8" s="212"/>
      <c r="WH8" s="212"/>
      <c r="WI8" s="212"/>
      <c r="WJ8" s="212"/>
      <c r="WK8" s="212"/>
      <c r="WL8" s="212"/>
      <c r="WM8" s="212"/>
      <c r="WN8" s="212"/>
      <c r="WO8" s="212"/>
      <c r="WP8" s="212"/>
      <c r="WQ8" s="212"/>
      <c r="WR8" s="212"/>
      <c r="WS8" s="212"/>
      <c r="WT8" s="212"/>
      <c r="WU8" s="212"/>
      <c r="WV8" s="212"/>
      <c r="WW8" s="212"/>
      <c r="WX8" s="212"/>
      <c r="WY8" s="212"/>
      <c r="WZ8" s="212"/>
      <c r="XA8" s="212"/>
      <c r="XB8" s="212"/>
      <c r="XC8" s="212"/>
      <c r="XD8" s="212"/>
      <c r="XE8" s="212"/>
      <c r="XF8" s="212"/>
      <c r="XG8" s="212"/>
      <c r="XH8" s="212"/>
      <c r="XI8" s="212"/>
      <c r="XJ8" s="212"/>
      <c r="XK8" s="212"/>
      <c r="XL8" s="212"/>
      <c r="XM8" s="212"/>
      <c r="XN8" s="212"/>
      <c r="XO8" s="212"/>
      <c r="XP8" s="212"/>
      <c r="XQ8" s="212"/>
      <c r="XR8" s="212"/>
      <c r="XS8" s="212"/>
      <c r="XT8" s="212"/>
      <c r="XU8" s="212"/>
      <c r="XV8" s="212"/>
      <c r="XW8" s="212"/>
      <c r="XX8" s="212"/>
      <c r="XY8" s="212"/>
      <c r="XZ8" s="212"/>
      <c r="YA8" s="212"/>
      <c r="YB8" s="212"/>
      <c r="YC8" s="212"/>
      <c r="YD8" s="212"/>
      <c r="YE8" s="212"/>
      <c r="YF8" s="212"/>
      <c r="YG8" s="212"/>
      <c r="YH8" s="212"/>
      <c r="YI8" s="212"/>
      <c r="YJ8" s="212"/>
      <c r="YK8" s="212"/>
      <c r="YL8" s="212"/>
      <c r="YM8" s="212"/>
      <c r="YN8" s="212"/>
      <c r="YO8" s="212"/>
      <c r="YP8" s="212"/>
      <c r="YQ8" s="212"/>
      <c r="YR8" s="212"/>
      <c r="YS8" s="212"/>
      <c r="YT8" s="212"/>
      <c r="YU8" s="212"/>
      <c r="YV8" s="212"/>
      <c r="YW8" s="212"/>
      <c r="YX8" s="212"/>
      <c r="YY8" s="212"/>
      <c r="YZ8" s="212"/>
      <c r="ZA8" s="212"/>
      <c r="ZB8" s="212"/>
      <c r="ZC8" s="212"/>
      <c r="ZD8" s="212"/>
      <c r="ZE8" s="212"/>
      <c r="ZF8" s="212"/>
      <c r="ZG8" s="212"/>
      <c r="ZH8" s="212"/>
      <c r="ZI8" s="212"/>
      <c r="ZJ8" s="212"/>
      <c r="ZK8" s="212"/>
      <c r="ZL8" s="212"/>
      <c r="ZM8" s="212"/>
      <c r="ZN8" s="212"/>
      <c r="ZO8" s="212"/>
      <c r="ZP8" s="212"/>
      <c r="ZQ8" s="212"/>
      <c r="ZR8" s="212"/>
      <c r="ZS8" s="212"/>
      <c r="ZT8" s="212"/>
      <c r="ZU8" s="212"/>
      <c r="ZV8" s="212"/>
      <c r="ZW8" s="212"/>
      <c r="ZX8" s="212"/>
      <c r="ZY8" s="212"/>
      <c r="ZZ8" s="212"/>
      <c r="AAA8" s="212"/>
      <c r="AAB8" s="212"/>
      <c r="AAC8" s="212"/>
      <c r="AAD8" s="212"/>
      <c r="AAE8" s="212"/>
      <c r="AAF8" s="212"/>
      <c r="AAG8" s="212"/>
      <c r="AAH8" s="212"/>
      <c r="AAI8" s="212"/>
      <c r="AAJ8" s="212"/>
      <c r="AAK8" s="212"/>
      <c r="AAL8" s="212"/>
      <c r="AAM8" s="212"/>
      <c r="AAN8" s="212"/>
      <c r="AAO8" s="212"/>
      <c r="AAP8" s="212"/>
      <c r="AAQ8" s="212"/>
      <c r="AAR8" s="212"/>
      <c r="AAS8" s="212"/>
      <c r="AAT8" s="212"/>
      <c r="AAU8" s="212"/>
      <c r="AAV8" s="212"/>
      <c r="AAW8" s="212"/>
      <c r="AAX8" s="212"/>
      <c r="AAY8" s="212"/>
      <c r="AAZ8" s="212"/>
      <c r="ABA8" s="212"/>
      <c r="ABB8" s="212"/>
      <c r="ABC8" s="212"/>
      <c r="ABD8" s="212"/>
      <c r="ABE8" s="212"/>
      <c r="ABF8" s="212"/>
      <c r="ABG8" s="212"/>
      <c r="ABH8" s="212"/>
      <c r="ABI8" s="212"/>
      <c r="ABJ8" s="212"/>
      <c r="ABK8" s="212"/>
      <c r="ABL8" s="212"/>
      <c r="ABM8" s="212"/>
      <c r="ABN8" s="212"/>
      <c r="ABO8" s="212"/>
      <c r="ABP8" s="212"/>
      <c r="ABQ8" s="212"/>
      <c r="ABR8" s="212"/>
      <c r="ABS8" s="212"/>
      <c r="ABT8" s="212"/>
      <c r="ABU8" s="212"/>
      <c r="ABV8" s="212"/>
      <c r="ABW8" s="212"/>
      <c r="ABX8" s="212"/>
      <c r="ABY8" s="212"/>
      <c r="ABZ8" s="212"/>
      <c r="ACA8" s="212"/>
      <c r="ACB8" s="212"/>
      <c r="ACC8" s="212"/>
      <c r="ACD8" s="212"/>
      <c r="ACE8" s="212"/>
      <c r="ACF8" s="212"/>
      <c r="ACG8" s="212"/>
      <c r="ACH8" s="212"/>
      <c r="ACI8" s="212"/>
      <c r="ACJ8" s="212"/>
      <c r="ACK8" s="212"/>
      <c r="ACL8" s="212"/>
      <c r="ACM8" s="212"/>
      <c r="ACN8" s="212"/>
      <c r="ACO8" s="212"/>
      <c r="ACP8" s="212"/>
      <c r="ACQ8" s="212"/>
      <c r="ACR8" s="212"/>
      <c r="ACS8" s="212"/>
      <c r="ACT8" s="212"/>
      <c r="ACU8" s="212"/>
      <c r="ACV8" s="212"/>
      <c r="ACW8" s="212"/>
      <c r="ACX8" s="212"/>
      <c r="ACY8" s="212"/>
      <c r="ACZ8" s="212"/>
      <c r="ADA8" s="212"/>
      <c r="ADB8" s="212"/>
      <c r="ADC8" s="212"/>
      <c r="ADD8" s="212"/>
      <c r="ADE8" s="212"/>
      <c r="ADF8" s="212"/>
      <c r="ADG8" s="212"/>
      <c r="ADH8" s="212"/>
      <c r="ADI8" s="212"/>
      <c r="ADJ8" s="212"/>
      <c r="ADK8" s="212"/>
      <c r="ADL8" s="212"/>
      <c r="ADM8" s="212"/>
      <c r="ADN8" s="212"/>
      <c r="ADO8" s="212"/>
      <c r="ADP8" s="212"/>
      <c r="ADQ8" s="212"/>
      <c r="ADR8" s="212"/>
      <c r="ADS8" s="212"/>
      <c r="ADT8" s="212"/>
      <c r="ADU8" s="212"/>
      <c r="ADV8" s="212"/>
      <c r="ADW8" s="212"/>
      <c r="ADX8" s="212"/>
      <c r="ADY8" s="212"/>
      <c r="ADZ8" s="212"/>
      <c r="AEA8" s="212"/>
      <c r="AEB8" s="212"/>
      <c r="AEC8" s="212"/>
      <c r="AED8" s="212"/>
      <c r="AEE8" s="212"/>
      <c r="AEF8" s="212"/>
      <c r="AEG8" s="212"/>
      <c r="AEH8" s="212"/>
      <c r="AEI8" s="212"/>
      <c r="AEJ8" s="212"/>
      <c r="AEK8" s="212"/>
      <c r="AEL8" s="212"/>
      <c r="AEM8" s="212"/>
      <c r="AEN8" s="212"/>
      <c r="AEO8" s="212"/>
      <c r="AEP8" s="212"/>
      <c r="AEQ8" s="212"/>
      <c r="AER8" s="212"/>
      <c r="AES8" s="212"/>
      <c r="AET8" s="212"/>
      <c r="AEU8" s="212"/>
      <c r="AEV8" s="212"/>
      <c r="AEW8" s="212"/>
      <c r="AEX8" s="212"/>
      <c r="AEY8" s="212"/>
      <c r="AEZ8" s="212"/>
      <c r="AFA8" s="212"/>
      <c r="AFB8" s="212"/>
      <c r="AFC8" s="212"/>
      <c r="AFD8" s="212"/>
      <c r="AFE8" s="212"/>
      <c r="AFF8" s="212"/>
      <c r="AFG8" s="212"/>
      <c r="AFH8" s="212"/>
      <c r="AFI8" s="212"/>
      <c r="AFJ8" s="212"/>
      <c r="AFK8" s="212"/>
      <c r="AFL8" s="212"/>
      <c r="AFM8" s="212"/>
      <c r="AFN8" s="212"/>
      <c r="AFO8" s="212"/>
      <c r="AFP8" s="212"/>
      <c r="AFQ8" s="212"/>
      <c r="AFR8" s="212"/>
      <c r="AFS8" s="212"/>
      <c r="AFT8" s="212"/>
      <c r="AFU8" s="212"/>
      <c r="AFV8" s="212"/>
      <c r="AFW8" s="212"/>
      <c r="AFX8" s="212"/>
      <c r="AFY8" s="212"/>
      <c r="AFZ8" s="212"/>
      <c r="AGA8" s="212"/>
      <c r="AGB8" s="212"/>
      <c r="AGC8" s="212"/>
      <c r="AGD8" s="212"/>
      <c r="AGE8" s="212"/>
      <c r="AGF8" s="212"/>
      <c r="AGG8" s="212"/>
      <c r="AGH8" s="212"/>
      <c r="AGI8" s="212"/>
      <c r="AGJ8" s="212"/>
      <c r="AGK8" s="212"/>
      <c r="AGL8" s="212"/>
      <c r="AGM8" s="212"/>
      <c r="AGN8" s="212"/>
      <c r="AGO8" s="212"/>
      <c r="AGP8" s="212"/>
      <c r="AGQ8" s="212"/>
      <c r="AGR8" s="212"/>
      <c r="AGS8" s="212"/>
      <c r="AGT8" s="212"/>
      <c r="AGU8" s="212"/>
      <c r="AGV8" s="212"/>
      <c r="AGW8" s="212"/>
      <c r="AGX8" s="212"/>
      <c r="AGY8" s="212"/>
      <c r="AGZ8" s="212"/>
      <c r="AHA8" s="212"/>
      <c r="AHB8" s="212"/>
      <c r="AHC8" s="212"/>
      <c r="AHD8" s="212"/>
      <c r="AHE8" s="212"/>
      <c r="AHF8" s="212"/>
      <c r="AHG8" s="212"/>
      <c r="AHH8" s="212"/>
      <c r="AHI8" s="212"/>
      <c r="AHJ8" s="212"/>
      <c r="AHK8" s="212"/>
      <c r="AHL8" s="212"/>
      <c r="AHM8" s="212"/>
      <c r="AHN8" s="212"/>
      <c r="AHO8" s="212"/>
      <c r="AHP8" s="212"/>
      <c r="AHQ8" s="212"/>
      <c r="AHR8" s="212"/>
      <c r="AHS8" s="212"/>
      <c r="AHT8" s="212"/>
      <c r="AHU8" s="212"/>
      <c r="AHV8" s="212"/>
      <c r="AHW8" s="212"/>
      <c r="AHX8" s="212"/>
      <c r="AHY8" s="212"/>
      <c r="AHZ8" s="212"/>
      <c r="AIA8" s="212"/>
      <c r="AIB8" s="212"/>
      <c r="AIC8" s="212"/>
      <c r="AID8" s="212"/>
      <c r="AIE8" s="212"/>
      <c r="AIF8" s="212"/>
      <c r="AIG8" s="212"/>
      <c r="AIH8" s="212"/>
      <c r="AII8" s="212"/>
      <c r="AIJ8" s="212"/>
      <c r="AIK8" s="212"/>
      <c r="AIL8" s="212"/>
      <c r="AIM8" s="212"/>
      <c r="AIN8" s="212"/>
      <c r="AIO8" s="212"/>
      <c r="AIP8" s="212"/>
      <c r="AIQ8" s="212"/>
      <c r="AIR8" s="212"/>
      <c r="AIS8" s="212"/>
      <c r="AIT8" s="212"/>
      <c r="AIU8" s="212"/>
      <c r="AIV8" s="212"/>
      <c r="AIW8" s="212"/>
      <c r="AIX8" s="212"/>
      <c r="AIY8" s="212"/>
      <c r="AIZ8" s="212"/>
      <c r="AJA8" s="212"/>
      <c r="AJB8" s="212"/>
      <c r="AJC8" s="212"/>
      <c r="AJD8" s="212"/>
      <c r="AJE8" s="212"/>
      <c r="AJF8" s="212"/>
      <c r="AJG8" s="212"/>
      <c r="AJH8" s="212"/>
      <c r="AJI8" s="212"/>
      <c r="AJJ8" s="212"/>
      <c r="AJK8" s="212"/>
      <c r="AJL8" s="212"/>
      <c r="AJM8" s="212"/>
      <c r="AJN8" s="212"/>
      <c r="AJO8" s="212"/>
      <c r="AJP8" s="212"/>
      <c r="AJQ8" s="212"/>
      <c r="AJR8" s="212"/>
      <c r="AJS8" s="212"/>
      <c r="AJT8" s="212"/>
      <c r="AJU8" s="212"/>
      <c r="AJV8" s="212"/>
      <c r="AJW8" s="212"/>
      <c r="AJX8" s="212"/>
      <c r="AJY8" s="212"/>
      <c r="AJZ8" s="212"/>
      <c r="AKA8" s="212"/>
      <c r="AKB8" s="212"/>
      <c r="AKC8" s="212"/>
      <c r="AKD8" s="212"/>
      <c r="AKE8" s="212"/>
      <c r="AKF8" s="212"/>
      <c r="AKG8" s="212"/>
      <c r="AKH8" s="212"/>
      <c r="AKI8" s="212"/>
      <c r="AKJ8" s="212"/>
      <c r="AKK8" s="212"/>
      <c r="AKL8" s="212"/>
      <c r="AKM8" s="212"/>
      <c r="AKN8" s="212"/>
      <c r="AKO8" s="212"/>
      <c r="AKP8" s="212"/>
      <c r="AKQ8" s="212"/>
      <c r="AKR8" s="212"/>
      <c r="AKS8" s="212"/>
      <c r="AKT8" s="212"/>
      <c r="AKU8" s="212"/>
      <c r="AKV8" s="212"/>
      <c r="AKW8" s="212"/>
      <c r="AKX8" s="212"/>
      <c r="AKY8" s="212"/>
      <c r="AKZ8" s="212"/>
      <c r="ALA8" s="212"/>
      <c r="ALB8" s="212"/>
      <c r="ALC8" s="212"/>
      <c r="ALD8" s="212"/>
      <c r="ALE8" s="212"/>
      <c r="ALF8" s="212"/>
      <c r="ALG8" s="212"/>
      <c r="ALH8" s="212"/>
      <c r="ALI8" s="212"/>
      <c r="ALJ8" s="212"/>
      <c r="ALK8" s="212"/>
      <c r="ALL8" s="212"/>
      <c r="ALM8" s="212"/>
      <c r="ALN8" s="212"/>
      <c r="ALO8" s="212"/>
      <c r="ALP8" s="212"/>
      <c r="ALQ8" s="212"/>
      <c r="ALR8" s="212"/>
      <c r="ALS8" s="212"/>
      <c r="ALT8" s="212"/>
      <c r="ALU8" s="212"/>
      <c r="ALV8" s="212"/>
      <c r="ALW8" s="212"/>
      <c r="ALX8" s="212"/>
      <c r="ALY8" s="212"/>
      <c r="ALZ8" s="212"/>
      <c r="AMA8" s="212"/>
      <c r="AMB8" s="212"/>
      <c r="AMC8" s="212"/>
      <c r="AMD8" s="212"/>
      <c r="AME8" s="212"/>
      <c r="AMF8" s="212"/>
      <c r="AMG8" s="212"/>
      <c r="AMH8" s="212"/>
      <c r="AMI8" s="212"/>
      <c r="AMJ8" s="212"/>
      <c r="AMK8" s="212"/>
      <c r="AML8" s="212"/>
      <c r="AMM8" s="212"/>
      <c r="AMN8" s="212"/>
      <c r="AMO8" s="212"/>
      <c r="AMP8" s="212"/>
      <c r="AMQ8" s="212"/>
      <c r="AMR8" s="212"/>
      <c r="AMS8" s="212"/>
      <c r="AMT8" s="212"/>
      <c r="AMU8" s="212"/>
      <c r="AMV8" s="212"/>
      <c r="AMW8" s="212"/>
      <c r="AMX8" s="212"/>
      <c r="AMY8" s="212"/>
      <c r="AMZ8" s="212"/>
      <c r="ANA8" s="212"/>
      <c r="ANB8" s="212"/>
      <c r="ANC8" s="212"/>
      <c r="AND8" s="212"/>
      <c r="ANE8" s="212"/>
      <c r="ANF8" s="212"/>
      <c r="ANG8" s="212"/>
      <c r="ANH8" s="212"/>
      <c r="ANI8" s="212"/>
      <c r="ANJ8" s="212"/>
      <c r="ANK8" s="212"/>
      <c r="ANL8" s="212"/>
      <c r="ANM8" s="212"/>
      <c r="ANN8" s="212"/>
      <c r="ANO8" s="212"/>
      <c r="ANP8" s="212"/>
      <c r="ANQ8" s="212"/>
      <c r="ANR8" s="212"/>
      <c r="ANS8" s="212"/>
      <c r="ANT8" s="212"/>
      <c r="ANU8" s="212"/>
      <c r="ANV8" s="212"/>
      <c r="ANW8" s="212"/>
      <c r="ANX8" s="212"/>
      <c r="ANY8" s="212"/>
      <c r="ANZ8" s="212"/>
      <c r="AOA8" s="212"/>
      <c r="AOB8" s="212"/>
      <c r="AOC8" s="212"/>
      <c r="AOD8" s="212"/>
      <c r="AOE8" s="212"/>
      <c r="AOF8" s="212"/>
      <c r="AOG8" s="212"/>
      <c r="AOH8" s="212"/>
      <c r="AOI8" s="212"/>
      <c r="AOJ8" s="212"/>
      <c r="AOK8" s="212"/>
      <c r="AOL8" s="212"/>
      <c r="AOM8" s="212"/>
      <c r="AON8" s="212"/>
      <c r="AOO8" s="212"/>
      <c r="AOP8" s="212"/>
      <c r="AOQ8" s="212"/>
      <c r="AOR8" s="212"/>
      <c r="AOS8" s="212"/>
      <c r="AOT8" s="212"/>
      <c r="AOU8" s="212"/>
      <c r="AOV8" s="212"/>
      <c r="AOW8" s="212"/>
      <c r="AOX8" s="212"/>
      <c r="AOY8" s="212"/>
      <c r="AOZ8" s="212"/>
      <c r="APA8" s="212"/>
      <c r="APB8" s="212"/>
      <c r="APC8" s="212"/>
      <c r="APD8" s="212"/>
      <c r="APE8" s="212"/>
      <c r="APF8" s="212"/>
      <c r="APG8" s="212"/>
      <c r="APH8" s="212"/>
      <c r="API8" s="212"/>
      <c r="APJ8" s="212"/>
      <c r="APK8" s="212"/>
      <c r="APL8" s="212"/>
      <c r="APM8" s="212"/>
      <c r="APN8" s="212"/>
      <c r="APO8" s="212"/>
      <c r="APP8" s="212"/>
      <c r="APQ8" s="212"/>
      <c r="APR8" s="212"/>
      <c r="APS8" s="212"/>
      <c r="APT8" s="212"/>
      <c r="APU8" s="212"/>
      <c r="APV8" s="212"/>
      <c r="APW8" s="212"/>
      <c r="APX8" s="212"/>
      <c r="APY8" s="212"/>
      <c r="APZ8" s="212"/>
      <c r="AQA8" s="212"/>
      <c r="AQB8" s="212"/>
      <c r="AQC8" s="212"/>
      <c r="AQD8" s="212"/>
      <c r="AQE8" s="212"/>
      <c r="AQF8" s="212"/>
      <c r="AQG8" s="212"/>
      <c r="AQH8" s="212"/>
      <c r="AQI8" s="212"/>
      <c r="AQJ8" s="212"/>
      <c r="AQK8" s="212"/>
      <c r="AQL8" s="212"/>
      <c r="AQM8" s="212"/>
      <c r="AQN8" s="212"/>
      <c r="AQO8" s="212"/>
      <c r="AQP8" s="212"/>
      <c r="AQQ8" s="212"/>
      <c r="AQR8" s="212"/>
      <c r="AQS8" s="212"/>
      <c r="AQT8" s="212"/>
      <c r="AQU8" s="212"/>
      <c r="AQV8" s="212"/>
      <c r="AQW8" s="212"/>
      <c r="AQX8" s="212"/>
      <c r="AQY8" s="212"/>
      <c r="AQZ8" s="212"/>
      <c r="ARA8" s="212"/>
      <c r="ARB8" s="212"/>
      <c r="ARC8" s="212"/>
      <c r="ARD8" s="212"/>
      <c r="ARE8" s="212"/>
      <c r="ARF8" s="212"/>
      <c r="ARG8" s="212"/>
      <c r="ARH8" s="212"/>
      <c r="ARI8" s="212"/>
      <c r="ARJ8" s="212"/>
      <c r="ARK8" s="212"/>
      <c r="ARL8" s="212"/>
      <c r="ARM8" s="212"/>
      <c r="ARN8" s="212"/>
      <c r="ARO8" s="212"/>
      <c r="ARP8" s="212"/>
      <c r="ARQ8" s="212"/>
      <c r="ARR8" s="212"/>
      <c r="ARS8" s="212"/>
      <c r="ART8" s="212"/>
      <c r="ARU8" s="212"/>
      <c r="ARV8" s="212"/>
      <c r="ARW8" s="212"/>
      <c r="ARX8" s="212"/>
      <c r="ARY8" s="212"/>
      <c r="ARZ8" s="212"/>
      <c r="ASA8" s="212"/>
      <c r="ASB8" s="212"/>
      <c r="ASC8" s="212"/>
      <c r="ASD8" s="212"/>
      <c r="ASE8" s="212"/>
      <c r="ASF8" s="212"/>
      <c r="ASG8" s="212"/>
      <c r="ASH8" s="212"/>
      <c r="ASI8" s="212"/>
      <c r="ASJ8" s="212"/>
      <c r="ASK8" s="212"/>
      <c r="ASL8" s="212"/>
      <c r="ASM8" s="212"/>
      <c r="ASN8" s="212"/>
      <c r="ASO8" s="212"/>
      <c r="ASP8" s="212"/>
      <c r="ASQ8" s="212"/>
      <c r="ASR8" s="212"/>
      <c r="ASS8" s="212"/>
      <c r="AST8" s="212"/>
      <c r="ASU8" s="212"/>
      <c r="ASV8" s="212"/>
      <c r="ASW8" s="212"/>
      <c r="ASX8" s="212"/>
      <c r="ASY8" s="212"/>
      <c r="ASZ8" s="212"/>
      <c r="ATA8" s="212"/>
      <c r="ATB8" s="212"/>
      <c r="ATC8" s="212"/>
      <c r="ATD8" s="212"/>
      <c r="ATE8" s="212"/>
      <c r="ATF8" s="212"/>
      <c r="ATG8" s="212"/>
      <c r="ATH8" s="212"/>
      <c r="ATI8" s="212"/>
      <c r="ATJ8" s="212"/>
      <c r="ATK8" s="212"/>
      <c r="ATL8" s="212"/>
      <c r="ATM8" s="212"/>
      <c r="ATN8" s="212"/>
      <c r="ATO8" s="212"/>
      <c r="ATP8" s="212"/>
      <c r="ATQ8" s="212"/>
      <c r="ATR8" s="212"/>
      <c r="ATS8" s="212"/>
      <c r="ATT8" s="212"/>
      <c r="ATU8" s="212"/>
      <c r="ATV8" s="212"/>
      <c r="ATW8" s="212"/>
      <c r="ATX8" s="212"/>
      <c r="ATY8" s="212"/>
      <c r="ATZ8" s="212"/>
      <c r="AUA8" s="212"/>
      <c r="AUB8" s="212"/>
      <c r="AUC8" s="212"/>
      <c r="AUD8" s="212"/>
      <c r="AUE8" s="212"/>
      <c r="AUF8" s="212"/>
      <c r="AUG8" s="212"/>
      <c r="AUH8" s="212"/>
      <c r="AUI8" s="212"/>
      <c r="AUJ8" s="212"/>
      <c r="AUK8" s="212"/>
      <c r="AUL8" s="212"/>
      <c r="AUM8" s="212"/>
      <c r="AUN8" s="212"/>
      <c r="AUO8" s="212"/>
      <c r="AUP8" s="212"/>
      <c r="AUQ8" s="212"/>
      <c r="AUR8" s="212"/>
      <c r="AUS8" s="212"/>
      <c r="AUT8" s="212"/>
      <c r="AUU8" s="212"/>
      <c r="AUV8" s="212"/>
      <c r="AUW8" s="212"/>
      <c r="AUX8" s="212"/>
      <c r="AUY8" s="212"/>
      <c r="AUZ8" s="212"/>
      <c r="AVA8" s="212"/>
      <c r="AVB8" s="212"/>
      <c r="AVC8" s="212"/>
      <c r="AVD8" s="212"/>
      <c r="AVE8" s="212"/>
      <c r="AVF8" s="212"/>
      <c r="AVG8" s="212"/>
      <c r="AVH8" s="212"/>
      <c r="AVI8" s="212"/>
      <c r="AVJ8" s="212"/>
      <c r="AVK8" s="212"/>
      <c r="AVL8" s="212"/>
      <c r="AVM8" s="212"/>
      <c r="AVN8" s="212"/>
      <c r="AVO8" s="212"/>
      <c r="AVP8" s="212"/>
      <c r="AVQ8" s="212"/>
      <c r="AVR8" s="212"/>
      <c r="AVS8" s="212"/>
      <c r="AVT8" s="212"/>
      <c r="AVU8" s="212"/>
      <c r="AVV8" s="212"/>
      <c r="AVW8" s="212"/>
      <c r="AVX8" s="212"/>
      <c r="AVY8" s="212"/>
      <c r="AVZ8" s="212"/>
      <c r="AWA8" s="212"/>
      <c r="AWB8" s="212"/>
      <c r="AWC8" s="212"/>
      <c r="AWD8" s="212"/>
      <c r="AWE8" s="212"/>
      <c r="AWF8" s="212"/>
      <c r="AWG8" s="212"/>
      <c r="AWH8" s="212"/>
      <c r="AWI8" s="212"/>
      <c r="AWJ8" s="212"/>
      <c r="AWK8" s="212"/>
      <c r="AWL8" s="212"/>
      <c r="AWM8" s="212"/>
      <c r="AWN8" s="212"/>
      <c r="AWO8" s="212"/>
      <c r="AWP8" s="212"/>
      <c r="AWQ8" s="212"/>
      <c r="AWR8" s="212"/>
      <c r="AWS8" s="212"/>
      <c r="AWT8" s="212"/>
      <c r="AWU8" s="212"/>
      <c r="AWV8" s="212"/>
      <c r="AWW8" s="212"/>
      <c r="AWX8" s="212"/>
      <c r="AWY8" s="212"/>
      <c r="AWZ8" s="212"/>
      <c r="AXA8" s="212"/>
      <c r="AXB8" s="212"/>
      <c r="AXC8" s="212"/>
      <c r="AXD8" s="212"/>
      <c r="AXE8" s="212"/>
      <c r="AXF8" s="212"/>
      <c r="AXG8" s="212"/>
      <c r="AXH8" s="212"/>
      <c r="AXI8" s="212"/>
      <c r="AXJ8" s="212"/>
      <c r="AXK8" s="212"/>
      <c r="AXL8" s="212"/>
      <c r="AXM8" s="212"/>
      <c r="AXN8" s="212"/>
      <c r="AXO8" s="212"/>
      <c r="AXP8" s="212"/>
      <c r="AXQ8" s="212"/>
      <c r="AXR8" s="212"/>
      <c r="AXS8" s="212"/>
      <c r="AXT8" s="212"/>
      <c r="AXU8" s="212"/>
      <c r="AXV8" s="212"/>
      <c r="AXW8" s="212"/>
      <c r="AXX8" s="212"/>
      <c r="AXY8" s="212"/>
      <c r="AXZ8" s="212"/>
      <c r="AYA8" s="212"/>
      <c r="AYB8" s="212"/>
      <c r="AYC8" s="212"/>
      <c r="AYD8" s="212"/>
      <c r="AYE8" s="212"/>
      <c r="AYF8" s="212"/>
      <c r="AYG8" s="212"/>
      <c r="AYH8" s="212"/>
      <c r="AYI8" s="212"/>
      <c r="AYJ8" s="212"/>
      <c r="AYK8" s="212"/>
      <c r="AYL8" s="212"/>
      <c r="AYM8" s="212"/>
      <c r="AYN8" s="212"/>
      <c r="AYO8" s="212"/>
      <c r="AYP8" s="212"/>
      <c r="AYQ8" s="212"/>
      <c r="AYR8" s="212"/>
      <c r="AYS8" s="212"/>
      <c r="AYT8" s="212"/>
      <c r="AYU8" s="212"/>
      <c r="AYV8" s="212"/>
      <c r="AYW8" s="212"/>
      <c r="AYX8" s="212"/>
      <c r="AYY8" s="212"/>
      <c r="AYZ8" s="212"/>
      <c r="AZA8" s="212"/>
      <c r="AZB8" s="212"/>
      <c r="AZC8" s="212"/>
      <c r="AZD8" s="212"/>
      <c r="AZE8" s="212"/>
      <c r="AZF8" s="212"/>
      <c r="AZG8" s="212"/>
      <c r="AZH8" s="212"/>
      <c r="AZI8" s="212"/>
      <c r="AZJ8" s="212"/>
      <c r="AZK8" s="212"/>
      <c r="AZL8" s="212"/>
      <c r="AZM8" s="212"/>
      <c r="AZN8" s="212"/>
      <c r="AZO8" s="212"/>
      <c r="AZP8" s="212"/>
      <c r="AZQ8" s="212"/>
      <c r="AZR8" s="212"/>
      <c r="AZS8" s="212"/>
      <c r="AZT8" s="212"/>
      <c r="AZU8" s="212"/>
      <c r="AZV8" s="212"/>
      <c r="AZW8" s="212"/>
      <c r="AZX8" s="212"/>
      <c r="AZY8" s="212"/>
      <c r="AZZ8" s="212"/>
      <c r="BAA8" s="212"/>
      <c r="BAB8" s="212"/>
      <c r="BAC8" s="212"/>
      <c r="BAD8" s="212"/>
      <c r="BAE8" s="212"/>
      <c r="BAF8" s="212"/>
      <c r="BAG8" s="212"/>
      <c r="BAH8" s="212"/>
      <c r="BAI8" s="212"/>
      <c r="BAJ8" s="212"/>
      <c r="BAK8" s="212"/>
      <c r="BAL8" s="212"/>
      <c r="BAM8" s="212"/>
      <c r="BAN8" s="212"/>
      <c r="BAO8" s="212"/>
      <c r="BAP8" s="212"/>
      <c r="BAQ8" s="212"/>
      <c r="BAR8" s="212"/>
      <c r="BAS8" s="212"/>
      <c r="BAT8" s="212"/>
      <c r="BAU8" s="212"/>
      <c r="BAV8" s="212"/>
      <c r="BAW8" s="212"/>
      <c r="BAX8" s="212"/>
      <c r="BAY8" s="212"/>
      <c r="BAZ8" s="212"/>
      <c r="BBA8" s="212"/>
      <c r="BBB8" s="212"/>
      <c r="BBC8" s="212"/>
      <c r="BBD8" s="212"/>
      <c r="BBE8" s="212"/>
      <c r="BBF8" s="212"/>
      <c r="BBG8" s="212"/>
      <c r="BBH8" s="212"/>
      <c r="BBI8" s="212"/>
      <c r="BBJ8" s="212"/>
      <c r="BBK8" s="212"/>
      <c r="BBL8" s="212"/>
      <c r="BBM8" s="212"/>
      <c r="BBN8" s="212"/>
      <c r="BBO8" s="212"/>
      <c r="BBP8" s="212"/>
      <c r="BBQ8" s="212"/>
      <c r="BBR8" s="212"/>
      <c r="BBS8" s="212"/>
      <c r="BBT8" s="212"/>
      <c r="BBU8" s="212"/>
      <c r="BBV8" s="212"/>
      <c r="BBW8" s="212"/>
      <c r="BBX8" s="212"/>
      <c r="BBY8" s="212"/>
      <c r="BBZ8" s="212"/>
      <c r="BCA8" s="212"/>
      <c r="BCB8" s="212"/>
      <c r="BCC8" s="212"/>
      <c r="BCD8" s="212"/>
      <c r="BCE8" s="212"/>
      <c r="BCF8" s="212"/>
      <c r="BCG8" s="212"/>
      <c r="BCH8" s="212"/>
      <c r="BCI8" s="212"/>
      <c r="BCJ8" s="212"/>
      <c r="BCK8" s="212"/>
      <c r="BCL8" s="212"/>
      <c r="BCM8" s="212"/>
      <c r="BCN8" s="212"/>
      <c r="BCO8" s="212"/>
      <c r="BCP8" s="212"/>
      <c r="BCQ8" s="212"/>
      <c r="BCR8" s="212"/>
      <c r="BCS8" s="212"/>
      <c r="BCT8" s="212"/>
      <c r="BCU8" s="212"/>
      <c r="BCV8" s="212"/>
      <c r="BCW8" s="212"/>
      <c r="BCX8" s="212"/>
      <c r="BCY8" s="212"/>
      <c r="BCZ8" s="212"/>
      <c r="BDA8" s="212"/>
      <c r="BDB8" s="212"/>
      <c r="BDC8" s="212"/>
      <c r="BDD8" s="212"/>
      <c r="BDE8" s="212"/>
      <c r="BDF8" s="212"/>
      <c r="BDG8" s="212"/>
      <c r="BDH8" s="212"/>
      <c r="BDI8" s="212"/>
      <c r="BDJ8" s="212"/>
      <c r="BDK8" s="212"/>
      <c r="BDL8" s="212"/>
      <c r="BDM8" s="212"/>
      <c r="BDN8" s="212"/>
      <c r="BDO8" s="212"/>
      <c r="BDP8" s="212"/>
      <c r="BDQ8" s="212"/>
      <c r="BDR8" s="212"/>
      <c r="BDS8" s="212"/>
      <c r="BDT8" s="212"/>
      <c r="BDU8" s="212"/>
      <c r="BDV8" s="212"/>
      <c r="BDW8" s="212"/>
      <c r="BDX8" s="212"/>
      <c r="BDY8" s="212"/>
      <c r="BDZ8" s="212"/>
      <c r="BEA8" s="212"/>
      <c r="BEB8" s="212"/>
      <c r="BEC8" s="212"/>
      <c r="BED8" s="212"/>
      <c r="BEE8" s="212"/>
      <c r="BEF8" s="212"/>
      <c r="BEG8" s="212"/>
      <c r="BEH8" s="212"/>
      <c r="BEI8" s="212"/>
      <c r="BEJ8" s="212"/>
      <c r="BEK8" s="212"/>
      <c r="BEL8" s="212"/>
      <c r="BEM8" s="212"/>
      <c r="BEN8" s="212"/>
      <c r="BEO8" s="212"/>
      <c r="BEP8" s="212"/>
      <c r="BEQ8" s="212"/>
      <c r="BER8" s="212"/>
      <c r="BES8" s="212"/>
      <c r="BET8" s="212"/>
      <c r="BEU8" s="212"/>
      <c r="BEV8" s="212"/>
      <c r="BEW8" s="212"/>
      <c r="BEX8" s="212"/>
      <c r="BEY8" s="212"/>
      <c r="BEZ8" s="212"/>
      <c r="BFA8" s="212"/>
      <c r="BFB8" s="212"/>
      <c r="BFC8" s="212"/>
      <c r="BFD8" s="212"/>
      <c r="BFE8" s="212"/>
      <c r="BFF8" s="212"/>
      <c r="BFG8" s="212"/>
      <c r="BFH8" s="212"/>
      <c r="BFI8" s="212"/>
      <c r="BFJ8" s="212"/>
      <c r="BFK8" s="212"/>
      <c r="BFL8" s="212"/>
      <c r="BFM8" s="212"/>
      <c r="BFN8" s="212"/>
      <c r="BFO8" s="212"/>
      <c r="BFP8" s="212"/>
      <c r="BFQ8" s="212"/>
      <c r="BFR8" s="212"/>
      <c r="BFS8" s="212"/>
      <c r="BFT8" s="212"/>
      <c r="BFU8" s="212"/>
      <c r="BFV8" s="212"/>
      <c r="BFW8" s="212"/>
      <c r="BFX8" s="212"/>
      <c r="BFY8" s="212"/>
      <c r="BFZ8" s="212"/>
      <c r="BGA8" s="212"/>
      <c r="BGB8" s="212"/>
      <c r="BGC8" s="212"/>
      <c r="BGD8" s="212"/>
      <c r="BGE8" s="212"/>
      <c r="BGF8" s="212"/>
      <c r="BGG8" s="212"/>
      <c r="BGH8" s="212"/>
      <c r="BGI8" s="212"/>
      <c r="BGJ8" s="212"/>
      <c r="BGK8" s="212"/>
      <c r="BGL8" s="212"/>
      <c r="BGM8" s="212"/>
      <c r="BGN8" s="212"/>
      <c r="BGO8" s="212"/>
      <c r="BGP8" s="212"/>
      <c r="BGQ8" s="212"/>
      <c r="BGR8" s="212"/>
      <c r="BGS8" s="212"/>
      <c r="BGT8" s="212"/>
      <c r="BGU8" s="212"/>
      <c r="BGV8" s="212"/>
      <c r="BGW8" s="212"/>
      <c r="BGX8" s="212"/>
      <c r="BGY8" s="212"/>
      <c r="BGZ8" s="212"/>
      <c r="BHA8" s="212"/>
      <c r="BHB8" s="212"/>
      <c r="BHC8" s="212"/>
      <c r="BHD8" s="212"/>
      <c r="BHE8" s="212"/>
      <c r="BHF8" s="212"/>
      <c r="BHG8" s="212"/>
      <c r="BHH8" s="212"/>
      <c r="BHI8" s="212"/>
      <c r="BHJ8" s="212"/>
      <c r="BHK8" s="212"/>
      <c r="BHL8" s="212"/>
      <c r="BHM8" s="212"/>
      <c r="BHN8" s="212"/>
      <c r="BHO8" s="212"/>
      <c r="BHP8" s="212"/>
      <c r="BHQ8" s="212"/>
      <c r="BHR8" s="212"/>
      <c r="BHS8" s="212"/>
      <c r="BHT8" s="212"/>
      <c r="BHU8" s="212"/>
      <c r="BHV8" s="212"/>
      <c r="BHW8" s="212"/>
      <c r="BHX8" s="212"/>
      <c r="BHY8" s="212"/>
      <c r="BHZ8" s="212"/>
      <c r="BIA8" s="212"/>
      <c r="BIB8" s="212"/>
      <c r="BIC8" s="212"/>
      <c r="BID8" s="212"/>
      <c r="BIE8" s="212"/>
      <c r="BIF8" s="212"/>
      <c r="BIG8" s="212"/>
      <c r="BIH8" s="212"/>
      <c r="BII8" s="212"/>
      <c r="BIJ8" s="212"/>
      <c r="BIK8" s="212"/>
      <c r="BIL8" s="212"/>
      <c r="BIM8" s="212"/>
      <c r="BIN8" s="212"/>
      <c r="BIO8" s="212"/>
      <c r="BIP8" s="212"/>
      <c r="BIQ8" s="212"/>
      <c r="BIR8" s="212"/>
      <c r="BIS8" s="212"/>
      <c r="BIT8" s="212"/>
      <c r="BIU8" s="212"/>
      <c r="BIV8" s="212"/>
      <c r="BIW8" s="212"/>
      <c r="BIX8" s="212"/>
      <c r="BIY8" s="212"/>
      <c r="BIZ8" s="212"/>
      <c r="BJA8" s="212"/>
      <c r="BJB8" s="212"/>
      <c r="BJC8" s="212"/>
      <c r="BJD8" s="212"/>
      <c r="BJE8" s="212"/>
      <c r="BJF8" s="212"/>
      <c r="BJG8" s="212"/>
      <c r="BJH8" s="212"/>
      <c r="BJI8" s="212"/>
      <c r="BJJ8" s="212"/>
      <c r="BJK8" s="212"/>
      <c r="BJL8" s="212"/>
      <c r="BJM8" s="212"/>
      <c r="BJN8" s="212"/>
      <c r="BJO8" s="212"/>
      <c r="BJP8" s="212"/>
      <c r="BJQ8" s="212"/>
      <c r="BJR8" s="212"/>
      <c r="BJS8" s="212"/>
      <c r="BJT8" s="212"/>
      <c r="BJU8" s="212"/>
      <c r="BJV8" s="212"/>
      <c r="BJW8" s="212"/>
      <c r="BJX8" s="212"/>
      <c r="BJY8" s="212"/>
      <c r="BJZ8" s="212"/>
      <c r="BKA8" s="212"/>
      <c r="BKB8" s="212"/>
      <c r="BKC8" s="212"/>
      <c r="BKD8" s="212"/>
      <c r="BKE8" s="212"/>
      <c r="BKF8" s="212"/>
      <c r="BKG8" s="212"/>
      <c r="BKH8" s="212"/>
      <c r="BKI8" s="212"/>
      <c r="BKJ8" s="212"/>
      <c r="BKK8" s="212"/>
      <c r="BKL8" s="212"/>
      <c r="BKM8" s="212"/>
      <c r="BKN8" s="212"/>
      <c r="BKO8" s="212"/>
      <c r="BKP8" s="212"/>
      <c r="BKQ8" s="212"/>
      <c r="BKR8" s="212"/>
      <c r="BKS8" s="212"/>
      <c r="BKT8" s="212"/>
      <c r="BKU8" s="212"/>
      <c r="BKV8" s="212"/>
      <c r="BKW8" s="212"/>
      <c r="BKX8" s="212"/>
      <c r="BKY8" s="212"/>
      <c r="BKZ8" s="212"/>
      <c r="BLA8" s="212"/>
      <c r="BLB8" s="212"/>
      <c r="BLC8" s="212"/>
      <c r="BLD8" s="212"/>
      <c r="BLE8" s="212"/>
      <c r="BLF8" s="212"/>
      <c r="BLG8" s="212"/>
      <c r="BLH8" s="212"/>
      <c r="BLI8" s="212"/>
      <c r="BLJ8" s="212"/>
      <c r="BLK8" s="212"/>
      <c r="BLL8" s="212"/>
      <c r="BLM8" s="212"/>
      <c r="BLN8" s="212"/>
      <c r="BLO8" s="212"/>
      <c r="BLP8" s="212"/>
      <c r="BLQ8" s="212"/>
      <c r="BLR8" s="212"/>
      <c r="BLS8" s="212"/>
      <c r="BLT8" s="212"/>
      <c r="BLU8" s="212"/>
      <c r="BLV8" s="212"/>
      <c r="BLW8" s="212"/>
      <c r="BLX8" s="212"/>
      <c r="BLY8" s="212"/>
      <c r="BLZ8" s="212"/>
      <c r="BMA8" s="212"/>
      <c r="BMB8" s="212"/>
      <c r="BMC8" s="212"/>
      <c r="BMD8" s="212"/>
      <c r="BME8" s="212"/>
      <c r="BMF8" s="212"/>
      <c r="BMG8" s="212"/>
      <c r="BMH8" s="212"/>
      <c r="BMI8" s="212"/>
      <c r="BMJ8" s="212"/>
      <c r="BMK8" s="212"/>
      <c r="BML8" s="212"/>
      <c r="BMM8" s="212"/>
      <c r="BMN8" s="212"/>
      <c r="BMO8" s="212"/>
      <c r="BMP8" s="212"/>
      <c r="BMQ8" s="212"/>
      <c r="BMR8" s="212"/>
      <c r="BMS8" s="212"/>
      <c r="BMT8" s="212"/>
      <c r="BMU8" s="212"/>
      <c r="BMV8" s="212"/>
      <c r="BMW8" s="212"/>
      <c r="BMX8" s="212"/>
      <c r="BMY8" s="212"/>
      <c r="BMZ8" s="212"/>
      <c r="BNA8" s="212"/>
      <c r="BNB8" s="212"/>
      <c r="BNC8" s="212"/>
      <c r="BND8" s="212"/>
      <c r="BNE8" s="212"/>
      <c r="BNF8" s="212"/>
      <c r="BNG8" s="212"/>
      <c r="BNH8" s="212"/>
      <c r="BNI8" s="212"/>
      <c r="BNJ8" s="212"/>
      <c r="BNK8" s="212"/>
      <c r="BNL8" s="212"/>
      <c r="BNM8" s="212"/>
      <c r="BNN8" s="212"/>
      <c r="BNO8" s="212"/>
      <c r="BNP8" s="212"/>
      <c r="BNQ8" s="212"/>
      <c r="BNR8" s="212"/>
      <c r="BNS8" s="212"/>
      <c r="BNT8" s="212"/>
      <c r="BNU8" s="212"/>
      <c r="BNV8" s="212"/>
      <c r="BNW8" s="212"/>
      <c r="BNX8" s="212"/>
      <c r="BNY8" s="212"/>
      <c r="BNZ8" s="212"/>
      <c r="BOA8" s="212"/>
      <c r="BOB8" s="212"/>
      <c r="BOC8" s="212"/>
      <c r="BOD8" s="212"/>
      <c r="BOE8" s="212"/>
      <c r="BOF8" s="212"/>
      <c r="BOG8" s="212"/>
      <c r="BOH8" s="212"/>
      <c r="BOI8" s="212"/>
      <c r="BOJ8" s="212"/>
      <c r="BOK8" s="212"/>
      <c r="BOL8" s="212"/>
      <c r="BOM8" s="212"/>
      <c r="BON8" s="212"/>
      <c r="BOO8" s="212"/>
      <c r="BOP8" s="212"/>
      <c r="BOQ8" s="212"/>
      <c r="BOR8" s="212"/>
      <c r="BOS8" s="212"/>
      <c r="BOT8" s="212"/>
      <c r="BOU8" s="212"/>
      <c r="BOV8" s="212"/>
      <c r="BOW8" s="212"/>
      <c r="BOX8" s="212"/>
      <c r="BOY8" s="212"/>
      <c r="BOZ8" s="212"/>
      <c r="BPA8" s="212"/>
      <c r="BPB8" s="212"/>
      <c r="BPC8" s="212"/>
      <c r="BPD8" s="212"/>
      <c r="BPE8" s="212"/>
      <c r="BPF8" s="212"/>
      <c r="BPG8" s="212"/>
      <c r="BPH8" s="212"/>
      <c r="BPI8" s="212"/>
      <c r="BPJ8" s="212"/>
      <c r="BPK8" s="212"/>
      <c r="BPL8" s="212"/>
      <c r="BPM8" s="212"/>
      <c r="BPN8" s="212"/>
      <c r="BPO8" s="212"/>
      <c r="BPP8" s="212"/>
      <c r="BPQ8" s="212"/>
      <c r="BPR8" s="212"/>
      <c r="BPS8" s="212"/>
      <c r="BPT8" s="212"/>
      <c r="BPU8" s="212"/>
      <c r="BPV8" s="212"/>
      <c r="BPW8" s="212"/>
      <c r="BPX8" s="212"/>
      <c r="BPY8" s="212"/>
      <c r="BPZ8" s="212"/>
      <c r="BQA8" s="212"/>
      <c r="BQB8" s="212"/>
      <c r="BQC8" s="212"/>
      <c r="BQD8" s="212"/>
      <c r="BQE8" s="212"/>
      <c r="BQF8" s="212"/>
      <c r="BQG8" s="212"/>
      <c r="BQH8" s="212"/>
      <c r="BQI8" s="212"/>
      <c r="BQJ8" s="212"/>
      <c r="BQK8" s="212"/>
      <c r="BQL8" s="212"/>
      <c r="BQM8" s="212"/>
      <c r="BQN8" s="212"/>
      <c r="BQO8" s="212"/>
      <c r="BQP8" s="212"/>
      <c r="BQQ8" s="212"/>
      <c r="BQR8" s="212"/>
      <c r="BQS8" s="212"/>
      <c r="BQT8" s="212"/>
      <c r="BQU8" s="212"/>
      <c r="BQV8" s="212"/>
      <c r="BQW8" s="212"/>
      <c r="BQX8" s="212"/>
      <c r="BQY8" s="212"/>
      <c r="BQZ8" s="212"/>
      <c r="BRA8" s="212"/>
      <c r="BRB8" s="212"/>
      <c r="BRC8" s="212"/>
      <c r="BRD8" s="212"/>
      <c r="BRE8" s="212"/>
      <c r="BRF8" s="212"/>
      <c r="BRG8" s="212"/>
      <c r="BRH8" s="212"/>
      <c r="BRI8" s="212"/>
      <c r="BRJ8" s="212"/>
      <c r="BRK8" s="212"/>
      <c r="BRL8" s="212"/>
      <c r="BRM8" s="212"/>
      <c r="BRN8" s="212"/>
      <c r="BRO8" s="212"/>
      <c r="BRP8" s="212"/>
      <c r="BRQ8" s="212"/>
      <c r="BRR8" s="212"/>
      <c r="BRS8" s="212"/>
      <c r="BRT8" s="212"/>
      <c r="BRU8" s="212"/>
      <c r="BRV8" s="212"/>
      <c r="BRW8" s="212"/>
      <c r="BRX8" s="212"/>
      <c r="BRY8" s="212"/>
      <c r="BRZ8" s="212"/>
      <c r="BSA8" s="212"/>
      <c r="BSB8" s="212"/>
      <c r="BSC8" s="212"/>
      <c r="BSD8" s="212"/>
      <c r="BSE8" s="212"/>
      <c r="BSF8" s="212"/>
      <c r="BSG8" s="212"/>
      <c r="BSH8" s="212"/>
      <c r="BSI8" s="212"/>
      <c r="BSJ8" s="212"/>
      <c r="BSK8" s="212"/>
      <c r="BSL8" s="212"/>
      <c r="BSM8" s="212"/>
      <c r="BSN8" s="212"/>
      <c r="BSO8" s="212"/>
      <c r="BSP8" s="212"/>
      <c r="BSQ8" s="212"/>
      <c r="BSR8" s="212"/>
      <c r="BSS8" s="212"/>
      <c r="BST8" s="212"/>
      <c r="BSU8" s="212"/>
      <c r="BSV8" s="212"/>
      <c r="BSW8" s="212"/>
      <c r="BSX8" s="212"/>
      <c r="BSY8" s="212"/>
      <c r="BSZ8" s="212"/>
      <c r="BTA8" s="212"/>
      <c r="BTB8" s="212"/>
      <c r="BTC8" s="212"/>
      <c r="BTD8" s="212"/>
      <c r="BTE8" s="212"/>
      <c r="BTF8" s="212"/>
      <c r="BTG8" s="212"/>
      <c r="BTH8" s="212"/>
      <c r="BTI8" s="212"/>
      <c r="BTJ8" s="212"/>
      <c r="BTK8" s="212"/>
      <c r="BTL8" s="212"/>
      <c r="BTM8" s="212"/>
      <c r="BTN8" s="212"/>
      <c r="BTO8" s="212"/>
      <c r="BTP8" s="212"/>
      <c r="BTQ8" s="212"/>
      <c r="BTR8" s="212"/>
      <c r="BTS8" s="212"/>
      <c r="BTT8" s="212"/>
      <c r="BTU8" s="212"/>
      <c r="BTV8" s="212"/>
      <c r="BTW8" s="212"/>
      <c r="BTX8" s="212"/>
      <c r="BTY8" s="212"/>
      <c r="BTZ8" s="212"/>
      <c r="BUA8" s="212"/>
      <c r="BUB8" s="212"/>
      <c r="BUC8" s="212"/>
      <c r="BUD8" s="212"/>
      <c r="BUE8" s="212"/>
      <c r="BUF8" s="212"/>
      <c r="BUG8" s="212"/>
      <c r="BUH8" s="212"/>
      <c r="BUI8" s="212"/>
      <c r="BUJ8" s="212"/>
      <c r="BUK8" s="212"/>
      <c r="BUL8" s="212"/>
      <c r="BUM8" s="212"/>
      <c r="BUN8" s="212"/>
      <c r="BUO8" s="212"/>
      <c r="BUP8" s="212"/>
      <c r="BUQ8" s="212"/>
      <c r="BUR8" s="212"/>
      <c r="BUS8" s="212"/>
      <c r="BUT8" s="212"/>
      <c r="BUU8" s="212"/>
      <c r="BUV8" s="212"/>
      <c r="BUW8" s="212"/>
      <c r="BUX8" s="212"/>
      <c r="BUY8" s="212"/>
      <c r="BUZ8" s="212"/>
      <c r="BVA8" s="212"/>
      <c r="BVB8" s="212"/>
      <c r="BVC8" s="212"/>
      <c r="BVD8" s="212"/>
      <c r="BVE8" s="212"/>
      <c r="BVF8" s="212"/>
      <c r="BVG8" s="212"/>
      <c r="BVH8" s="212"/>
      <c r="BVI8" s="212"/>
      <c r="BVJ8" s="212"/>
      <c r="BVK8" s="212"/>
      <c r="BVL8" s="212"/>
      <c r="BVM8" s="212"/>
      <c r="BVN8" s="212"/>
      <c r="BVO8" s="212"/>
      <c r="BVP8" s="212"/>
      <c r="BVQ8" s="212"/>
      <c r="BVR8" s="212"/>
      <c r="BVS8" s="212"/>
      <c r="BVT8" s="212"/>
      <c r="BVU8" s="212"/>
      <c r="BVV8" s="212"/>
      <c r="BVW8" s="212"/>
      <c r="BVX8" s="212"/>
      <c r="BVY8" s="212"/>
      <c r="BVZ8" s="212"/>
      <c r="BWA8" s="212"/>
      <c r="BWB8" s="212"/>
      <c r="BWC8" s="212"/>
      <c r="BWD8" s="212"/>
      <c r="BWE8" s="212"/>
      <c r="BWF8" s="212"/>
      <c r="BWG8" s="212"/>
      <c r="BWH8" s="212"/>
      <c r="BWI8" s="212"/>
      <c r="BWJ8" s="212"/>
      <c r="BWK8" s="212"/>
      <c r="BWL8" s="212"/>
      <c r="BWM8" s="212"/>
      <c r="BWN8" s="212"/>
      <c r="BWO8" s="212"/>
      <c r="BWP8" s="212"/>
      <c r="BWQ8" s="212"/>
      <c r="BWR8" s="212"/>
      <c r="BWS8" s="212"/>
      <c r="BWT8" s="212"/>
      <c r="BWU8" s="212"/>
      <c r="BWV8" s="212"/>
      <c r="BWW8" s="212"/>
      <c r="BWX8" s="212"/>
      <c r="BWY8" s="212"/>
      <c r="BWZ8" s="212"/>
      <c r="BXA8" s="212"/>
      <c r="BXB8" s="212"/>
      <c r="BXC8" s="212"/>
      <c r="BXD8" s="212"/>
      <c r="BXE8" s="212"/>
      <c r="BXF8" s="212"/>
      <c r="BXG8" s="212"/>
      <c r="BXH8" s="212"/>
      <c r="BXI8" s="212"/>
      <c r="BXJ8" s="212"/>
      <c r="BXK8" s="212"/>
      <c r="BXL8" s="212"/>
      <c r="BXM8" s="212"/>
      <c r="BXN8" s="212"/>
      <c r="BXO8" s="212"/>
      <c r="BXP8" s="212"/>
      <c r="BXQ8" s="212"/>
      <c r="BXR8" s="212"/>
      <c r="BXS8" s="212"/>
      <c r="BXT8" s="212"/>
      <c r="BXU8" s="212"/>
      <c r="BXV8" s="212"/>
      <c r="BXW8" s="212"/>
      <c r="BXX8" s="212"/>
      <c r="BXY8" s="212"/>
      <c r="BXZ8" s="212"/>
      <c r="BYA8" s="212"/>
      <c r="BYB8" s="212"/>
      <c r="BYC8" s="212"/>
      <c r="BYD8" s="212"/>
      <c r="BYE8" s="212"/>
      <c r="BYF8" s="212"/>
      <c r="BYG8" s="212"/>
    </row>
    <row r="9" spans="1:2009" s="101" customFormat="1" ht="12.75" customHeight="1" thickBot="1" x14ac:dyDescent="0.3">
      <c r="A9" s="98"/>
      <c r="B9" s="98"/>
      <c r="C9" s="167"/>
      <c r="D9" s="167"/>
      <c r="E9" s="167"/>
      <c r="F9" s="167"/>
      <c r="G9" s="167"/>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77</v>
      </c>
      <c r="B10" s="132"/>
      <c r="C10" s="168"/>
      <c r="D10" s="168"/>
      <c r="E10" s="169"/>
      <c r="F10" s="169"/>
      <c r="G10" s="170"/>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customHeight="1" x14ac:dyDescent="0.25">
      <c r="A11" s="133"/>
      <c r="B11" s="103" t="s">
        <v>51</v>
      </c>
      <c r="C11" s="171">
        <v>10000</v>
      </c>
      <c r="D11" s="171"/>
      <c r="E11" s="172"/>
      <c r="F11" s="172"/>
      <c r="G11" s="173">
        <f>ROUND(SUM(C11:F11),5)</f>
        <v>10000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customHeight="1" x14ac:dyDescent="0.25">
      <c r="A12" s="133"/>
      <c r="B12" s="103" t="s">
        <v>324</v>
      </c>
      <c r="C12" s="171"/>
      <c r="D12" s="171"/>
      <c r="E12" s="172">
        <v>31032.89</v>
      </c>
      <c r="F12" s="172"/>
      <c r="G12" s="173">
        <f>ROUND(SUM(C12:F12),5)</f>
        <v>31032.89</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405</v>
      </c>
      <c r="C13" s="171">
        <f>13980.06+260</f>
        <v>14240.06</v>
      </c>
      <c r="D13" s="171">
        <f>9981.92-260</f>
        <v>9721.92</v>
      </c>
      <c r="E13" s="172"/>
      <c r="F13" s="172"/>
      <c r="G13" s="173">
        <f>ROUND(SUM(C13:F13),5)</f>
        <v>23961.98</v>
      </c>
      <c r="H13" s="94"/>
      <c r="I13" s="655"/>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18" customFormat="1" ht="24.95" customHeight="1" thickBot="1" x14ac:dyDescent="0.3">
      <c r="A14" s="214"/>
      <c r="B14" s="215" t="s">
        <v>151</v>
      </c>
      <c r="C14" s="216">
        <f>ROUND(SUM(C10:C13),5)</f>
        <v>24240.06</v>
      </c>
      <c r="D14" s="216">
        <f>SUM(D12:D13)</f>
        <v>9721.92</v>
      </c>
      <c r="E14" s="216">
        <f>SUM(E12:E13)</f>
        <v>31032.89</v>
      </c>
      <c r="F14" s="216"/>
      <c r="G14" s="217">
        <f>ROUND(SUM(G10:G13),5)</f>
        <v>64994.87</v>
      </c>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c r="IR14" s="212"/>
      <c r="IS14" s="212"/>
      <c r="IT14" s="212"/>
      <c r="IU14" s="212"/>
      <c r="IV14" s="212"/>
      <c r="IW14" s="212"/>
      <c r="IX14" s="212"/>
      <c r="IY14" s="212"/>
      <c r="IZ14" s="212"/>
      <c r="JA14" s="212"/>
      <c r="JB14" s="212"/>
      <c r="JC14" s="212"/>
      <c r="JD14" s="212"/>
      <c r="JE14" s="212"/>
      <c r="JF14" s="212"/>
      <c r="JG14" s="212"/>
      <c r="JH14" s="212"/>
      <c r="JI14" s="212"/>
      <c r="JJ14" s="212"/>
      <c r="JK14" s="212"/>
      <c r="JL14" s="212"/>
      <c r="JM14" s="212"/>
      <c r="JN14" s="212"/>
      <c r="JO14" s="212"/>
      <c r="JP14" s="212"/>
      <c r="JQ14" s="212"/>
      <c r="JR14" s="212"/>
      <c r="JS14" s="212"/>
      <c r="JT14" s="212"/>
      <c r="JU14" s="212"/>
      <c r="JV14" s="212"/>
      <c r="JW14" s="212"/>
      <c r="JX14" s="212"/>
      <c r="JY14" s="212"/>
      <c r="JZ14" s="212"/>
      <c r="KA14" s="212"/>
      <c r="KB14" s="212"/>
      <c r="KC14" s="212"/>
      <c r="KD14" s="212"/>
      <c r="KE14" s="212"/>
      <c r="KF14" s="212"/>
      <c r="KG14" s="212"/>
      <c r="KH14" s="212"/>
      <c r="KI14" s="212"/>
      <c r="KJ14" s="212"/>
      <c r="KK14" s="212"/>
      <c r="KL14" s="212"/>
      <c r="KM14" s="212"/>
      <c r="KN14" s="212"/>
      <c r="KO14" s="212"/>
      <c r="KP14" s="212"/>
      <c r="KQ14" s="212"/>
      <c r="KR14" s="212"/>
      <c r="KS14" s="212"/>
      <c r="KT14" s="212"/>
      <c r="KU14" s="212"/>
      <c r="KV14" s="212"/>
      <c r="KW14" s="212"/>
      <c r="KX14" s="212"/>
      <c r="KY14" s="212"/>
      <c r="KZ14" s="212"/>
      <c r="LA14" s="212"/>
      <c r="LB14" s="212"/>
      <c r="LC14" s="212"/>
      <c r="LD14" s="212"/>
      <c r="LE14" s="212"/>
      <c r="LF14" s="212"/>
      <c r="LG14" s="212"/>
      <c r="LH14" s="212"/>
      <c r="LI14" s="212"/>
      <c r="LJ14" s="212"/>
      <c r="LK14" s="212"/>
      <c r="LL14" s="212"/>
      <c r="LM14" s="212"/>
      <c r="LN14" s="212"/>
      <c r="LO14" s="212"/>
      <c r="LP14" s="212"/>
      <c r="LQ14" s="212"/>
      <c r="LR14" s="212"/>
      <c r="LS14" s="212"/>
      <c r="LT14" s="212"/>
      <c r="LU14" s="212"/>
      <c r="LV14" s="212"/>
      <c r="LW14" s="212"/>
      <c r="LX14" s="212"/>
      <c r="LY14" s="212"/>
      <c r="LZ14" s="212"/>
      <c r="MA14" s="212"/>
      <c r="MB14" s="212"/>
      <c r="MC14" s="212"/>
      <c r="MD14" s="212"/>
      <c r="ME14" s="212"/>
      <c r="MF14" s="212"/>
      <c r="MG14" s="212"/>
      <c r="MH14" s="212"/>
      <c r="MI14" s="212"/>
      <c r="MJ14" s="212"/>
      <c r="MK14" s="212"/>
      <c r="ML14" s="212"/>
      <c r="MM14" s="212"/>
      <c r="MN14" s="212"/>
      <c r="MO14" s="212"/>
      <c r="MP14" s="212"/>
      <c r="MQ14" s="212"/>
      <c r="MR14" s="212"/>
      <c r="MS14" s="212"/>
      <c r="MT14" s="212"/>
      <c r="MU14" s="212"/>
      <c r="MV14" s="212"/>
      <c r="MW14" s="212"/>
      <c r="MX14" s="212"/>
      <c r="MY14" s="212"/>
      <c r="MZ14" s="212"/>
      <c r="NA14" s="212"/>
      <c r="NB14" s="212"/>
      <c r="NC14" s="212"/>
      <c r="ND14" s="212"/>
      <c r="NE14" s="212"/>
      <c r="NF14" s="212"/>
      <c r="NG14" s="212"/>
      <c r="NH14" s="212"/>
      <c r="NI14" s="212"/>
      <c r="NJ14" s="212"/>
      <c r="NK14" s="212"/>
      <c r="NL14" s="212"/>
      <c r="NM14" s="212"/>
      <c r="NN14" s="212"/>
      <c r="NO14" s="212"/>
      <c r="NP14" s="212"/>
      <c r="NQ14" s="212"/>
      <c r="NR14" s="212"/>
      <c r="NS14" s="212"/>
      <c r="NT14" s="212"/>
      <c r="NU14" s="212"/>
      <c r="NV14" s="212"/>
      <c r="NW14" s="212"/>
      <c r="NX14" s="212"/>
      <c r="NY14" s="212"/>
      <c r="NZ14" s="212"/>
      <c r="OA14" s="212"/>
      <c r="OB14" s="212"/>
      <c r="OC14" s="212"/>
      <c r="OD14" s="212"/>
      <c r="OE14" s="212"/>
      <c r="OF14" s="212"/>
      <c r="OG14" s="212"/>
      <c r="OH14" s="212"/>
      <c r="OI14" s="212"/>
      <c r="OJ14" s="212"/>
      <c r="OK14" s="212"/>
      <c r="OL14" s="212"/>
      <c r="OM14" s="212"/>
      <c r="ON14" s="212"/>
      <c r="OO14" s="212"/>
      <c r="OP14" s="212"/>
      <c r="OQ14" s="212"/>
      <c r="OR14" s="212"/>
      <c r="OS14" s="212"/>
      <c r="OT14" s="212"/>
      <c r="OU14" s="212"/>
      <c r="OV14" s="212"/>
      <c r="OW14" s="212"/>
      <c r="OX14" s="212"/>
      <c r="OY14" s="212"/>
      <c r="OZ14" s="212"/>
      <c r="PA14" s="212"/>
      <c r="PB14" s="212"/>
      <c r="PC14" s="212"/>
      <c r="PD14" s="212"/>
      <c r="PE14" s="212"/>
      <c r="PF14" s="212"/>
      <c r="PG14" s="212"/>
      <c r="PH14" s="212"/>
      <c r="PI14" s="212"/>
      <c r="PJ14" s="212"/>
      <c r="PK14" s="212"/>
      <c r="PL14" s="212"/>
      <c r="PM14" s="212"/>
      <c r="PN14" s="212"/>
      <c r="PO14" s="212"/>
      <c r="PP14" s="212"/>
      <c r="PQ14" s="212"/>
      <c r="PR14" s="212"/>
      <c r="PS14" s="212"/>
      <c r="PT14" s="212"/>
      <c r="PU14" s="212"/>
      <c r="PV14" s="212"/>
      <c r="PW14" s="212"/>
      <c r="PX14" s="212"/>
      <c r="PY14" s="212"/>
      <c r="PZ14" s="212"/>
      <c r="QA14" s="212"/>
      <c r="QB14" s="212"/>
      <c r="QC14" s="212"/>
      <c r="QD14" s="212"/>
      <c r="QE14" s="212"/>
      <c r="QF14" s="212"/>
      <c r="QG14" s="212"/>
      <c r="QH14" s="212"/>
      <c r="QI14" s="212"/>
      <c r="QJ14" s="212"/>
      <c r="QK14" s="212"/>
      <c r="QL14" s="212"/>
      <c r="QM14" s="212"/>
      <c r="QN14" s="212"/>
      <c r="QO14" s="212"/>
      <c r="QP14" s="212"/>
      <c r="QQ14" s="212"/>
      <c r="QR14" s="212"/>
      <c r="QS14" s="212"/>
      <c r="QT14" s="212"/>
      <c r="QU14" s="212"/>
      <c r="QV14" s="212"/>
      <c r="QW14" s="212"/>
      <c r="QX14" s="212"/>
      <c r="QY14" s="212"/>
      <c r="QZ14" s="212"/>
      <c r="RA14" s="212"/>
      <c r="RB14" s="212"/>
      <c r="RC14" s="212"/>
      <c r="RD14" s="212"/>
      <c r="RE14" s="212"/>
      <c r="RF14" s="212"/>
      <c r="RG14" s="212"/>
      <c r="RH14" s="212"/>
      <c r="RI14" s="212"/>
      <c r="RJ14" s="212"/>
      <c r="RK14" s="212"/>
      <c r="RL14" s="212"/>
      <c r="RM14" s="212"/>
      <c r="RN14" s="212"/>
      <c r="RO14" s="212"/>
      <c r="RP14" s="212"/>
      <c r="RQ14" s="212"/>
      <c r="RR14" s="212"/>
      <c r="RS14" s="212"/>
      <c r="RT14" s="212"/>
      <c r="RU14" s="212"/>
      <c r="RV14" s="212"/>
      <c r="RW14" s="212"/>
      <c r="RX14" s="212"/>
      <c r="RY14" s="212"/>
      <c r="RZ14" s="212"/>
      <c r="SA14" s="212"/>
      <c r="SB14" s="212"/>
      <c r="SC14" s="212"/>
      <c r="SD14" s="212"/>
      <c r="SE14" s="212"/>
      <c r="SF14" s="212"/>
      <c r="SG14" s="212"/>
      <c r="SH14" s="212"/>
      <c r="SI14" s="212"/>
      <c r="SJ14" s="212"/>
      <c r="SK14" s="212"/>
      <c r="SL14" s="212"/>
      <c r="SM14" s="212"/>
      <c r="SN14" s="212"/>
      <c r="SO14" s="212"/>
      <c r="SP14" s="212"/>
      <c r="SQ14" s="212"/>
      <c r="SR14" s="212"/>
      <c r="SS14" s="212"/>
      <c r="ST14" s="212"/>
      <c r="SU14" s="212"/>
      <c r="SV14" s="212"/>
      <c r="SW14" s="212"/>
      <c r="SX14" s="212"/>
      <c r="SY14" s="212"/>
      <c r="SZ14" s="212"/>
      <c r="TA14" s="212"/>
      <c r="TB14" s="212"/>
      <c r="TC14" s="212"/>
      <c r="TD14" s="212"/>
      <c r="TE14" s="212"/>
      <c r="TF14" s="212"/>
      <c r="TG14" s="212"/>
      <c r="TH14" s="212"/>
      <c r="TI14" s="212"/>
      <c r="TJ14" s="212"/>
      <c r="TK14" s="212"/>
      <c r="TL14" s="212"/>
      <c r="TM14" s="212"/>
      <c r="TN14" s="212"/>
      <c r="TO14" s="212"/>
      <c r="TP14" s="212"/>
      <c r="TQ14" s="212"/>
      <c r="TR14" s="212"/>
      <c r="TS14" s="212"/>
      <c r="TT14" s="212"/>
      <c r="TU14" s="212"/>
      <c r="TV14" s="212"/>
      <c r="TW14" s="212"/>
      <c r="TX14" s="212"/>
      <c r="TY14" s="212"/>
      <c r="TZ14" s="212"/>
      <c r="UA14" s="212"/>
      <c r="UB14" s="212"/>
      <c r="UC14" s="212"/>
      <c r="UD14" s="212"/>
      <c r="UE14" s="212"/>
      <c r="UF14" s="212"/>
      <c r="UG14" s="212"/>
      <c r="UH14" s="212"/>
      <c r="UI14" s="212"/>
      <c r="UJ14" s="212"/>
      <c r="UK14" s="212"/>
      <c r="UL14" s="212"/>
      <c r="UM14" s="212"/>
      <c r="UN14" s="212"/>
      <c r="UO14" s="212"/>
      <c r="UP14" s="212"/>
      <c r="UQ14" s="212"/>
      <c r="UR14" s="212"/>
      <c r="US14" s="212"/>
      <c r="UT14" s="212"/>
      <c r="UU14" s="212"/>
      <c r="UV14" s="212"/>
      <c r="UW14" s="212"/>
      <c r="UX14" s="212"/>
      <c r="UY14" s="212"/>
      <c r="UZ14" s="212"/>
      <c r="VA14" s="212"/>
      <c r="VB14" s="212"/>
      <c r="VC14" s="212"/>
      <c r="VD14" s="212"/>
      <c r="VE14" s="212"/>
      <c r="VF14" s="212"/>
      <c r="VG14" s="212"/>
      <c r="VH14" s="212"/>
      <c r="VI14" s="212"/>
      <c r="VJ14" s="212"/>
      <c r="VK14" s="212"/>
      <c r="VL14" s="212"/>
      <c r="VM14" s="212"/>
      <c r="VN14" s="212"/>
      <c r="VO14" s="212"/>
      <c r="VP14" s="212"/>
      <c r="VQ14" s="212"/>
      <c r="VR14" s="212"/>
      <c r="VS14" s="212"/>
      <c r="VT14" s="212"/>
      <c r="VU14" s="212"/>
      <c r="VV14" s="212"/>
      <c r="VW14" s="212"/>
      <c r="VX14" s="212"/>
      <c r="VY14" s="212"/>
      <c r="VZ14" s="212"/>
      <c r="WA14" s="212"/>
      <c r="WB14" s="212"/>
      <c r="WC14" s="212"/>
      <c r="WD14" s="212"/>
      <c r="WE14" s="212"/>
      <c r="WF14" s="212"/>
      <c r="WG14" s="212"/>
      <c r="WH14" s="212"/>
      <c r="WI14" s="212"/>
      <c r="WJ14" s="212"/>
      <c r="WK14" s="212"/>
      <c r="WL14" s="212"/>
      <c r="WM14" s="212"/>
      <c r="WN14" s="212"/>
      <c r="WO14" s="212"/>
      <c r="WP14" s="212"/>
      <c r="WQ14" s="212"/>
      <c r="WR14" s="212"/>
      <c r="WS14" s="212"/>
      <c r="WT14" s="212"/>
      <c r="WU14" s="212"/>
      <c r="WV14" s="212"/>
      <c r="WW14" s="212"/>
      <c r="WX14" s="212"/>
      <c r="WY14" s="212"/>
      <c r="WZ14" s="212"/>
      <c r="XA14" s="212"/>
      <c r="XB14" s="212"/>
      <c r="XC14" s="212"/>
      <c r="XD14" s="212"/>
      <c r="XE14" s="212"/>
      <c r="XF14" s="212"/>
      <c r="XG14" s="212"/>
      <c r="XH14" s="212"/>
      <c r="XI14" s="212"/>
      <c r="XJ14" s="212"/>
      <c r="XK14" s="212"/>
      <c r="XL14" s="212"/>
      <c r="XM14" s="212"/>
      <c r="XN14" s="212"/>
      <c r="XO14" s="212"/>
      <c r="XP14" s="212"/>
      <c r="XQ14" s="212"/>
      <c r="XR14" s="212"/>
      <c r="XS14" s="212"/>
      <c r="XT14" s="212"/>
      <c r="XU14" s="212"/>
      <c r="XV14" s="212"/>
      <c r="XW14" s="212"/>
      <c r="XX14" s="212"/>
      <c r="XY14" s="212"/>
      <c r="XZ14" s="212"/>
      <c r="YA14" s="212"/>
      <c r="YB14" s="212"/>
      <c r="YC14" s="212"/>
      <c r="YD14" s="212"/>
      <c r="YE14" s="212"/>
      <c r="YF14" s="212"/>
      <c r="YG14" s="212"/>
      <c r="YH14" s="212"/>
      <c r="YI14" s="212"/>
      <c r="YJ14" s="212"/>
      <c r="YK14" s="212"/>
      <c r="YL14" s="212"/>
      <c r="YM14" s="212"/>
      <c r="YN14" s="212"/>
      <c r="YO14" s="212"/>
      <c r="YP14" s="212"/>
      <c r="YQ14" s="212"/>
      <c r="YR14" s="212"/>
      <c r="YS14" s="212"/>
      <c r="YT14" s="212"/>
      <c r="YU14" s="212"/>
      <c r="YV14" s="212"/>
      <c r="YW14" s="212"/>
      <c r="YX14" s="212"/>
      <c r="YY14" s="212"/>
      <c r="YZ14" s="212"/>
      <c r="ZA14" s="212"/>
      <c r="ZB14" s="212"/>
      <c r="ZC14" s="212"/>
      <c r="ZD14" s="212"/>
      <c r="ZE14" s="212"/>
      <c r="ZF14" s="212"/>
      <c r="ZG14" s="212"/>
      <c r="ZH14" s="212"/>
      <c r="ZI14" s="212"/>
      <c r="ZJ14" s="212"/>
      <c r="ZK14" s="212"/>
      <c r="ZL14" s="212"/>
      <c r="ZM14" s="212"/>
      <c r="ZN14" s="212"/>
      <c r="ZO14" s="212"/>
      <c r="ZP14" s="212"/>
      <c r="ZQ14" s="212"/>
      <c r="ZR14" s="212"/>
      <c r="ZS14" s="212"/>
      <c r="ZT14" s="212"/>
      <c r="ZU14" s="212"/>
      <c r="ZV14" s="212"/>
      <c r="ZW14" s="212"/>
      <c r="ZX14" s="212"/>
      <c r="ZY14" s="212"/>
      <c r="ZZ14" s="212"/>
      <c r="AAA14" s="212"/>
      <c r="AAB14" s="212"/>
      <c r="AAC14" s="212"/>
      <c r="AAD14" s="212"/>
      <c r="AAE14" s="212"/>
      <c r="AAF14" s="212"/>
      <c r="AAG14" s="212"/>
      <c r="AAH14" s="212"/>
      <c r="AAI14" s="212"/>
      <c r="AAJ14" s="212"/>
      <c r="AAK14" s="212"/>
      <c r="AAL14" s="212"/>
      <c r="AAM14" s="212"/>
      <c r="AAN14" s="212"/>
      <c r="AAO14" s="212"/>
      <c r="AAP14" s="212"/>
      <c r="AAQ14" s="212"/>
      <c r="AAR14" s="212"/>
      <c r="AAS14" s="212"/>
      <c r="AAT14" s="212"/>
      <c r="AAU14" s="212"/>
      <c r="AAV14" s="212"/>
      <c r="AAW14" s="212"/>
      <c r="AAX14" s="212"/>
      <c r="AAY14" s="212"/>
      <c r="AAZ14" s="212"/>
      <c r="ABA14" s="212"/>
      <c r="ABB14" s="212"/>
      <c r="ABC14" s="212"/>
      <c r="ABD14" s="212"/>
      <c r="ABE14" s="212"/>
      <c r="ABF14" s="212"/>
      <c r="ABG14" s="212"/>
      <c r="ABH14" s="212"/>
      <c r="ABI14" s="212"/>
      <c r="ABJ14" s="212"/>
      <c r="ABK14" s="212"/>
      <c r="ABL14" s="212"/>
      <c r="ABM14" s="212"/>
      <c r="ABN14" s="212"/>
      <c r="ABO14" s="212"/>
      <c r="ABP14" s="212"/>
      <c r="ABQ14" s="212"/>
      <c r="ABR14" s="212"/>
      <c r="ABS14" s="212"/>
      <c r="ABT14" s="212"/>
      <c r="ABU14" s="212"/>
      <c r="ABV14" s="212"/>
      <c r="ABW14" s="212"/>
      <c r="ABX14" s="212"/>
      <c r="ABY14" s="212"/>
      <c r="ABZ14" s="212"/>
      <c r="ACA14" s="212"/>
      <c r="ACB14" s="212"/>
      <c r="ACC14" s="212"/>
      <c r="ACD14" s="212"/>
      <c r="ACE14" s="212"/>
      <c r="ACF14" s="212"/>
      <c r="ACG14" s="212"/>
      <c r="ACH14" s="212"/>
      <c r="ACI14" s="212"/>
      <c r="ACJ14" s="212"/>
      <c r="ACK14" s="212"/>
      <c r="ACL14" s="212"/>
      <c r="ACM14" s="212"/>
      <c r="ACN14" s="212"/>
      <c r="ACO14" s="212"/>
      <c r="ACP14" s="212"/>
      <c r="ACQ14" s="212"/>
      <c r="ACR14" s="212"/>
      <c r="ACS14" s="212"/>
      <c r="ACT14" s="212"/>
      <c r="ACU14" s="212"/>
      <c r="ACV14" s="212"/>
      <c r="ACW14" s="212"/>
      <c r="ACX14" s="212"/>
      <c r="ACY14" s="212"/>
      <c r="ACZ14" s="212"/>
      <c r="ADA14" s="212"/>
      <c r="ADB14" s="212"/>
      <c r="ADC14" s="212"/>
      <c r="ADD14" s="212"/>
      <c r="ADE14" s="212"/>
      <c r="ADF14" s="212"/>
      <c r="ADG14" s="212"/>
      <c r="ADH14" s="212"/>
      <c r="ADI14" s="212"/>
      <c r="ADJ14" s="212"/>
      <c r="ADK14" s="212"/>
      <c r="ADL14" s="212"/>
      <c r="ADM14" s="212"/>
      <c r="ADN14" s="212"/>
      <c r="ADO14" s="212"/>
      <c r="ADP14" s="212"/>
      <c r="ADQ14" s="212"/>
      <c r="ADR14" s="212"/>
      <c r="ADS14" s="212"/>
      <c r="ADT14" s="212"/>
      <c r="ADU14" s="212"/>
      <c r="ADV14" s="212"/>
      <c r="ADW14" s="212"/>
      <c r="ADX14" s="212"/>
      <c r="ADY14" s="212"/>
      <c r="ADZ14" s="212"/>
      <c r="AEA14" s="212"/>
      <c r="AEB14" s="212"/>
      <c r="AEC14" s="212"/>
      <c r="AED14" s="212"/>
      <c r="AEE14" s="212"/>
      <c r="AEF14" s="212"/>
      <c r="AEG14" s="212"/>
      <c r="AEH14" s="212"/>
      <c r="AEI14" s="212"/>
      <c r="AEJ14" s="212"/>
      <c r="AEK14" s="212"/>
      <c r="AEL14" s="212"/>
      <c r="AEM14" s="212"/>
      <c r="AEN14" s="212"/>
      <c r="AEO14" s="212"/>
      <c r="AEP14" s="212"/>
      <c r="AEQ14" s="212"/>
      <c r="AER14" s="212"/>
      <c r="AES14" s="212"/>
      <c r="AET14" s="212"/>
      <c r="AEU14" s="212"/>
      <c r="AEV14" s="212"/>
      <c r="AEW14" s="212"/>
      <c r="AEX14" s="212"/>
      <c r="AEY14" s="212"/>
      <c r="AEZ14" s="212"/>
      <c r="AFA14" s="212"/>
      <c r="AFB14" s="212"/>
      <c r="AFC14" s="212"/>
      <c r="AFD14" s="212"/>
      <c r="AFE14" s="212"/>
      <c r="AFF14" s="212"/>
      <c r="AFG14" s="212"/>
      <c r="AFH14" s="212"/>
      <c r="AFI14" s="212"/>
      <c r="AFJ14" s="212"/>
      <c r="AFK14" s="212"/>
      <c r="AFL14" s="212"/>
      <c r="AFM14" s="212"/>
      <c r="AFN14" s="212"/>
      <c r="AFO14" s="212"/>
      <c r="AFP14" s="212"/>
      <c r="AFQ14" s="212"/>
      <c r="AFR14" s="212"/>
      <c r="AFS14" s="212"/>
      <c r="AFT14" s="212"/>
      <c r="AFU14" s="212"/>
      <c r="AFV14" s="212"/>
      <c r="AFW14" s="212"/>
      <c r="AFX14" s="212"/>
      <c r="AFY14" s="212"/>
      <c r="AFZ14" s="212"/>
      <c r="AGA14" s="212"/>
      <c r="AGB14" s="212"/>
      <c r="AGC14" s="212"/>
      <c r="AGD14" s="212"/>
      <c r="AGE14" s="212"/>
      <c r="AGF14" s="212"/>
      <c r="AGG14" s="212"/>
      <c r="AGH14" s="212"/>
      <c r="AGI14" s="212"/>
      <c r="AGJ14" s="212"/>
      <c r="AGK14" s="212"/>
      <c r="AGL14" s="212"/>
      <c r="AGM14" s="212"/>
      <c r="AGN14" s="212"/>
      <c r="AGO14" s="212"/>
      <c r="AGP14" s="212"/>
      <c r="AGQ14" s="212"/>
      <c r="AGR14" s="212"/>
      <c r="AGS14" s="212"/>
      <c r="AGT14" s="212"/>
      <c r="AGU14" s="212"/>
      <c r="AGV14" s="212"/>
      <c r="AGW14" s="212"/>
      <c r="AGX14" s="212"/>
      <c r="AGY14" s="212"/>
      <c r="AGZ14" s="212"/>
      <c r="AHA14" s="212"/>
      <c r="AHB14" s="212"/>
      <c r="AHC14" s="212"/>
      <c r="AHD14" s="212"/>
      <c r="AHE14" s="212"/>
      <c r="AHF14" s="212"/>
      <c r="AHG14" s="212"/>
      <c r="AHH14" s="212"/>
      <c r="AHI14" s="212"/>
      <c r="AHJ14" s="212"/>
      <c r="AHK14" s="212"/>
      <c r="AHL14" s="212"/>
      <c r="AHM14" s="212"/>
      <c r="AHN14" s="212"/>
      <c r="AHO14" s="212"/>
      <c r="AHP14" s="212"/>
      <c r="AHQ14" s="212"/>
      <c r="AHR14" s="212"/>
      <c r="AHS14" s="212"/>
      <c r="AHT14" s="212"/>
      <c r="AHU14" s="212"/>
      <c r="AHV14" s="212"/>
      <c r="AHW14" s="212"/>
      <c r="AHX14" s="212"/>
      <c r="AHY14" s="212"/>
      <c r="AHZ14" s="212"/>
      <c r="AIA14" s="212"/>
      <c r="AIB14" s="212"/>
      <c r="AIC14" s="212"/>
      <c r="AID14" s="212"/>
      <c r="AIE14" s="212"/>
      <c r="AIF14" s="212"/>
      <c r="AIG14" s="212"/>
      <c r="AIH14" s="212"/>
      <c r="AII14" s="212"/>
      <c r="AIJ14" s="212"/>
      <c r="AIK14" s="212"/>
      <c r="AIL14" s="212"/>
      <c r="AIM14" s="212"/>
      <c r="AIN14" s="212"/>
      <c r="AIO14" s="212"/>
      <c r="AIP14" s="212"/>
      <c r="AIQ14" s="212"/>
      <c r="AIR14" s="212"/>
      <c r="AIS14" s="212"/>
      <c r="AIT14" s="212"/>
      <c r="AIU14" s="212"/>
      <c r="AIV14" s="212"/>
      <c r="AIW14" s="212"/>
      <c r="AIX14" s="212"/>
      <c r="AIY14" s="212"/>
      <c r="AIZ14" s="212"/>
      <c r="AJA14" s="212"/>
      <c r="AJB14" s="212"/>
      <c r="AJC14" s="212"/>
      <c r="AJD14" s="212"/>
      <c r="AJE14" s="212"/>
      <c r="AJF14" s="212"/>
      <c r="AJG14" s="212"/>
      <c r="AJH14" s="212"/>
      <c r="AJI14" s="212"/>
      <c r="AJJ14" s="212"/>
      <c r="AJK14" s="212"/>
      <c r="AJL14" s="212"/>
      <c r="AJM14" s="212"/>
      <c r="AJN14" s="212"/>
      <c r="AJO14" s="212"/>
      <c r="AJP14" s="212"/>
      <c r="AJQ14" s="212"/>
      <c r="AJR14" s="212"/>
      <c r="AJS14" s="212"/>
      <c r="AJT14" s="212"/>
      <c r="AJU14" s="212"/>
      <c r="AJV14" s="212"/>
      <c r="AJW14" s="212"/>
      <c r="AJX14" s="212"/>
      <c r="AJY14" s="212"/>
      <c r="AJZ14" s="212"/>
      <c r="AKA14" s="212"/>
      <c r="AKB14" s="212"/>
      <c r="AKC14" s="212"/>
      <c r="AKD14" s="212"/>
      <c r="AKE14" s="212"/>
      <c r="AKF14" s="212"/>
      <c r="AKG14" s="212"/>
      <c r="AKH14" s="212"/>
      <c r="AKI14" s="212"/>
      <c r="AKJ14" s="212"/>
      <c r="AKK14" s="212"/>
      <c r="AKL14" s="212"/>
      <c r="AKM14" s="212"/>
      <c r="AKN14" s="212"/>
      <c r="AKO14" s="212"/>
      <c r="AKP14" s="212"/>
      <c r="AKQ14" s="212"/>
      <c r="AKR14" s="212"/>
      <c r="AKS14" s="212"/>
      <c r="AKT14" s="212"/>
      <c r="AKU14" s="212"/>
      <c r="AKV14" s="212"/>
      <c r="AKW14" s="212"/>
      <c r="AKX14" s="212"/>
      <c r="AKY14" s="212"/>
      <c r="AKZ14" s="212"/>
      <c r="ALA14" s="212"/>
      <c r="ALB14" s="212"/>
      <c r="ALC14" s="212"/>
      <c r="ALD14" s="212"/>
      <c r="ALE14" s="212"/>
      <c r="ALF14" s="212"/>
      <c r="ALG14" s="212"/>
      <c r="ALH14" s="212"/>
      <c r="ALI14" s="212"/>
      <c r="ALJ14" s="212"/>
      <c r="ALK14" s="212"/>
      <c r="ALL14" s="212"/>
      <c r="ALM14" s="212"/>
      <c r="ALN14" s="212"/>
      <c r="ALO14" s="212"/>
      <c r="ALP14" s="212"/>
      <c r="ALQ14" s="212"/>
      <c r="ALR14" s="212"/>
      <c r="ALS14" s="212"/>
      <c r="ALT14" s="212"/>
      <c r="ALU14" s="212"/>
      <c r="ALV14" s="212"/>
      <c r="ALW14" s="212"/>
      <c r="ALX14" s="212"/>
      <c r="ALY14" s="212"/>
      <c r="ALZ14" s="212"/>
      <c r="AMA14" s="212"/>
      <c r="AMB14" s="212"/>
      <c r="AMC14" s="212"/>
      <c r="AMD14" s="212"/>
      <c r="AME14" s="212"/>
      <c r="AMF14" s="212"/>
      <c r="AMG14" s="212"/>
      <c r="AMH14" s="212"/>
      <c r="AMI14" s="212"/>
      <c r="AMJ14" s="212"/>
      <c r="AMK14" s="212"/>
      <c r="AML14" s="212"/>
      <c r="AMM14" s="212"/>
      <c r="AMN14" s="212"/>
      <c r="AMO14" s="212"/>
      <c r="AMP14" s="212"/>
      <c r="AMQ14" s="212"/>
      <c r="AMR14" s="212"/>
      <c r="AMS14" s="212"/>
      <c r="AMT14" s="212"/>
      <c r="AMU14" s="212"/>
      <c r="AMV14" s="212"/>
      <c r="AMW14" s="212"/>
      <c r="AMX14" s="212"/>
      <c r="AMY14" s="212"/>
      <c r="AMZ14" s="212"/>
      <c r="ANA14" s="212"/>
      <c r="ANB14" s="212"/>
      <c r="ANC14" s="212"/>
      <c r="AND14" s="212"/>
      <c r="ANE14" s="212"/>
      <c r="ANF14" s="212"/>
      <c r="ANG14" s="212"/>
      <c r="ANH14" s="212"/>
      <c r="ANI14" s="212"/>
      <c r="ANJ14" s="212"/>
      <c r="ANK14" s="212"/>
      <c r="ANL14" s="212"/>
      <c r="ANM14" s="212"/>
      <c r="ANN14" s="212"/>
      <c r="ANO14" s="212"/>
      <c r="ANP14" s="212"/>
      <c r="ANQ14" s="212"/>
      <c r="ANR14" s="212"/>
      <c r="ANS14" s="212"/>
      <c r="ANT14" s="212"/>
      <c r="ANU14" s="212"/>
      <c r="ANV14" s="212"/>
      <c r="ANW14" s="212"/>
      <c r="ANX14" s="212"/>
      <c r="ANY14" s="212"/>
      <c r="ANZ14" s="212"/>
      <c r="AOA14" s="212"/>
      <c r="AOB14" s="212"/>
      <c r="AOC14" s="212"/>
      <c r="AOD14" s="212"/>
      <c r="AOE14" s="212"/>
      <c r="AOF14" s="212"/>
      <c r="AOG14" s="212"/>
      <c r="AOH14" s="212"/>
      <c r="AOI14" s="212"/>
      <c r="AOJ14" s="212"/>
      <c r="AOK14" s="212"/>
      <c r="AOL14" s="212"/>
      <c r="AOM14" s="212"/>
      <c r="AON14" s="212"/>
      <c r="AOO14" s="212"/>
      <c r="AOP14" s="212"/>
      <c r="AOQ14" s="212"/>
      <c r="AOR14" s="212"/>
      <c r="AOS14" s="212"/>
      <c r="AOT14" s="212"/>
      <c r="AOU14" s="212"/>
      <c r="AOV14" s="212"/>
      <c r="AOW14" s="212"/>
      <c r="AOX14" s="212"/>
      <c r="AOY14" s="212"/>
      <c r="AOZ14" s="212"/>
      <c r="APA14" s="212"/>
      <c r="APB14" s="212"/>
      <c r="APC14" s="212"/>
      <c r="APD14" s="212"/>
      <c r="APE14" s="212"/>
      <c r="APF14" s="212"/>
      <c r="APG14" s="212"/>
      <c r="APH14" s="212"/>
      <c r="API14" s="212"/>
      <c r="APJ14" s="212"/>
      <c r="APK14" s="212"/>
      <c r="APL14" s="212"/>
      <c r="APM14" s="212"/>
      <c r="APN14" s="212"/>
      <c r="APO14" s="212"/>
      <c r="APP14" s="212"/>
      <c r="APQ14" s="212"/>
      <c r="APR14" s="212"/>
      <c r="APS14" s="212"/>
      <c r="APT14" s="212"/>
      <c r="APU14" s="212"/>
      <c r="APV14" s="212"/>
      <c r="APW14" s="212"/>
      <c r="APX14" s="212"/>
      <c r="APY14" s="212"/>
      <c r="APZ14" s="212"/>
      <c r="AQA14" s="212"/>
      <c r="AQB14" s="212"/>
      <c r="AQC14" s="212"/>
      <c r="AQD14" s="212"/>
      <c r="AQE14" s="212"/>
      <c r="AQF14" s="212"/>
      <c r="AQG14" s="212"/>
      <c r="AQH14" s="212"/>
      <c r="AQI14" s="212"/>
      <c r="AQJ14" s="212"/>
      <c r="AQK14" s="212"/>
      <c r="AQL14" s="212"/>
      <c r="AQM14" s="212"/>
      <c r="AQN14" s="212"/>
      <c r="AQO14" s="212"/>
      <c r="AQP14" s="212"/>
      <c r="AQQ14" s="212"/>
      <c r="AQR14" s="212"/>
      <c r="AQS14" s="212"/>
      <c r="AQT14" s="212"/>
      <c r="AQU14" s="212"/>
      <c r="AQV14" s="212"/>
      <c r="AQW14" s="212"/>
      <c r="AQX14" s="212"/>
      <c r="AQY14" s="212"/>
      <c r="AQZ14" s="212"/>
      <c r="ARA14" s="212"/>
      <c r="ARB14" s="212"/>
      <c r="ARC14" s="212"/>
      <c r="ARD14" s="212"/>
      <c r="ARE14" s="212"/>
      <c r="ARF14" s="212"/>
      <c r="ARG14" s="212"/>
      <c r="ARH14" s="212"/>
      <c r="ARI14" s="212"/>
      <c r="ARJ14" s="212"/>
      <c r="ARK14" s="212"/>
      <c r="ARL14" s="212"/>
      <c r="ARM14" s="212"/>
      <c r="ARN14" s="212"/>
      <c r="ARO14" s="212"/>
      <c r="ARP14" s="212"/>
      <c r="ARQ14" s="212"/>
      <c r="ARR14" s="212"/>
      <c r="ARS14" s="212"/>
      <c r="ART14" s="212"/>
      <c r="ARU14" s="212"/>
      <c r="ARV14" s="212"/>
      <c r="ARW14" s="212"/>
      <c r="ARX14" s="212"/>
      <c r="ARY14" s="212"/>
      <c r="ARZ14" s="212"/>
      <c r="ASA14" s="212"/>
      <c r="ASB14" s="212"/>
      <c r="ASC14" s="212"/>
      <c r="ASD14" s="212"/>
      <c r="ASE14" s="212"/>
      <c r="ASF14" s="212"/>
      <c r="ASG14" s="212"/>
      <c r="ASH14" s="212"/>
      <c r="ASI14" s="212"/>
      <c r="ASJ14" s="212"/>
      <c r="ASK14" s="212"/>
      <c r="ASL14" s="212"/>
      <c r="ASM14" s="212"/>
      <c r="ASN14" s="212"/>
      <c r="ASO14" s="212"/>
      <c r="ASP14" s="212"/>
      <c r="ASQ14" s="212"/>
      <c r="ASR14" s="212"/>
      <c r="ASS14" s="212"/>
      <c r="AST14" s="212"/>
      <c r="ASU14" s="212"/>
      <c r="ASV14" s="212"/>
      <c r="ASW14" s="212"/>
      <c r="ASX14" s="212"/>
      <c r="ASY14" s="212"/>
      <c r="ASZ14" s="212"/>
      <c r="ATA14" s="212"/>
      <c r="ATB14" s="212"/>
      <c r="ATC14" s="212"/>
      <c r="ATD14" s="212"/>
      <c r="ATE14" s="212"/>
      <c r="ATF14" s="212"/>
      <c r="ATG14" s="212"/>
      <c r="ATH14" s="212"/>
      <c r="ATI14" s="212"/>
      <c r="ATJ14" s="212"/>
      <c r="ATK14" s="212"/>
      <c r="ATL14" s="212"/>
      <c r="ATM14" s="212"/>
      <c r="ATN14" s="212"/>
      <c r="ATO14" s="212"/>
      <c r="ATP14" s="212"/>
      <c r="ATQ14" s="212"/>
      <c r="ATR14" s="212"/>
      <c r="ATS14" s="212"/>
      <c r="ATT14" s="212"/>
      <c r="ATU14" s="212"/>
      <c r="ATV14" s="212"/>
      <c r="ATW14" s="212"/>
      <c r="ATX14" s="212"/>
      <c r="ATY14" s="212"/>
      <c r="ATZ14" s="212"/>
      <c r="AUA14" s="212"/>
      <c r="AUB14" s="212"/>
      <c r="AUC14" s="212"/>
      <c r="AUD14" s="212"/>
      <c r="AUE14" s="212"/>
      <c r="AUF14" s="212"/>
      <c r="AUG14" s="212"/>
      <c r="AUH14" s="212"/>
      <c r="AUI14" s="212"/>
      <c r="AUJ14" s="212"/>
      <c r="AUK14" s="212"/>
      <c r="AUL14" s="212"/>
      <c r="AUM14" s="212"/>
      <c r="AUN14" s="212"/>
      <c r="AUO14" s="212"/>
      <c r="AUP14" s="212"/>
      <c r="AUQ14" s="212"/>
      <c r="AUR14" s="212"/>
      <c r="AUS14" s="212"/>
      <c r="AUT14" s="212"/>
      <c r="AUU14" s="212"/>
      <c r="AUV14" s="212"/>
      <c r="AUW14" s="212"/>
      <c r="AUX14" s="212"/>
      <c r="AUY14" s="212"/>
      <c r="AUZ14" s="212"/>
      <c r="AVA14" s="212"/>
      <c r="AVB14" s="212"/>
      <c r="AVC14" s="212"/>
      <c r="AVD14" s="212"/>
      <c r="AVE14" s="212"/>
      <c r="AVF14" s="212"/>
      <c r="AVG14" s="212"/>
      <c r="AVH14" s="212"/>
      <c r="AVI14" s="212"/>
      <c r="AVJ14" s="212"/>
      <c r="AVK14" s="212"/>
      <c r="AVL14" s="212"/>
      <c r="AVM14" s="212"/>
      <c r="AVN14" s="212"/>
      <c r="AVO14" s="212"/>
      <c r="AVP14" s="212"/>
      <c r="AVQ14" s="212"/>
      <c r="AVR14" s="212"/>
      <c r="AVS14" s="212"/>
      <c r="AVT14" s="212"/>
      <c r="AVU14" s="212"/>
      <c r="AVV14" s="212"/>
      <c r="AVW14" s="212"/>
      <c r="AVX14" s="212"/>
      <c r="AVY14" s="212"/>
      <c r="AVZ14" s="212"/>
      <c r="AWA14" s="212"/>
      <c r="AWB14" s="212"/>
      <c r="AWC14" s="212"/>
      <c r="AWD14" s="212"/>
      <c r="AWE14" s="212"/>
      <c r="AWF14" s="212"/>
      <c r="AWG14" s="212"/>
      <c r="AWH14" s="212"/>
      <c r="AWI14" s="212"/>
      <c r="AWJ14" s="212"/>
      <c r="AWK14" s="212"/>
      <c r="AWL14" s="212"/>
      <c r="AWM14" s="212"/>
      <c r="AWN14" s="212"/>
      <c r="AWO14" s="212"/>
      <c r="AWP14" s="212"/>
      <c r="AWQ14" s="212"/>
      <c r="AWR14" s="212"/>
      <c r="AWS14" s="212"/>
      <c r="AWT14" s="212"/>
      <c r="AWU14" s="212"/>
      <c r="AWV14" s="212"/>
      <c r="AWW14" s="212"/>
      <c r="AWX14" s="212"/>
      <c r="AWY14" s="212"/>
      <c r="AWZ14" s="212"/>
      <c r="AXA14" s="212"/>
      <c r="AXB14" s="212"/>
      <c r="AXC14" s="212"/>
      <c r="AXD14" s="212"/>
      <c r="AXE14" s="212"/>
      <c r="AXF14" s="212"/>
      <c r="AXG14" s="212"/>
      <c r="AXH14" s="212"/>
      <c r="AXI14" s="212"/>
      <c r="AXJ14" s="212"/>
      <c r="AXK14" s="212"/>
      <c r="AXL14" s="212"/>
      <c r="AXM14" s="212"/>
      <c r="AXN14" s="212"/>
      <c r="AXO14" s="212"/>
      <c r="AXP14" s="212"/>
      <c r="AXQ14" s="212"/>
      <c r="AXR14" s="212"/>
      <c r="AXS14" s="212"/>
      <c r="AXT14" s="212"/>
      <c r="AXU14" s="212"/>
      <c r="AXV14" s="212"/>
      <c r="AXW14" s="212"/>
      <c r="AXX14" s="212"/>
      <c r="AXY14" s="212"/>
      <c r="AXZ14" s="212"/>
      <c r="AYA14" s="212"/>
      <c r="AYB14" s="212"/>
      <c r="AYC14" s="212"/>
      <c r="AYD14" s="212"/>
      <c r="AYE14" s="212"/>
      <c r="AYF14" s="212"/>
      <c r="AYG14" s="212"/>
      <c r="AYH14" s="212"/>
      <c r="AYI14" s="212"/>
      <c r="AYJ14" s="212"/>
      <c r="AYK14" s="212"/>
      <c r="AYL14" s="212"/>
      <c r="AYM14" s="212"/>
      <c r="AYN14" s="212"/>
      <c r="AYO14" s="212"/>
      <c r="AYP14" s="212"/>
      <c r="AYQ14" s="212"/>
      <c r="AYR14" s="212"/>
      <c r="AYS14" s="212"/>
      <c r="AYT14" s="212"/>
      <c r="AYU14" s="212"/>
      <c r="AYV14" s="212"/>
      <c r="AYW14" s="212"/>
      <c r="AYX14" s="212"/>
      <c r="AYY14" s="212"/>
      <c r="AYZ14" s="212"/>
      <c r="AZA14" s="212"/>
      <c r="AZB14" s="212"/>
      <c r="AZC14" s="212"/>
      <c r="AZD14" s="212"/>
      <c r="AZE14" s="212"/>
      <c r="AZF14" s="212"/>
      <c r="AZG14" s="212"/>
      <c r="AZH14" s="212"/>
      <c r="AZI14" s="212"/>
      <c r="AZJ14" s="212"/>
      <c r="AZK14" s="212"/>
      <c r="AZL14" s="212"/>
      <c r="AZM14" s="212"/>
      <c r="AZN14" s="212"/>
      <c r="AZO14" s="212"/>
      <c r="AZP14" s="212"/>
      <c r="AZQ14" s="212"/>
      <c r="AZR14" s="212"/>
      <c r="AZS14" s="212"/>
      <c r="AZT14" s="212"/>
      <c r="AZU14" s="212"/>
      <c r="AZV14" s="212"/>
      <c r="AZW14" s="212"/>
      <c r="AZX14" s="212"/>
      <c r="AZY14" s="212"/>
      <c r="AZZ14" s="212"/>
      <c r="BAA14" s="212"/>
      <c r="BAB14" s="212"/>
      <c r="BAC14" s="212"/>
      <c r="BAD14" s="212"/>
      <c r="BAE14" s="212"/>
      <c r="BAF14" s="212"/>
      <c r="BAG14" s="212"/>
      <c r="BAH14" s="212"/>
      <c r="BAI14" s="212"/>
      <c r="BAJ14" s="212"/>
      <c r="BAK14" s="212"/>
      <c r="BAL14" s="212"/>
      <c r="BAM14" s="212"/>
      <c r="BAN14" s="212"/>
      <c r="BAO14" s="212"/>
      <c r="BAP14" s="212"/>
      <c r="BAQ14" s="212"/>
      <c r="BAR14" s="212"/>
      <c r="BAS14" s="212"/>
      <c r="BAT14" s="212"/>
      <c r="BAU14" s="212"/>
      <c r="BAV14" s="212"/>
      <c r="BAW14" s="212"/>
      <c r="BAX14" s="212"/>
      <c r="BAY14" s="212"/>
      <c r="BAZ14" s="212"/>
      <c r="BBA14" s="212"/>
      <c r="BBB14" s="212"/>
      <c r="BBC14" s="212"/>
      <c r="BBD14" s="212"/>
      <c r="BBE14" s="212"/>
      <c r="BBF14" s="212"/>
      <c r="BBG14" s="212"/>
      <c r="BBH14" s="212"/>
      <c r="BBI14" s="212"/>
      <c r="BBJ14" s="212"/>
      <c r="BBK14" s="212"/>
      <c r="BBL14" s="212"/>
      <c r="BBM14" s="212"/>
      <c r="BBN14" s="212"/>
      <c r="BBO14" s="212"/>
      <c r="BBP14" s="212"/>
      <c r="BBQ14" s="212"/>
      <c r="BBR14" s="212"/>
      <c r="BBS14" s="212"/>
      <c r="BBT14" s="212"/>
      <c r="BBU14" s="212"/>
      <c r="BBV14" s="212"/>
      <c r="BBW14" s="212"/>
      <c r="BBX14" s="212"/>
      <c r="BBY14" s="212"/>
      <c r="BBZ14" s="212"/>
      <c r="BCA14" s="212"/>
      <c r="BCB14" s="212"/>
      <c r="BCC14" s="212"/>
      <c r="BCD14" s="212"/>
      <c r="BCE14" s="212"/>
      <c r="BCF14" s="212"/>
      <c r="BCG14" s="212"/>
      <c r="BCH14" s="212"/>
      <c r="BCI14" s="212"/>
      <c r="BCJ14" s="212"/>
      <c r="BCK14" s="212"/>
      <c r="BCL14" s="212"/>
      <c r="BCM14" s="212"/>
      <c r="BCN14" s="212"/>
      <c r="BCO14" s="212"/>
      <c r="BCP14" s="212"/>
      <c r="BCQ14" s="212"/>
      <c r="BCR14" s="212"/>
      <c r="BCS14" s="212"/>
      <c r="BCT14" s="212"/>
      <c r="BCU14" s="212"/>
      <c r="BCV14" s="212"/>
      <c r="BCW14" s="212"/>
      <c r="BCX14" s="212"/>
      <c r="BCY14" s="212"/>
      <c r="BCZ14" s="212"/>
      <c r="BDA14" s="212"/>
      <c r="BDB14" s="212"/>
      <c r="BDC14" s="212"/>
      <c r="BDD14" s="212"/>
      <c r="BDE14" s="212"/>
      <c r="BDF14" s="212"/>
      <c r="BDG14" s="212"/>
      <c r="BDH14" s="212"/>
      <c r="BDI14" s="212"/>
      <c r="BDJ14" s="212"/>
      <c r="BDK14" s="212"/>
      <c r="BDL14" s="212"/>
      <c r="BDM14" s="212"/>
      <c r="BDN14" s="212"/>
      <c r="BDO14" s="212"/>
      <c r="BDP14" s="212"/>
      <c r="BDQ14" s="212"/>
      <c r="BDR14" s="212"/>
      <c r="BDS14" s="212"/>
      <c r="BDT14" s="212"/>
      <c r="BDU14" s="212"/>
      <c r="BDV14" s="212"/>
      <c r="BDW14" s="212"/>
      <c r="BDX14" s="212"/>
      <c r="BDY14" s="212"/>
      <c r="BDZ14" s="212"/>
      <c r="BEA14" s="212"/>
      <c r="BEB14" s="212"/>
      <c r="BEC14" s="212"/>
      <c r="BED14" s="212"/>
      <c r="BEE14" s="212"/>
      <c r="BEF14" s="212"/>
      <c r="BEG14" s="212"/>
      <c r="BEH14" s="212"/>
      <c r="BEI14" s="212"/>
      <c r="BEJ14" s="212"/>
      <c r="BEK14" s="212"/>
      <c r="BEL14" s="212"/>
      <c r="BEM14" s="212"/>
      <c r="BEN14" s="212"/>
      <c r="BEO14" s="212"/>
      <c r="BEP14" s="212"/>
      <c r="BEQ14" s="212"/>
      <c r="BER14" s="212"/>
      <c r="BES14" s="212"/>
      <c r="BET14" s="212"/>
      <c r="BEU14" s="212"/>
      <c r="BEV14" s="212"/>
      <c r="BEW14" s="212"/>
      <c r="BEX14" s="212"/>
      <c r="BEY14" s="212"/>
      <c r="BEZ14" s="212"/>
      <c r="BFA14" s="212"/>
      <c r="BFB14" s="212"/>
      <c r="BFC14" s="212"/>
      <c r="BFD14" s="212"/>
      <c r="BFE14" s="212"/>
      <c r="BFF14" s="212"/>
      <c r="BFG14" s="212"/>
      <c r="BFH14" s="212"/>
      <c r="BFI14" s="212"/>
      <c r="BFJ14" s="212"/>
      <c r="BFK14" s="212"/>
      <c r="BFL14" s="212"/>
      <c r="BFM14" s="212"/>
      <c r="BFN14" s="212"/>
      <c r="BFO14" s="212"/>
      <c r="BFP14" s="212"/>
      <c r="BFQ14" s="212"/>
      <c r="BFR14" s="212"/>
      <c r="BFS14" s="212"/>
      <c r="BFT14" s="212"/>
      <c r="BFU14" s="212"/>
      <c r="BFV14" s="212"/>
      <c r="BFW14" s="212"/>
      <c r="BFX14" s="212"/>
      <c r="BFY14" s="212"/>
      <c r="BFZ14" s="212"/>
      <c r="BGA14" s="212"/>
      <c r="BGB14" s="212"/>
      <c r="BGC14" s="212"/>
      <c r="BGD14" s="212"/>
      <c r="BGE14" s="212"/>
      <c r="BGF14" s="212"/>
      <c r="BGG14" s="212"/>
      <c r="BGH14" s="212"/>
      <c r="BGI14" s="212"/>
      <c r="BGJ14" s="212"/>
      <c r="BGK14" s="212"/>
      <c r="BGL14" s="212"/>
      <c r="BGM14" s="212"/>
      <c r="BGN14" s="212"/>
      <c r="BGO14" s="212"/>
      <c r="BGP14" s="212"/>
      <c r="BGQ14" s="212"/>
      <c r="BGR14" s="212"/>
      <c r="BGS14" s="212"/>
      <c r="BGT14" s="212"/>
      <c r="BGU14" s="212"/>
      <c r="BGV14" s="212"/>
      <c r="BGW14" s="212"/>
      <c r="BGX14" s="212"/>
      <c r="BGY14" s="212"/>
      <c r="BGZ14" s="212"/>
      <c r="BHA14" s="212"/>
      <c r="BHB14" s="212"/>
      <c r="BHC14" s="212"/>
      <c r="BHD14" s="212"/>
      <c r="BHE14" s="212"/>
      <c r="BHF14" s="212"/>
      <c r="BHG14" s="212"/>
      <c r="BHH14" s="212"/>
      <c r="BHI14" s="212"/>
      <c r="BHJ14" s="212"/>
      <c r="BHK14" s="212"/>
      <c r="BHL14" s="212"/>
      <c r="BHM14" s="212"/>
      <c r="BHN14" s="212"/>
      <c r="BHO14" s="212"/>
      <c r="BHP14" s="212"/>
      <c r="BHQ14" s="212"/>
      <c r="BHR14" s="212"/>
      <c r="BHS14" s="212"/>
      <c r="BHT14" s="212"/>
      <c r="BHU14" s="212"/>
      <c r="BHV14" s="212"/>
      <c r="BHW14" s="212"/>
      <c r="BHX14" s="212"/>
      <c r="BHY14" s="212"/>
      <c r="BHZ14" s="212"/>
      <c r="BIA14" s="212"/>
      <c r="BIB14" s="212"/>
      <c r="BIC14" s="212"/>
      <c r="BID14" s="212"/>
      <c r="BIE14" s="212"/>
      <c r="BIF14" s="212"/>
      <c r="BIG14" s="212"/>
      <c r="BIH14" s="212"/>
      <c r="BII14" s="212"/>
      <c r="BIJ14" s="212"/>
      <c r="BIK14" s="212"/>
      <c r="BIL14" s="212"/>
      <c r="BIM14" s="212"/>
      <c r="BIN14" s="212"/>
      <c r="BIO14" s="212"/>
      <c r="BIP14" s="212"/>
      <c r="BIQ14" s="212"/>
      <c r="BIR14" s="212"/>
      <c r="BIS14" s="212"/>
      <c r="BIT14" s="212"/>
      <c r="BIU14" s="212"/>
      <c r="BIV14" s="212"/>
      <c r="BIW14" s="212"/>
      <c r="BIX14" s="212"/>
      <c r="BIY14" s="212"/>
      <c r="BIZ14" s="212"/>
      <c r="BJA14" s="212"/>
      <c r="BJB14" s="212"/>
      <c r="BJC14" s="212"/>
      <c r="BJD14" s="212"/>
      <c r="BJE14" s="212"/>
      <c r="BJF14" s="212"/>
      <c r="BJG14" s="212"/>
      <c r="BJH14" s="212"/>
      <c r="BJI14" s="212"/>
      <c r="BJJ14" s="212"/>
      <c r="BJK14" s="212"/>
      <c r="BJL14" s="212"/>
      <c r="BJM14" s="212"/>
      <c r="BJN14" s="212"/>
      <c r="BJO14" s="212"/>
      <c r="BJP14" s="212"/>
      <c r="BJQ14" s="212"/>
      <c r="BJR14" s="212"/>
      <c r="BJS14" s="212"/>
      <c r="BJT14" s="212"/>
      <c r="BJU14" s="212"/>
      <c r="BJV14" s="212"/>
      <c r="BJW14" s="212"/>
      <c r="BJX14" s="212"/>
      <c r="BJY14" s="212"/>
      <c r="BJZ14" s="212"/>
      <c r="BKA14" s="212"/>
      <c r="BKB14" s="212"/>
      <c r="BKC14" s="212"/>
      <c r="BKD14" s="212"/>
      <c r="BKE14" s="212"/>
      <c r="BKF14" s="212"/>
      <c r="BKG14" s="212"/>
      <c r="BKH14" s="212"/>
      <c r="BKI14" s="212"/>
      <c r="BKJ14" s="212"/>
      <c r="BKK14" s="212"/>
      <c r="BKL14" s="212"/>
      <c r="BKM14" s="212"/>
      <c r="BKN14" s="212"/>
      <c r="BKO14" s="212"/>
      <c r="BKP14" s="212"/>
      <c r="BKQ14" s="212"/>
      <c r="BKR14" s="212"/>
      <c r="BKS14" s="212"/>
      <c r="BKT14" s="212"/>
      <c r="BKU14" s="212"/>
      <c r="BKV14" s="212"/>
      <c r="BKW14" s="212"/>
      <c r="BKX14" s="212"/>
      <c r="BKY14" s="212"/>
      <c r="BKZ14" s="212"/>
      <c r="BLA14" s="212"/>
      <c r="BLB14" s="212"/>
      <c r="BLC14" s="212"/>
      <c r="BLD14" s="212"/>
      <c r="BLE14" s="212"/>
      <c r="BLF14" s="212"/>
      <c r="BLG14" s="212"/>
      <c r="BLH14" s="212"/>
      <c r="BLI14" s="212"/>
      <c r="BLJ14" s="212"/>
      <c r="BLK14" s="212"/>
      <c r="BLL14" s="212"/>
      <c r="BLM14" s="212"/>
      <c r="BLN14" s="212"/>
      <c r="BLO14" s="212"/>
      <c r="BLP14" s="212"/>
      <c r="BLQ14" s="212"/>
      <c r="BLR14" s="212"/>
      <c r="BLS14" s="212"/>
      <c r="BLT14" s="212"/>
      <c r="BLU14" s="212"/>
      <c r="BLV14" s="212"/>
      <c r="BLW14" s="212"/>
      <c r="BLX14" s="212"/>
      <c r="BLY14" s="212"/>
      <c r="BLZ14" s="212"/>
      <c r="BMA14" s="212"/>
      <c r="BMB14" s="212"/>
      <c r="BMC14" s="212"/>
      <c r="BMD14" s="212"/>
      <c r="BME14" s="212"/>
      <c r="BMF14" s="212"/>
      <c r="BMG14" s="212"/>
      <c r="BMH14" s="212"/>
      <c r="BMI14" s="212"/>
      <c r="BMJ14" s="212"/>
      <c r="BMK14" s="212"/>
      <c r="BML14" s="212"/>
      <c r="BMM14" s="212"/>
      <c r="BMN14" s="212"/>
      <c r="BMO14" s="212"/>
      <c r="BMP14" s="212"/>
      <c r="BMQ14" s="212"/>
      <c r="BMR14" s="212"/>
      <c r="BMS14" s="212"/>
      <c r="BMT14" s="212"/>
      <c r="BMU14" s="212"/>
      <c r="BMV14" s="212"/>
      <c r="BMW14" s="212"/>
      <c r="BMX14" s="212"/>
      <c r="BMY14" s="212"/>
      <c r="BMZ14" s="212"/>
      <c r="BNA14" s="212"/>
      <c r="BNB14" s="212"/>
      <c r="BNC14" s="212"/>
      <c r="BND14" s="212"/>
      <c r="BNE14" s="212"/>
      <c r="BNF14" s="212"/>
      <c r="BNG14" s="212"/>
      <c r="BNH14" s="212"/>
      <c r="BNI14" s="212"/>
      <c r="BNJ14" s="212"/>
      <c r="BNK14" s="212"/>
      <c r="BNL14" s="212"/>
      <c r="BNM14" s="212"/>
      <c r="BNN14" s="212"/>
      <c r="BNO14" s="212"/>
      <c r="BNP14" s="212"/>
      <c r="BNQ14" s="212"/>
      <c r="BNR14" s="212"/>
      <c r="BNS14" s="212"/>
      <c r="BNT14" s="212"/>
      <c r="BNU14" s="212"/>
      <c r="BNV14" s="212"/>
      <c r="BNW14" s="212"/>
      <c r="BNX14" s="212"/>
      <c r="BNY14" s="212"/>
      <c r="BNZ14" s="212"/>
      <c r="BOA14" s="212"/>
      <c r="BOB14" s="212"/>
      <c r="BOC14" s="212"/>
      <c r="BOD14" s="212"/>
      <c r="BOE14" s="212"/>
      <c r="BOF14" s="212"/>
      <c r="BOG14" s="212"/>
      <c r="BOH14" s="212"/>
      <c r="BOI14" s="212"/>
      <c r="BOJ14" s="212"/>
      <c r="BOK14" s="212"/>
      <c r="BOL14" s="212"/>
      <c r="BOM14" s="212"/>
      <c r="BON14" s="212"/>
      <c r="BOO14" s="212"/>
      <c r="BOP14" s="212"/>
      <c r="BOQ14" s="212"/>
      <c r="BOR14" s="212"/>
      <c r="BOS14" s="212"/>
      <c r="BOT14" s="212"/>
      <c r="BOU14" s="212"/>
      <c r="BOV14" s="212"/>
      <c r="BOW14" s="212"/>
      <c r="BOX14" s="212"/>
      <c r="BOY14" s="212"/>
      <c r="BOZ14" s="212"/>
      <c r="BPA14" s="212"/>
      <c r="BPB14" s="212"/>
      <c r="BPC14" s="212"/>
      <c r="BPD14" s="212"/>
      <c r="BPE14" s="212"/>
      <c r="BPF14" s="212"/>
      <c r="BPG14" s="212"/>
      <c r="BPH14" s="212"/>
      <c r="BPI14" s="212"/>
      <c r="BPJ14" s="212"/>
      <c r="BPK14" s="212"/>
      <c r="BPL14" s="212"/>
      <c r="BPM14" s="212"/>
      <c r="BPN14" s="212"/>
      <c r="BPO14" s="212"/>
      <c r="BPP14" s="212"/>
      <c r="BPQ14" s="212"/>
      <c r="BPR14" s="212"/>
      <c r="BPS14" s="212"/>
      <c r="BPT14" s="212"/>
      <c r="BPU14" s="212"/>
      <c r="BPV14" s="212"/>
      <c r="BPW14" s="212"/>
      <c r="BPX14" s="212"/>
      <c r="BPY14" s="212"/>
      <c r="BPZ14" s="212"/>
      <c r="BQA14" s="212"/>
      <c r="BQB14" s="212"/>
      <c r="BQC14" s="212"/>
      <c r="BQD14" s="212"/>
      <c r="BQE14" s="212"/>
      <c r="BQF14" s="212"/>
      <c r="BQG14" s="212"/>
      <c r="BQH14" s="212"/>
      <c r="BQI14" s="212"/>
      <c r="BQJ14" s="212"/>
      <c r="BQK14" s="212"/>
      <c r="BQL14" s="212"/>
      <c r="BQM14" s="212"/>
      <c r="BQN14" s="212"/>
      <c r="BQO14" s="212"/>
      <c r="BQP14" s="212"/>
      <c r="BQQ14" s="212"/>
      <c r="BQR14" s="212"/>
      <c r="BQS14" s="212"/>
      <c r="BQT14" s="212"/>
      <c r="BQU14" s="212"/>
      <c r="BQV14" s="212"/>
      <c r="BQW14" s="212"/>
      <c r="BQX14" s="212"/>
      <c r="BQY14" s="212"/>
      <c r="BQZ14" s="212"/>
      <c r="BRA14" s="212"/>
      <c r="BRB14" s="212"/>
      <c r="BRC14" s="212"/>
      <c r="BRD14" s="212"/>
      <c r="BRE14" s="212"/>
      <c r="BRF14" s="212"/>
      <c r="BRG14" s="212"/>
      <c r="BRH14" s="212"/>
      <c r="BRI14" s="212"/>
      <c r="BRJ14" s="212"/>
      <c r="BRK14" s="212"/>
      <c r="BRL14" s="212"/>
      <c r="BRM14" s="212"/>
      <c r="BRN14" s="212"/>
      <c r="BRO14" s="212"/>
      <c r="BRP14" s="212"/>
      <c r="BRQ14" s="212"/>
      <c r="BRR14" s="212"/>
      <c r="BRS14" s="212"/>
      <c r="BRT14" s="212"/>
      <c r="BRU14" s="212"/>
      <c r="BRV14" s="212"/>
      <c r="BRW14" s="212"/>
      <c r="BRX14" s="212"/>
      <c r="BRY14" s="212"/>
      <c r="BRZ14" s="212"/>
      <c r="BSA14" s="212"/>
      <c r="BSB14" s="212"/>
      <c r="BSC14" s="212"/>
      <c r="BSD14" s="212"/>
      <c r="BSE14" s="212"/>
      <c r="BSF14" s="212"/>
      <c r="BSG14" s="212"/>
      <c r="BSH14" s="212"/>
      <c r="BSI14" s="212"/>
      <c r="BSJ14" s="212"/>
      <c r="BSK14" s="212"/>
      <c r="BSL14" s="212"/>
      <c r="BSM14" s="212"/>
      <c r="BSN14" s="212"/>
      <c r="BSO14" s="212"/>
      <c r="BSP14" s="212"/>
      <c r="BSQ14" s="212"/>
      <c r="BSR14" s="212"/>
      <c r="BSS14" s="212"/>
      <c r="BST14" s="212"/>
      <c r="BSU14" s="212"/>
      <c r="BSV14" s="212"/>
      <c r="BSW14" s="212"/>
      <c r="BSX14" s="212"/>
      <c r="BSY14" s="212"/>
      <c r="BSZ14" s="212"/>
      <c r="BTA14" s="212"/>
      <c r="BTB14" s="212"/>
      <c r="BTC14" s="212"/>
      <c r="BTD14" s="212"/>
      <c r="BTE14" s="212"/>
      <c r="BTF14" s="212"/>
      <c r="BTG14" s="212"/>
      <c r="BTH14" s="212"/>
      <c r="BTI14" s="212"/>
      <c r="BTJ14" s="212"/>
      <c r="BTK14" s="212"/>
      <c r="BTL14" s="212"/>
      <c r="BTM14" s="212"/>
      <c r="BTN14" s="212"/>
      <c r="BTO14" s="212"/>
      <c r="BTP14" s="212"/>
      <c r="BTQ14" s="212"/>
      <c r="BTR14" s="212"/>
      <c r="BTS14" s="212"/>
      <c r="BTT14" s="212"/>
      <c r="BTU14" s="212"/>
      <c r="BTV14" s="212"/>
      <c r="BTW14" s="212"/>
      <c r="BTX14" s="212"/>
      <c r="BTY14" s="212"/>
      <c r="BTZ14" s="212"/>
      <c r="BUA14" s="212"/>
      <c r="BUB14" s="212"/>
      <c r="BUC14" s="212"/>
      <c r="BUD14" s="212"/>
      <c r="BUE14" s="212"/>
      <c r="BUF14" s="212"/>
      <c r="BUG14" s="212"/>
      <c r="BUH14" s="212"/>
      <c r="BUI14" s="212"/>
      <c r="BUJ14" s="212"/>
      <c r="BUK14" s="212"/>
      <c r="BUL14" s="212"/>
      <c r="BUM14" s="212"/>
      <c r="BUN14" s="212"/>
      <c r="BUO14" s="212"/>
      <c r="BUP14" s="212"/>
      <c r="BUQ14" s="212"/>
      <c r="BUR14" s="212"/>
      <c r="BUS14" s="212"/>
      <c r="BUT14" s="212"/>
      <c r="BUU14" s="212"/>
      <c r="BUV14" s="212"/>
      <c r="BUW14" s="212"/>
      <c r="BUX14" s="212"/>
      <c r="BUY14" s="212"/>
      <c r="BUZ14" s="212"/>
      <c r="BVA14" s="212"/>
      <c r="BVB14" s="212"/>
      <c r="BVC14" s="212"/>
      <c r="BVD14" s="212"/>
      <c r="BVE14" s="212"/>
      <c r="BVF14" s="212"/>
      <c r="BVG14" s="212"/>
      <c r="BVH14" s="212"/>
      <c r="BVI14" s="212"/>
      <c r="BVJ14" s="212"/>
      <c r="BVK14" s="212"/>
      <c r="BVL14" s="212"/>
      <c r="BVM14" s="212"/>
      <c r="BVN14" s="212"/>
      <c r="BVO14" s="212"/>
      <c r="BVP14" s="212"/>
      <c r="BVQ14" s="212"/>
      <c r="BVR14" s="212"/>
      <c r="BVS14" s="212"/>
      <c r="BVT14" s="212"/>
      <c r="BVU14" s="212"/>
      <c r="BVV14" s="212"/>
      <c r="BVW14" s="212"/>
      <c r="BVX14" s="212"/>
      <c r="BVY14" s="212"/>
      <c r="BVZ14" s="212"/>
      <c r="BWA14" s="212"/>
      <c r="BWB14" s="212"/>
      <c r="BWC14" s="212"/>
      <c r="BWD14" s="212"/>
      <c r="BWE14" s="212"/>
      <c r="BWF14" s="212"/>
      <c r="BWG14" s="212"/>
      <c r="BWH14" s="212"/>
      <c r="BWI14" s="212"/>
      <c r="BWJ14" s="212"/>
      <c r="BWK14" s="212"/>
      <c r="BWL14" s="212"/>
      <c r="BWM14" s="212"/>
      <c r="BWN14" s="212"/>
      <c r="BWO14" s="212"/>
      <c r="BWP14" s="212"/>
      <c r="BWQ14" s="212"/>
      <c r="BWR14" s="212"/>
      <c r="BWS14" s="212"/>
      <c r="BWT14" s="212"/>
      <c r="BWU14" s="212"/>
      <c r="BWV14" s="212"/>
      <c r="BWW14" s="212"/>
      <c r="BWX14" s="212"/>
      <c r="BWY14" s="212"/>
      <c r="BWZ14" s="212"/>
      <c r="BXA14" s="212"/>
      <c r="BXB14" s="212"/>
      <c r="BXC14" s="212"/>
      <c r="BXD14" s="212"/>
      <c r="BXE14" s="212"/>
      <c r="BXF14" s="212"/>
      <c r="BXG14" s="212"/>
      <c r="BXH14" s="212"/>
      <c r="BXI14" s="212"/>
      <c r="BXJ14" s="212"/>
      <c r="BXK14" s="212"/>
      <c r="BXL14" s="212"/>
      <c r="BXM14" s="212"/>
      <c r="BXN14" s="212"/>
      <c r="BXO14" s="212"/>
      <c r="BXP14" s="212"/>
      <c r="BXQ14" s="212"/>
      <c r="BXR14" s="212"/>
      <c r="BXS14" s="212"/>
      <c r="BXT14" s="212"/>
      <c r="BXU14" s="212"/>
      <c r="BXV14" s="212"/>
      <c r="BXW14" s="212"/>
      <c r="BXX14" s="212"/>
      <c r="BXY14" s="212"/>
      <c r="BXZ14" s="212"/>
      <c r="BYA14" s="212"/>
      <c r="BYB14" s="212"/>
      <c r="BYC14" s="212"/>
      <c r="BYD14" s="212"/>
      <c r="BYE14" s="212"/>
      <c r="BYF14" s="212"/>
      <c r="BYG14" s="212"/>
    </row>
    <row r="15" spans="1:2009" s="101" customFormat="1" ht="12.75" customHeight="1" thickBot="1" x14ac:dyDescent="0.3">
      <c r="A15" s="98"/>
      <c r="B15" s="98"/>
      <c r="C15" s="174"/>
      <c r="D15" s="174"/>
      <c r="E15" s="174"/>
      <c r="F15" s="174"/>
      <c r="G15" s="174"/>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customHeight="1" x14ac:dyDescent="0.25">
      <c r="A16" s="134" t="s">
        <v>78</v>
      </c>
      <c r="B16" s="135"/>
      <c r="C16" s="176"/>
      <c r="D16" s="176"/>
      <c r="E16" s="177"/>
      <c r="F16" s="177"/>
      <c r="G16" s="178"/>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customHeight="1" x14ac:dyDescent="0.25">
      <c r="A17" s="136"/>
      <c r="B17" s="105" t="s">
        <v>233</v>
      </c>
      <c r="C17" s="179">
        <v>2024.41</v>
      </c>
      <c r="D17" s="179"/>
      <c r="E17" s="180"/>
      <c r="F17" s="180"/>
      <c r="G17" s="181">
        <f t="shared" ref="G17:G22" si="0">ROUND(SUM(C17:F17),5)</f>
        <v>2024.41</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256</v>
      </c>
      <c r="C18" s="179"/>
      <c r="D18" s="179"/>
      <c r="E18" s="180"/>
      <c r="F18" s="180"/>
      <c r="G18" s="181">
        <f t="shared" si="0"/>
        <v>0</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customHeight="1" x14ac:dyDescent="0.25">
      <c r="A19" s="136"/>
      <c r="B19" s="105" t="s">
        <v>360</v>
      </c>
      <c r="C19" s="179">
        <v>5440.1</v>
      </c>
      <c r="D19" s="179">
        <v>7603.67</v>
      </c>
      <c r="E19" s="180"/>
      <c r="F19" s="180"/>
      <c r="G19" s="181">
        <f t="shared" si="0"/>
        <v>13043.77</v>
      </c>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257</v>
      </c>
      <c r="C20" s="179"/>
      <c r="D20" s="179"/>
      <c r="E20" s="180"/>
      <c r="F20" s="180"/>
      <c r="G20" s="181">
        <f t="shared" si="0"/>
        <v>0</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customHeight="1" x14ac:dyDescent="0.25">
      <c r="A21" s="136"/>
      <c r="B21" s="105" t="s">
        <v>361</v>
      </c>
      <c r="C21" s="179">
        <v>1065.0899999999999</v>
      </c>
      <c r="D21" s="179">
        <v>1793.22</v>
      </c>
      <c r="E21" s="180"/>
      <c r="F21" s="180"/>
      <c r="G21" s="181">
        <f t="shared" si="0"/>
        <v>2858.31</v>
      </c>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customHeight="1" x14ac:dyDescent="0.25">
      <c r="A22" s="137"/>
      <c r="B22" s="126" t="s">
        <v>406</v>
      </c>
      <c r="C22" s="179">
        <v>388.76</v>
      </c>
      <c r="D22" s="179">
        <v>682.96</v>
      </c>
      <c r="E22" s="180"/>
      <c r="F22" s="180"/>
      <c r="G22" s="181">
        <f t="shared" si="0"/>
        <v>1071.72</v>
      </c>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25" customFormat="1" ht="24.95" customHeight="1" thickBot="1" x14ac:dyDescent="0.3">
      <c r="A23" s="219"/>
      <c r="B23" s="220" t="s">
        <v>79</v>
      </c>
      <c r="C23" s="221">
        <f>SUM(C17:C22)</f>
        <v>8918.36</v>
      </c>
      <c r="D23" s="221">
        <f>SUM(D17:D22)</f>
        <v>10079.849999999999</v>
      </c>
      <c r="E23" s="221"/>
      <c r="F23" s="221"/>
      <c r="G23" s="222">
        <f>SUM(G17:G22)</f>
        <v>18998.210000000003</v>
      </c>
      <c r="H23" s="223"/>
      <c r="I23" s="223"/>
      <c r="J23" s="223"/>
      <c r="K23" s="476"/>
      <c r="L23"/>
      <c r="M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c r="IN23" s="224"/>
      <c r="IO23" s="224"/>
      <c r="IP23" s="224"/>
      <c r="IQ23" s="224"/>
      <c r="IR23" s="224"/>
      <c r="IS23" s="224"/>
      <c r="IT23" s="224"/>
      <c r="IU23" s="224"/>
      <c r="IV23" s="224"/>
      <c r="IW23" s="224"/>
      <c r="IX23" s="224"/>
      <c r="IY23" s="224"/>
      <c r="IZ23" s="224"/>
      <c r="JA23" s="224"/>
      <c r="JB23" s="224"/>
      <c r="JC23" s="224"/>
      <c r="JD23" s="224"/>
      <c r="JE23" s="224"/>
      <c r="JF23" s="224"/>
      <c r="JG23" s="224"/>
      <c r="JH23" s="224"/>
      <c r="JI23" s="224"/>
      <c r="JJ23" s="224"/>
      <c r="JK23" s="224"/>
      <c r="JL23" s="224"/>
      <c r="JM23" s="224"/>
      <c r="JN23" s="224"/>
      <c r="JO23" s="224"/>
      <c r="JP23" s="224"/>
      <c r="JQ23" s="224"/>
      <c r="JR23" s="224"/>
      <c r="JS23" s="224"/>
      <c r="JT23" s="224"/>
      <c r="JU23" s="224"/>
      <c r="JV23" s="224"/>
      <c r="JW23" s="224"/>
      <c r="JX23" s="224"/>
      <c r="JY23" s="224"/>
      <c r="JZ23" s="224"/>
      <c r="KA23" s="224"/>
      <c r="KB23" s="224"/>
      <c r="KC23" s="224"/>
      <c r="KD23" s="224"/>
      <c r="KE23" s="224"/>
      <c r="KF23" s="224"/>
      <c r="KG23" s="224"/>
      <c r="KH23" s="224"/>
      <c r="KI23" s="224"/>
      <c r="KJ23" s="224"/>
      <c r="KK23" s="224"/>
      <c r="KL23" s="224"/>
      <c r="KM23" s="224"/>
      <c r="KN23" s="224"/>
      <c r="KO23" s="224"/>
      <c r="KP23" s="224"/>
      <c r="KQ23" s="224"/>
      <c r="KR23" s="224"/>
      <c r="KS23" s="224"/>
      <c r="KT23" s="224"/>
      <c r="KU23" s="224"/>
      <c r="KV23" s="224"/>
      <c r="KW23" s="224"/>
      <c r="KX23" s="224"/>
      <c r="KY23" s="224"/>
      <c r="KZ23" s="224"/>
      <c r="LA23" s="224"/>
      <c r="LB23" s="224"/>
      <c r="LC23" s="224"/>
      <c r="LD23" s="224"/>
      <c r="LE23" s="224"/>
      <c r="LF23" s="224"/>
      <c r="LG23" s="224"/>
      <c r="LH23" s="224"/>
      <c r="LI23" s="224"/>
      <c r="LJ23" s="224"/>
      <c r="LK23" s="224"/>
      <c r="LL23" s="224"/>
      <c r="LM23" s="224"/>
      <c r="LN23" s="224"/>
      <c r="LO23" s="224"/>
      <c r="LP23" s="224"/>
      <c r="LQ23" s="224"/>
      <c r="LR23" s="224"/>
      <c r="LS23" s="224"/>
      <c r="LT23" s="224"/>
      <c r="LU23" s="224"/>
      <c r="LV23" s="224"/>
      <c r="LW23" s="224"/>
      <c r="LX23" s="224"/>
      <c r="LY23" s="224"/>
      <c r="LZ23" s="224"/>
      <c r="MA23" s="224"/>
      <c r="MB23" s="224"/>
      <c r="MC23" s="224"/>
      <c r="MD23" s="224"/>
      <c r="ME23" s="224"/>
      <c r="MF23" s="224"/>
      <c r="MG23" s="224"/>
      <c r="MH23" s="224"/>
      <c r="MI23" s="224"/>
      <c r="MJ23" s="224"/>
      <c r="MK23" s="224"/>
      <c r="ML23" s="224"/>
      <c r="MM23" s="224"/>
      <c r="MN23" s="224"/>
      <c r="MO23" s="224"/>
      <c r="MP23" s="224"/>
      <c r="MQ23" s="224"/>
      <c r="MR23" s="224"/>
      <c r="MS23" s="224"/>
      <c r="MT23" s="224"/>
      <c r="MU23" s="224"/>
      <c r="MV23" s="224"/>
      <c r="MW23" s="224"/>
      <c r="MX23" s="224"/>
      <c r="MY23" s="224"/>
      <c r="MZ23" s="224"/>
      <c r="NA23" s="224"/>
      <c r="NB23" s="224"/>
      <c r="NC23" s="224"/>
      <c r="ND23" s="224"/>
      <c r="NE23" s="224"/>
      <c r="NF23" s="224"/>
      <c r="NG23" s="224"/>
      <c r="NH23" s="224"/>
      <c r="NI23" s="224"/>
      <c r="NJ23" s="224"/>
      <c r="NK23" s="224"/>
      <c r="NL23" s="224"/>
      <c r="NM23" s="224"/>
      <c r="NN23" s="224"/>
      <c r="NO23" s="224"/>
      <c r="NP23" s="224"/>
      <c r="NQ23" s="224"/>
      <c r="NR23" s="224"/>
      <c r="NS23" s="224"/>
      <c r="NT23" s="224"/>
      <c r="NU23" s="224"/>
      <c r="NV23" s="224"/>
      <c r="NW23" s="224"/>
      <c r="NX23" s="224"/>
      <c r="NY23" s="224"/>
      <c r="NZ23" s="224"/>
      <c r="OA23" s="224"/>
      <c r="OB23" s="224"/>
      <c r="OC23" s="224"/>
      <c r="OD23" s="224"/>
      <c r="OE23" s="224"/>
      <c r="OF23" s="224"/>
      <c r="OG23" s="224"/>
      <c r="OH23" s="224"/>
      <c r="OI23" s="224"/>
      <c r="OJ23" s="224"/>
      <c r="OK23" s="224"/>
      <c r="OL23" s="224"/>
      <c r="OM23" s="224"/>
      <c r="ON23" s="224"/>
      <c r="OO23" s="224"/>
      <c r="OP23" s="224"/>
      <c r="OQ23" s="224"/>
      <c r="OR23" s="224"/>
      <c r="OS23" s="224"/>
      <c r="OT23" s="224"/>
      <c r="OU23" s="224"/>
      <c r="OV23" s="224"/>
      <c r="OW23" s="224"/>
      <c r="OX23" s="224"/>
      <c r="OY23" s="224"/>
      <c r="OZ23" s="224"/>
      <c r="PA23" s="224"/>
      <c r="PB23" s="224"/>
      <c r="PC23" s="224"/>
      <c r="PD23" s="224"/>
      <c r="PE23" s="224"/>
      <c r="PF23" s="224"/>
      <c r="PG23" s="224"/>
      <c r="PH23" s="224"/>
      <c r="PI23" s="224"/>
      <c r="PJ23" s="224"/>
      <c r="PK23" s="224"/>
      <c r="PL23" s="224"/>
      <c r="PM23" s="224"/>
      <c r="PN23" s="224"/>
      <c r="PO23" s="224"/>
      <c r="PP23" s="224"/>
      <c r="PQ23" s="224"/>
      <c r="PR23" s="224"/>
      <c r="PS23" s="224"/>
      <c r="PT23" s="224"/>
      <c r="PU23" s="224"/>
      <c r="PV23" s="224"/>
      <c r="PW23" s="224"/>
      <c r="PX23" s="224"/>
      <c r="PY23" s="224"/>
      <c r="PZ23" s="224"/>
      <c r="QA23" s="224"/>
      <c r="QB23" s="224"/>
      <c r="QC23" s="224"/>
      <c r="QD23" s="224"/>
      <c r="QE23" s="224"/>
      <c r="QF23" s="224"/>
      <c r="QG23" s="224"/>
      <c r="QH23" s="224"/>
      <c r="QI23" s="224"/>
      <c r="QJ23" s="224"/>
      <c r="QK23" s="224"/>
      <c r="QL23" s="224"/>
      <c r="QM23" s="224"/>
      <c r="QN23" s="224"/>
      <c r="QO23" s="224"/>
      <c r="QP23" s="224"/>
      <c r="QQ23" s="224"/>
      <c r="QR23" s="224"/>
      <c r="QS23" s="224"/>
      <c r="QT23" s="224"/>
      <c r="QU23" s="224"/>
      <c r="QV23" s="224"/>
      <c r="QW23" s="224"/>
      <c r="QX23" s="224"/>
      <c r="QY23" s="224"/>
      <c r="QZ23" s="224"/>
      <c r="RA23" s="224"/>
      <c r="RB23" s="224"/>
      <c r="RC23" s="224"/>
      <c r="RD23" s="224"/>
      <c r="RE23" s="224"/>
      <c r="RF23" s="224"/>
      <c r="RG23" s="224"/>
      <c r="RH23" s="224"/>
      <c r="RI23" s="224"/>
      <c r="RJ23" s="224"/>
      <c r="RK23" s="224"/>
      <c r="RL23" s="224"/>
      <c r="RM23" s="224"/>
      <c r="RN23" s="224"/>
      <c r="RO23" s="224"/>
      <c r="RP23" s="224"/>
      <c r="RQ23" s="224"/>
      <c r="RR23" s="224"/>
      <c r="RS23" s="224"/>
      <c r="RT23" s="224"/>
      <c r="RU23" s="224"/>
      <c r="RV23" s="224"/>
      <c r="RW23" s="224"/>
      <c r="RX23" s="224"/>
      <c r="RY23" s="224"/>
      <c r="RZ23" s="224"/>
      <c r="SA23" s="224"/>
      <c r="SB23" s="224"/>
      <c r="SC23" s="224"/>
      <c r="SD23" s="224"/>
      <c r="SE23" s="224"/>
      <c r="SF23" s="224"/>
      <c r="SG23" s="224"/>
      <c r="SH23" s="224"/>
      <c r="SI23" s="224"/>
      <c r="SJ23" s="224"/>
      <c r="SK23" s="224"/>
      <c r="SL23" s="224"/>
      <c r="SM23" s="224"/>
      <c r="SN23" s="224"/>
      <c r="SO23" s="224"/>
      <c r="SP23" s="224"/>
      <c r="SQ23" s="224"/>
      <c r="SR23" s="224"/>
      <c r="SS23" s="224"/>
      <c r="ST23" s="224"/>
      <c r="SU23" s="224"/>
      <c r="SV23" s="224"/>
      <c r="SW23" s="224"/>
      <c r="SX23" s="224"/>
      <c r="SY23" s="224"/>
      <c r="SZ23" s="224"/>
      <c r="TA23" s="224"/>
      <c r="TB23" s="224"/>
      <c r="TC23" s="224"/>
      <c r="TD23" s="224"/>
      <c r="TE23" s="224"/>
      <c r="TF23" s="224"/>
      <c r="TG23" s="224"/>
      <c r="TH23" s="224"/>
      <c r="TI23" s="224"/>
      <c r="TJ23" s="224"/>
      <c r="TK23" s="224"/>
      <c r="TL23" s="224"/>
      <c r="TM23" s="224"/>
      <c r="TN23" s="224"/>
      <c r="TO23" s="224"/>
      <c r="TP23" s="224"/>
      <c r="TQ23" s="224"/>
      <c r="TR23" s="224"/>
      <c r="TS23" s="224"/>
      <c r="TT23" s="224"/>
      <c r="TU23" s="224"/>
      <c r="TV23" s="224"/>
      <c r="TW23" s="224"/>
      <c r="TX23" s="224"/>
      <c r="TY23" s="224"/>
      <c r="TZ23" s="224"/>
      <c r="UA23" s="224"/>
      <c r="UB23" s="224"/>
      <c r="UC23" s="224"/>
      <c r="UD23" s="224"/>
      <c r="UE23" s="224"/>
      <c r="UF23" s="224"/>
      <c r="UG23" s="224"/>
      <c r="UH23" s="224"/>
      <c r="UI23" s="224"/>
      <c r="UJ23" s="224"/>
      <c r="UK23" s="224"/>
      <c r="UL23" s="224"/>
      <c r="UM23" s="224"/>
      <c r="UN23" s="224"/>
      <c r="UO23" s="224"/>
      <c r="UP23" s="224"/>
      <c r="UQ23" s="224"/>
      <c r="UR23" s="224"/>
      <c r="US23" s="224"/>
      <c r="UT23" s="224"/>
      <c r="UU23" s="224"/>
      <c r="UV23" s="224"/>
      <c r="UW23" s="224"/>
      <c r="UX23" s="224"/>
      <c r="UY23" s="224"/>
      <c r="UZ23" s="224"/>
      <c r="VA23" s="224"/>
      <c r="VB23" s="224"/>
      <c r="VC23" s="224"/>
      <c r="VD23" s="224"/>
      <c r="VE23" s="224"/>
      <c r="VF23" s="224"/>
      <c r="VG23" s="224"/>
      <c r="VH23" s="224"/>
      <c r="VI23" s="224"/>
      <c r="VJ23" s="224"/>
      <c r="VK23" s="224"/>
      <c r="VL23" s="224"/>
      <c r="VM23" s="224"/>
      <c r="VN23" s="224"/>
      <c r="VO23" s="224"/>
      <c r="VP23" s="224"/>
      <c r="VQ23" s="224"/>
      <c r="VR23" s="224"/>
      <c r="VS23" s="224"/>
      <c r="VT23" s="224"/>
      <c r="VU23" s="224"/>
      <c r="VV23" s="224"/>
      <c r="VW23" s="224"/>
      <c r="VX23" s="224"/>
      <c r="VY23" s="224"/>
      <c r="VZ23" s="224"/>
      <c r="WA23" s="224"/>
      <c r="WB23" s="224"/>
      <c r="WC23" s="224"/>
      <c r="WD23" s="224"/>
      <c r="WE23" s="224"/>
      <c r="WF23" s="224"/>
      <c r="WG23" s="224"/>
      <c r="WH23" s="224"/>
      <c r="WI23" s="224"/>
      <c r="WJ23" s="224"/>
      <c r="WK23" s="224"/>
      <c r="WL23" s="224"/>
      <c r="WM23" s="224"/>
      <c r="WN23" s="224"/>
      <c r="WO23" s="224"/>
      <c r="WP23" s="224"/>
      <c r="WQ23" s="224"/>
      <c r="WR23" s="224"/>
      <c r="WS23" s="224"/>
      <c r="WT23" s="224"/>
      <c r="WU23" s="224"/>
      <c r="WV23" s="224"/>
      <c r="WW23" s="224"/>
      <c r="WX23" s="224"/>
      <c r="WY23" s="224"/>
      <c r="WZ23" s="224"/>
      <c r="XA23" s="224"/>
      <c r="XB23" s="224"/>
      <c r="XC23" s="224"/>
      <c r="XD23" s="224"/>
      <c r="XE23" s="224"/>
      <c r="XF23" s="224"/>
      <c r="XG23" s="224"/>
      <c r="XH23" s="224"/>
      <c r="XI23" s="224"/>
      <c r="XJ23" s="224"/>
      <c r="XK23" s="224"/>
      <c r="XL23" s="224"/>
      <c r="XM23" s="224"/>
      <c r="XN23" s="224"/>
      <c r="XO23" s="224"/>
      <c r="XP23" s="224"/>
      <c r="XQ23" s="224"/>
      <c r="XR23" s="224"/>
      <c r="XS23" s="224"/>
      <c r="XT23" s="224"/>
      <c r="XU23" s="224"/>
      <c r="XV23" s="224"/>
      <c r="XW23" s="224"/>
      <c r="XX23" s="224"/>
      <c r="XY23" s="224"/>
      <c r="XZ23" s="224"/>
      <c r="YA23" s="224"/>
      <c r="YB23" s="224"/>
      <c r="YC23" s="224"/>
      <c r="YD23" s="224"/>
      <c r="YE23" s="224"/>
      <c r="YF23" s="224"/>
      <c r="YG23" s="224"/>
      <c r="YH23" s="224"/>
      <c r="YI23" s="224"/>
      <c r="YJ23" s="224"/>
      <c r="YK23" s="224"/>
      <c r="YL23" s="224"/>
      <c r="YM23" s="224"/>
      <c r="YN23" s="224"/>
      <c r="YO23" s="224"/>
      <c r="YP23" s="224"/>
      <c r="YQ23" s="224"/>
      <c r="YR23" s="224"/>
      <c r="YS23" s="224"/>
      <c r="YT23" s="224"/>
      <c r="YU23" s="224"/>
      <c r="YV23" s="224"/>
      <c r="YW23" s="224"/>
      <c r="YX23" s="224"/>
      <c r="YY23" s="224"/>
      <c r="YZ23" s="224"/>
      <c r="ZA23" s="224"/>
      <c r="ZB23" s="224"/>
      <c r="ZC23" s="224"/>
      <c r="ZD23" s="224"/>
      <c r="ZE23" s="224"/>
      <c r="ZF23" s="224"/>
      <c r="ZG23" s="224"/>
      <c r="ZH23" s="224"/>
      <c r="ZI23" s="224"/>
      <c r="ZJ23" s="224"/>
      <c r="ZK23" s="224"/>
      <c r="ZL23" s="224"/>
      <c r="ZM23" s="224"/>
      <c r="ZN23" s="224"/>
      <c r="ZO23" s="224"/>
      <c r="ZP23" s="224"/>
      <c r="ZQ23" s="224"/>
      <c r="ZR23" s="224"/>
      <c r="ZS23" s="224"/>
      <c r="ZT23" s="224"/>
      <c r="ZU23" s="224"/>
      <c r="ZV23" s="224"/>
      <c r="ZW23" s="224"/>
      <c r="ZX23" s="224"/>
      <c r="ZY23" s="224"/>
      <c r="ZZ23" s="224"/>
      <c r="AAA23" s="224"/>
      <c r="AAB23" s="224"/>
      <c r="AAC23" s="224"/>
      <c r="AAD23" s="224"/>
      <c r="AAE23" s="224"/>
      <c r="AAF23" s="224"/>
      <c r="AAG23" s="224"/>
      <c r="AAH23" s="224"/>
      <c r="AAI23" s="224"/>
      <c r="AAJ23" s="224"/>
      <c r="AAK23" s="224"/>
      <c r="AAL23" s="224"/>
      <c r="AAM23" s="224"/>
      <c r="AAN23" s="224"/>
      <c r="AAO23" s="224"/>
      <c r="AAP23" s="224"/>
      <c r="AAQ23" s="224"/>
      <c r="AAR23" s="224"/>
      <c r="AAS23" s="224"/>
      <c r="AAT23" s="224"/>
      <c r="AAU23" s="224"/>
      <c r="AAV23" s="224"/>
      <c r="AAW23" s="224"/>
      <c r="AAX23" s="224"/>
      <c r="AAY23" s="224"/>
      <c r="AAZ23" s="224"/>
      <c r="ABA23" s="224"/>
      <c r="ABB23" s="224"/>
      <c r="ABC23" s="224"/>
      <c r="ABD23" s="224"/>
      <c r="ABE23" s="224"/>
      <c r="ABF23" s="224"/>
      <c r="ABG23" s="224"/>
      <c r="ABH23" s="224"/>
      <c r="ABI23" s="224"/>
      <c r="ABJ23" s="224"/>
      <c r="ABK23" s="224"/>
      <c r="ABL23" s="224"/>
      <c r="ABM23" s="224"/>
      <c r="ABN23" s="224"/>
      <c r="ABO23" s="224"/>
      <c r="ABP23" s="224"/>
      <c r="ABQ23" s="224"/>
      <c r="ABR23" s="224"/>
      <c r="ABS23" s="224"/>
      <c r="ABT23" s="224"/>
      <c r="ABU23" s="224"/>
      <c r="ABV23" s="224"/>
      <c r="ABW23" s="224"/>
      <c r="ABX23" s="224"/>
      <c r="ABY23" s="224"/>
      <c r="ABZ23" s="224"/>
      <c r="ACA23" s="224"/>
      <c r="ACB23" s="224"/>
      <c r="ACC23" s="224"/>
      <c r="ACD23" s="224"/>
      <c r="ACE23" s="224"/>
      <c r="ACF23" s="224"/>
      <c r="ACG23" s="224"/>
      <c r="ACH23" s="224"/>
      <c r="ACI23" s="224"/>
      <c r="ACJ23" s="224"/>
      <c r="ACK23" s="224"/>
      <c r="ACL23" s="224"/>
      <c r="ACM23" s="224"/>
      <c r="ACN23" s="224"/>
      <c r="ACO23" s="224"/>
      <c r="ACP23" s="224"/>
      <c r="ACQ23" s="224"/>
      <c r="ACR23" s="224"/>
      <c r="ACS23" s="224"/>
      <c r="ACT23" s="224"/>
      <c r="ACU23" s="224"/>
      <c r="ACV23" s="224"/>
      <c r="ACW23" s="224"/>
      <c r="ACX23" s="224"/>
      <c r="ACY23" s="224"/>
      <c r="ACZ23" s="224"/>
      <c r="ADA23" s="224"/>
      <c r="ADB23" s="224"/>
      <c r="ADC23" s="224"/>
      <c r="ADD23" s="224"/>
      <c r="ADE23" s="224"/>
      <c r="ADF23" s="224"/>
      <c r="ADG23" s="224"/>
      <c r="ADH23" s="224"/>
      <c r="ADI23" s="224"/>
      <c r="ADJ23" s="224"/>
      <c r="ADK23" s="224"/>
      <c r="ADL23" s="224"/>
      <c r="ADM23" s="224"/>
      <c r="ADN23" s="224"/>
      <c r="ADO23" s="224"/>
      <c r="ADP23" s="224"/>
      <c r="ADQ23" s="224"/>
      <c r="ADR23" s="224"/>
      <c r="ADS23" s="224"/>
      <c r="ADT23" s="224"/>
      <c r="ADU23" s="224"/>
      <c r="ADV23" s="224"/>
      <c r="ADW23" s="224"/>
      <c r="ADX23" s="224"/>
      <c r="ADY23" s="224"/>
      <c r="ADZ23" s="224"/>
      <c r="AEA23" s="224"/>
      <c r="AEB23" s="224"/>
      <c r="AEC23" s="224"/>
      <c r="AED23" s="224"/>
      <c r="AEE23" s="224"/>
      <c r="AEF23" s="224"/>
      <c r="AEG23" s="224"/>
      <c r="AEH23" s="224"/>
      <c r="AEI23" s="224"/>
      <c r="AEJ23" s="224"/>
      <c r="AEK23" s="224"/>
      <c r="AEL23" s="224"/>
      <c r="AEM23" s="224"/>
      <c r="AEN23" s="224"/>
      <c r="AEO23" s="224"/>
      <c r="AEP23" s="224"/>
      <c r="AEQ23" s="224"/>
      <c r="AER23" s="224"/>
      <c r="AES23" s="224"/>
      <c r="AET23" s="224"/>
      <c r="AEU23" s="224"/>
      <c r="AEV23" s="224"/>
      <c r="AEW23" s="224"/>
      <c r="AEX23" s="224"/>
      <c r="AEY23" s="224"/>
      <c r="AEZ23" s="224"/>
      <c r="AFA23" s="224"/>
      <c r="AFB23" s="224"/>
      <c r="AFC23" s="224"/>
      <c r="AFD23" s="224"/>
      <c r="AFE23" s="224"/>
      <c r="AFF23" s="224"/>
      <c r="AFG23" s="224"/>
      <c r="AFH23" s="224"/>
      <c r="AFI23" s="224"/>
      <c r="AFJ23" s="224"/>
      <c r="AFK23" s="224"/>
      <c r="AFL23" s="224"/>
      <c r="AFM23" s="224"/>
      <c r="AFN23" s="224"/>
      <c r="AFO23" s="224"/>
      <c r="AFP23" s="224"/>
      <c r="AFQ23" s="224"/>
      <c r="AFR23" s="224"/>
      <c r="AFS23" s="224"/>
      <c r="AFT23" s="224"/>
      <c r="AFU23" s="224"/>
      <c r="AFV23" s="224"/>
      <c r="AFW23" s="224"/>
      <c r="AFX23" s="224"/>
      <c r="AFY23" s="224"/>
      <c r="AFZ23" s="224"/>
      <c r="AGA23" s="224"/>
      <c r="AGB23" s="224"/>
      <c r="AGC23" s="224"/>
      <c r="AGD23" s="224"/>
      <c r="AGE23" s="224"/>
      <c r="AGF23" s="224"/>
      <c r="AGG23" s="224"/>
      <c r="AGH23" s="224"/>
      <c r="AGI23" s="224"/>
      <c r="AGJ23" s="224"/>
      <c r="AGK23" s="224"/>
      <c r="AGL23" s="224"/>
      <c r="AGM23" s="224"/>
      <c r="AGN23" s="224"/>
      <c r="AGO23" s="224"/>
      <c r="AGP23" s="224"/>
      <c r="AGQ23" s="224"/>
      <c r="AGR23" s="224"/>
      <c r="AGS23" s="224"/>
      <c r="AGT23" s="224"/>
      <c r="AGU23" s="224"/>
      <c r="AGV23" s="224"/>
      <c r="AGW23" s="224"/>
      <c r="AGX23" s="224"/>
      <c r="AGY23" s="224"/>
      <c r="AGZ23" s="224"/>
      <c r="AHA23" s="224"/>
      <c r="AHB23" s="224"/>
      <c r="AHC23" s="224"/>
      <c r="AHD23" s="224"/>
      <c r="AHE23" s="224"/>
      <c r="AHF23" s="224"/>
      <c r="AHG23" s="224"/>
      <c r="AHH23" s="224"/>
      <c r="AHI23" s="224"/>
      <c r="AHJ23" s="224"/>
      <c r="AHK23" s="224"/>
      <c r="AHL23" s="224"/>
      <c r="AHM23" s="224"/>
      <c r="AHN23" s="224"/>
      <c r="AHO23" s="224"/>
      <c r="AHP23" s="224"/>
      <c r="AHQ23" s="224"/>
      <c r="AHR23" s="224"/>
      <c r="AHS23" s="224"/>
      <c r="AHT23" s="224"/>
      <c r="AHU23" s="224"/>
      <c r="AHV23" s="224"/>
      <c r="AHW23" s="224"/>
      <c r="AHX23" s="224"/>
      <c r="AHY23" s="224"/>
      <c r="AHZ23" s="224"/>
      <c r="AIA23" s="224"/>
      <c r="AIB23" s="224"/>
      <c r="AIC23" s="224"/>
      <c r="AID23" s="224"/>
      <c r="AIE23" s="224"/>
      <c r="AIF23" s="224"/>
      <c r="AIG23" s="224"/>
      <c r="AIH23" s="224"/>
      <c r="AII23" s="224"/>
      <c r="AIJ23" s="224"/>
      <c r="AIK23" s="224"/>
      <c r="AIL23" s="224"/>
      <c r="AIM23" s="224"/>
      <c r="AIN23" s="224"/>
      <c r="AIO23" s="224"/>
      <c r="AIP23" s="224"/>
      <c r="AIQ23" s="224"/>
      <c r="AIR23" s="224"/>
      <c r="AIS23" s="224"/>
      <c r="AIT23" s="224"/>
      <c r="AIU23" s="224"/>
      <c r="AIV23" s="224"/>
      <c r="AIW23" s="224"/>
      <c r="AIX23" s="224"/>
      <c r="AIY23" s="224"/>
      <c r="AIZ23" s="224"/>
      <c r="AJA23" s="224"/>
      <c r="AJB23" s="224"/>
      <c r="AJC23" s="224"/>
      <c r="AJD23" s="224"/>
      <c r="AJE23" s="224"/>
      <c r="AJF23" s="224"/>
      <c r="AJG23" s="224"/>
      <c r="AJH23" s="224"/>
      <c r="AJI23" s="224"/>
      <c r="AJJ23" s="224"/>
      <c r="AJK23" s="224"/>
      <c r="AJL23" s="224"/>
      <c r="AJM23" s="224"/>
      <c r="AJN23" s="224"/>
      <c r="AJO23" s="224"/>
      <c r="AJP23" s="224"/>
      <c r="AJQ23" s="224"/>
      <c r="AJR23" s="224"/>
      <c r="AJS23" s="224"/>
      <c r="AJT23" s="224"/>
      <c r="AJU23" s="224"/>
      <c r="AJV23" s="224"/>
      <c r="AJW23" s="224"/>
      <c r="AJX23" s="224"/>
      <c r="AJY23" s="224"/>
      <c r="AJZ23" s="224"/>
      <c r="AKA23" s="224"/>
      <c r="AKB23" s="224"/>
      <c r="AKC23" s="224"/>
      <c r="AKD23" s="224"/>
      <c r="AKE23" s="224"/>
      <c r="AKF23" s="224"/>
      <c r="AKG23" s="224"/>
      <c r="AKH23" s="224"/>
      <c r="AKI23" s="224"/>
      <c r="AKJ23" s="224"/>
      <c r="AKK23" s="224"/>
      <c r="AKL23" s="224"/>
      <c r="AKM23" s="224"/>
      <c r="AKN23" s="224"/>
      <c r="AKO23" s="224"/>
      <c r="AKP23" s="224"/>
      <c r="AKQ23" s="224"/>
      <c r="AKR23" s="224"/>
      <c r="AKS23" s="224"/>
      <c r="AKT23" s="224"/>
      <c r="AKU23" s="224"/>
      <c r="AKV23" s="224"/>
      <c r="AKW23" s="224"/>
      <c r="AKX23" s="224"/>
      <c r="AKY23" s="224"/>
      <c r="AKZ23" s="224"/>
      <c r="ALA23" s="224"/>
      <c r="ALB23" s="224"/>
      <c r="ALC23" s="224"/>
      <c r="ALD23" s="224"/>
      <c r="ALE23" s="224"/>
      <c r="ALF23" s="224"/>
      <c r="ALG23" s="224"/>
      <c r="ALH23" s="224"/>
      <c r="ALI23" s="224"/>
      <c r="ALJ23" s="224"/>
      <c r="ALK23" s="224"/>
      <c r="ALL23" s="224"/>
      <c r="ALM23" s="224"/>
      <c r="ALN23" s="224"/>
      <c r="ALO23" s="224"/>
      <c r="ALP23" s="224"/>
      <c r="ALQ23" s="224"/>
      <c r="ALR23" s="224"/>
      <c r="ALS23" s="224"/>
      <c r="ALT23" s="224"/>
      <c r="ALU23" s="224"/>
      <c r="ALV23" s="224"/>
      <c r="ALW23" s="224"/>
      <c r="ALX23" s="224"/>
      <c r="ALY23" s="224"/>
      <c r="ALZ23" s="224"/>
      <c r="AMA23" s="224"/>
      <c r="AMB23" s="224"/>
      <c r="AMC23" s="224"/>
      <c r="AMD23" s="224"/>
      <c r="AME23" s="224"/>
      <c r="AMF23" s="224"/>
      <c r="AMG23" s="224"/>
      <c r="AMH23" s="224"/>
      <c r="AMI23" s="224"/>
      <c r="AMJ23" s="224"/>
      <c r="AMK23" s="224"/>
      <c r="AML23" s="224"/>
      <c r="AMM23" s="224"/>
      <c r="AMN23" s="224"/>
      <c r="AMO23" s="224"/>
      <c r="AMP23" s="224"/>
      <c r="AMQ23" s="224"/>
      <c r="AMR23" s="224"/>
      <c r="AMS23" s="224"/>
      <c r="AMT23" s="224"/>
      <c r="AMU23" s="224"/>
      <c r="AMV23" s="224"/>
      <c r="AMW23" s="224"/>
      <c r="AMX23" s="224"/>
      <c r="AMY23" s="224"/>
      <c r="AMZ23" s="224"/>
      <c r="ANA23" s="224"/>
      <c r="ANB23" s="224"/>
      <c r="ANC23" s="224"/>
      <c r="AND23" s="224"/>
      <c r="ANE23" s="224"/>
      <c r="ANF23" s="224"/>
      <c r="ANG23" s="224"/>
      <c r="ANH23" s="224"/>
      <c r="ANI23" s="224"/>
      <c r="ANJ23" s="224"/>
      <c r="ANK23" s="224"/>
      <c r="ANL23" s="224"/>
      <c r="ANM23" s="224"/>
      <c r="ANN23" s="224"/>
      <c r="ANO23" s="224"/>
      <c r="ANP23" s="224"/>
      <c r="ANQ23" s="224"/>
      <c r="ANR23" s="224"/>
      <c r="ANS23" s="224"/>
      <c r="ANT23" s="224"/>
      <c r="ANU23" s="224"/>
      <c r="ANV23" s="224"/>
      <c r="ANW23" s="224"/>
      <c r="ANX23" s="224"/>
      <c r="ANY23" s="224"/>
      <c r="ANZ23" s="224"/>
      <c r="AOA23" s="224"/>
      <c r="AOB23" s="224"/>
      <c r="AOC23" s="224"/>
      <c r="AOD23" s="224"/>
      <c r="AOE23" s="224"/>
      <c r="AOF23" s="224"/>
      <c r="AOG23" s="224"/>
      <c r="AOH23" s="224"/>
      <c r="AOI23" s="224"/>
      <c r="AOJ23" s="224"/>
      <c r="AOK23" s="224"/>
      <c r="AOL23" s="224"/>
      <c r="AOM23" s="224"/>
      <c r="AON23" s="224"/>
      <c r="AOO23" s="224"/>
      <c r="AOP23" s="224"/>
      <c r="AOQ23" s="224"/>
      <c r="AOR23" s="224"/>
      <c r="AOS23" s="224"/>
      <c r="AOT23" s="224"/>
      <c r="AOU23" s="224"/>
      <c r="AOV23" s="224"/>
      <c r="AOW23" s="224"/>
      <c r="AOX23" s="224"/>
      <c r="AOY23" s="224"/>
      <c r="AOZ23" s="224"/>
      <c r="APA23" s="224"/>
      <c r="APB23" s="224"/>
      <c r="APC23" s="224"/>
      <c r="APD23" s="224"/>
      <c r="APE23" s="224"/>
      <c r="APF23" s="224"/>
      <c r="APG23" s="224"/>
      <c r="APH23" s="224"/>
      <c r="API23" s="224"/>
      <c r="APJ23" s="224"/>
      <c r="APK23" s="224"/>
      <c r="APL23" s="224"/>
      <c r="APM23" s="224"/>
      <c r="APN23" s="224"/>
      <c r="APO23" s="224"/>
      <c r="APP23" s="224"/>
      <c r="APQ23" s="224"/>
      <c r="APR23" s="224"/>
      <c r="APS23" s="224"/>
      <c r="APT23" s="224"/>
      <c r="APU23" s="224"/>
      <c r="APV23" s="224"/>
      <c r="APW23" s="224"/>
      <c r="APX23" s="224"/>
      <c r="APY23" s="224"/>
      <c r="APZ23" s="224"/>
      <c r="AQA23" s="224"/>
      <c r="AQB23" s="224"/>
      <c r="AQC23" s="224"/>
      <c r="AQD23" s="224"/>
      <c r="AQE23" s="224"/>
      <c r="AQF23" s="224"/>
      <c r="AQG23" s="224"/>
      <c r="AQH23" s="224"/>
      <c r="AQI23" s="224"/>
      <c r="AQJ23" s="224"/>
      <c r="AQK23" s="224"/>
      <c r="AQL23" s="224"/>
      <c r="AQM23" s="224"/>
      <c r="AQN23" s="224"/>
      <c r="AQO23" s="224"/>
      <c r="AQP23" s="224"/>
      <c r="AQQ23" s="224"/>
      <c r="AQR23" s="224"/>
      <c r="AQS23" s="224"/>
      <c r="AQT23" s="224"/>
      <c r="AQU23" s="224"/>
      <c r="AQV23" s="224"/>
      <c r="AQW23" s="224"/>
      <c r="AQX23" s="224"/>
      <c r="AQY23" s="224"/>
      <c r="AQZ23" s="224"/>
      <c r="ARA23" s="224"/>
      <c r="ARB23" s="224"/>
      <c r="ARC23" s="224"/>
      <c r="ARD23" s="224"/>
      <c r="ARE23" s="224"/>
      <c r="ARF23" s="224"/>
      <c r="ARG23" s="224"/>
      <c r="ARH23" s="224"/>
      <c r="ARI23" s="224"/>
      <c r="ARJ23" s="224"/>
      <c r="ARK23" s="224"/>
      <c r="ARL23" s="224"/>
      <c r="ARM23" s="224"/>
      <c r="ARN23" s="224"/>
      <c r="ARO23" s="224"/>
      <c r="ARP23" s="224"/>
      <c r="ARQ23" s="224"/>
      <c r="ARR23" s="224"/>
      <c r="ARS23" s="224"/>
      <c r="ART23" s="224"/>
      <c r="ARU23" s="224"/>
      <c r="ARV23" s="224"/>
      <c r="ARW23" s="224"/>
      <c r="ARX23" s="224"/>
      <c r="ARY23" s="224"/>
      <c r="ARZ23" s="224"/>
      <c r="ASA23" s="224"/>
      <c r="ASB23" s="224"/>
      <c r="ASC23" s="224"/>
      <c r="ASD23" s="224"/>
      <c r="ASE23" s="224"/>
      <c r="ASF23" s="224"/>
      <c r="ASG23" s="224"/>
      <c r="ASH23" s="224"/>
      <c r="ASI23" s="224"/>
      <c r="ASJ23" s="224"/>
      <c r="ASK23" s="224"/>
      <c r="ASL23" s="224"/>
      <c r="ASM23" s="224"/>
      <c r="ASN23" s="224"/>
      <c r="ASO23" s="224"/>
      <c r="ASP23" s="224"/>
      <c r="ASQ23" s="224"/>
      <c r="ASR23" s="224"/>
      <c r="ASS23" s="224"/>
      <c r="AST23" s="224"/>
      <c r="ASU23" s="224"/>
      <c r="ASV23" s="224"/>
      <c r="ASW23" s="224"/>
      <c r="ASX23" s="224"/>
      <c r="ASY23" s="224"/>
      <c r="ASZ23" s="224"/>
      <c r="ATA23" s="224"/>
      <c r="ATB23" s="224"/>
      <c r="ATC23" s="224"/>
      <c r="ATD23" s="224"/>
      <c r="ATE23" s="224"/>
      <c r="ATF23" s="224"/>
      <c r="ATG23" s="224"/>
      <c r="ATH23" s="224"/>
      <c r="ATI23" s="224"/>
      <c r="ATJ23" s="224"/>
      <c r="ATK23" s="224"/>
      <c r="ATL23" s="224"/>
      <c r="ATM23" s="224"/>
      <c r="ATN23" s="224"/>
      <c r="ATO23" s="224"/>
      <c r="ATP23" s="224"/>
      <c r="ATQ23" s="224"/>
      <c r="ATR23" s="224"/>
      <c r="ATS23" s="224"/>
      <c r="ATT23" s="224"/>
      <c r="ATU23" s="224"/>
      <c r="ATV23" s="224"/>
      <c r="ATW23" s="224"/>
      <c r="ATX23" s="224"/>
      <c r="ATY23" s="224"/>
      <c r="ATZ23" s="224"/>
      <c r="AUA23" s="224"/>
      <c r="AUB23" s="224"/>
      <c r="AUC23" s="224"/>
      <c r="AUD23" s="224"/>
      <c r="AUE23" s="224"/>
      <c r="AUF23" s="224"/>
      <c r="AUG23" s="224"/>
      <c r="AUH23" s="224"/>
      <c r="AUI23" s="224"/>
      <c r="AUJ23" s="224"/>
      <c r="AUK23" s="224"/>
      <c r="AUL23" s="224"/>
      <c r="AUM23" s="224"/>
      <c r="AUN23" s="224"/>
      <c r="AUO23" s="224"/>
      <c r="AUP23" s="224"/>
      <c r="AUQ23" s="224"/>
      <c r="AUR23" s="224"/>
      <c r="AUS23" s="224"/>
      <c r="AUT23" s="224"/>
      <c r="AUU23" s="224"/>
      <c r="AUV23" s="224"/>
      <c r="AUW23" s="224"/>
      <c r="AUX23" s="224"/>
      <c r="AUY23" s="224"/>
      <c r="AUZ23" s="224"/>
      <c r="AVA23" s="224"/>
      <c r="AVB23" s="224"/>
      <c r="AVC23" s="224"/>
      <c r="AVD23" s="224"/>
      <c r="AVE23" s="224"/>
      <c r="AVF23" s="224"/>
      <c r="AVG23" s="224"/>
      <c r="AVH23" s="224"/>
      <c r="AVI23" s="224"/>
      <c r="AVJ23" s="224"/>
      <c r="AVK23" s="224"/>
      <c r="AVL23" s="224"/>
      <c r="AVM23" s="224"/>
      <c r="AVN23" s="224"/>
      <c r="AVO23" s="224"/>
      <c r="AVP23" s="224"/>
      <c r="AVQ23" s="224"/>
      <c r="AVR23" s="224"/>
      <c r="AVS23" s="224"/>
      <c r="AVT23" s="224"/>
      <c r="AVU23" s="224"/>
      <c r="AVV23" s="224"/>
      <c r="AVW23" s="224"/>
      <c r="AVX23" s="224"/>
      <c r="AVY23" s="224"/>
      <c r="AVZ23" s="224"/>
      <c r="AWA23" s="224"/>
      <c r="AWB23" s="224"/>
      <c r="AWC23" s="224"/>
      <c r="AWD23" s="224"/>
      <c r="AWE23" s="224"/>
      <c r="AWF23" s="224"/>
      <c r="AWG23" s="224"/>
      <c r="AWH23" s="224"/>
      <c r="AWI23" s="224"/>
      <c r="AWJ23" s="224"/>
      <c r="AWK23" s="224"/>
      <c r="AWL23" s="224"/>
      <c r="AWM23" s="224"/>
      <c r="AWN23" s="224"/>
      <c r="AWO23" s="224"/>
      <c r="AWP23" s="224"/>
      <c r="AWQ23" s="224"/>
      <c r="AWR23" s="224"/>
      <c r="AWS23" s="224"/>
      <c r="AWT23" s="224"/>
      <c r="AWU23" s="224"/>
      <c r="AWV23" s="224"/>
      <c r="AWW23" s="224"/>
      <c r="AWX23" s="224"/>
      <c r="AWY23" s="224"/>
      <c r="AWZ23" s="224"/>
      <c r="AXA23" s="224"/>
      <c r="AXB23" s="224"/>
      <c r="AXC23" s="224"/>
      <c r="AXD23" s="224"/>
      <c r="AXE23" s="224"/>
      <c r="AXF23" s="224"/>
      <c r="AXG23" s="224"/>
      <c r="AXH23" s="224"/>
      <c r="AXI23" s="224"/>
      <c r="AXJ23" s="224"/>
      <c r="AXK23" s="224"/>
      <c r="AXL23" s="224"/>
      <c r="AXM23" s="224"/>
      <c r="AXN23" s="224"/>
      <c r="AXO23" s="224"/>
      <c r="AXP23" s="224"/>
      <c r="AXQ23" s="224"/>
      <c r="AXR23" s="224"/>
      <c r="AXS23" s="224"/>
      <c r="AXT23" s="224"/>
      <c r="AXU23" s="224"/>
      <c r="AXV23" s="224"/>
      <c r="AXW23" s="224"/>
      <c r="AXX23" s="224"/>
      <c r="AXY23" s="224"/>
      <c r="AXZ23" s="224"/>
      <c r="AYA23" s="224"/>
      <c r="AYB23" s="224"/>
      <c r="AYC23" s="224"/>
      <c r="AYD23" s="224"/>
      <c r="AYE23" s="224"/>
      <c r="AYF23" s="224"/>
      <c r="AYG23" s="224"/>
      <c r="AYH23" s="224"/>
      <c r="AYI23" s="224"/>
      <c r="AYJ23" s="224"/>
      <c r="AYK23" s="224"/>
      <c r="AYL23" s="224"/>
      <c r="AYM23" s="224"/>
      <c r="AYN23" s="224"/>
      <c r="AYO23" s="224"/>
      <c r="AYP23" s="224"/>
      <c r="AYQ23" s="224"/>
      <c r="AYR23" s="224"/>
      <c r="AYS23" s="224"/>
      <c r="AYT23" s="224"/>
      <c r="AYU23" s="224"/>
      <c r="AYV23" s="224"/>
      <c r="AYW23" s="224"/>
      <c r="AYX23" s="224"/>
      <c r="AYY23" s="224"/>
      <c r="AYZ23" s="224"/>
      <c r="AZA23" s="224"/>
      <c r="AZB23" s="224"/>
      <c r="AZC23" s="224"/>
      <c r="AZD23" s="224"/>
      <c r="AZE23" s="224"/>
      <c r="AZF23" s="224"/>
      <c r="AZG23" s="224"/>
      <c r="AZH23" s="224"/>
      <c r="AZI23" s="224"/>
      <c r="AZJ23" s="224"/>
      <c r="AZK23" s="224"/>
      <c r="AZL23" s="224"/>
      <c r="AZM23" s="224"/>
      <c r="AZN23" s="224"/>
      <c r="AZO23" s="224"/>
      <c r="AZP23" s="224"/>
      <c r="AZQ23" s="224"/>
      <c r="AZR23" s="224"/>
      <c r="AZS23" s="224"/>
      <c r="AZT23" s="224"/>
      <c r="AZU23" s="224"/>
      <c r="AZV23" s="224"/>
      <c r="AZW23" s="224"/>
      <c r="AZX23" s="224"/>
      <c r="AZY23" s="224"/>
      <c r="AZZ23" s="224"/>
      <c r="BAA23" s="224"/>
      <c r="BAB23" s="224"/>
      <c r="BAC23" s="224"/>
      <c r="BAD23" s="224"/>
      <c r="BAE23" s="224"/>
      <c r="BAF23" s="224"/>
      <c r="BAG23" s="224"/>
      <c r="BAH23" s="224"/>
      <c r="BAI23" s="224"/>
      <c r="BAJ23" s="224"/>
      <c r="BAK23" s="224"/>
      <c r="BAL23" s="224"/>
      <c r="BAM23" s="224"/>
      <c r="BAN23" s="224"/>
      <c r="BAO23" s="224"/>
      <c r="BAP23" s="224"/>
      <c r="BAQ23" s="224"/>
      <c r="BAR23" s="224"/>
      <c r="BAS23" s="224"/>
      <c r="BAT23" s="224"/>
      <c r="BAU23" s="224"/>
      <c r="BAV23" s="224"/>
      <c r="BAW23" s="224"/>
      <c r="BAX23" s="224"/>
      <c r="BAY23" s="224"/>
      <c r="BAZ23" s="224"/>
      <c r="BBA23" s="224"/>
      <c r="BBB23" s="224"/>
      <c r="BBC23" s="224"/>
      <c r="BBD23" s="224"/>
      <c r="BBE23" s="224"/>
      <c r="BBF23" s="224"/>
      <c r="BBG23" s="224"/>
      <c r="BBH23" s="224"/>
      <c r="BBI23" s="224"/>
      <c r="BBJ23" s="224"/>
      <c r="BBK23" s="224"/>
      <c r="BBL23" s="224"/>
      <c r="BBM23" s="224"/>
      <c r="BBN23" s="224"/>
      <c r="BBO23" s="224"/>
      <c r="BBP23" s="224"/>
      <c r="BBQ23" s="224"/>
      <c r="BBR23" s="224"/>
      <c r="BBS23" s="224"/>
      <c r="BBT23" s="224"/>
      <c r="BBU23" s="224"/>
      <c r="BBV23" s="224"/>
      <c r="BBW23" s="224"/>
      <c r="BBX23" s="224"/>
      <c r="BBY23" s="224"/>
      <c r="BBZ23" s="224"/>
      <c r="BCA23" s="224"/>
      <c r="BCB23" s="224"/>
      <c r="BCC23" s="224"/>
      <c r="BCD23" s="224"/>
      <c r="BCE23" s="224"/>
      <c r="BCF23" s="224"/>
      <c r="BCG23" s="224"/>
      <c r="BCH23" s="224"/>
      <c r="BCI23" s="224"/>
      <c r="BCJ23" s="224"/>
      <c r="BCK23" s="224"/>
      <c r="BCL23" s="224"/>
      <c r="BCM23" s="224"/>
      <c r="BCN23" s="224"/>
      <c r="BCO23" s="224"/>
      <c r="BCP23" s="224"/>
      <c r="BCQ23" s="224"/>
      <c r="BCR23" s="224"/>
      <c r="BCS23" s="224"/>
      <c r="BCT23" s="224"/>
      <c r="BCU23" s="224"/>
      <c r="BCV23" s="224"/>
      <c r="BCW23" s="224"/>
      <c r="BCX23" s="224"/>
      <c r="BCY23" s="224"/>
      <c r="BCZ23" s="224"/>
      <c r="BDA23" s="224"/>
      <c r="BDB23" s="224"/>
      <c r="BDC23" s="224"/>
      <c r="BDD23" s="224"/>
      <c r="BDE23" s="224"/>
      <c r="BDF23" s="224"/>
      <c r="BDG23" s="224"/>
      <c r="BDH23" s="224"/>
      <c r="BDI23" s="224"/>
      <c r="BDJ23" s="224"/>
      <c r="BDK23" s="224"/>
      <c r="BDL23" s="224"/>
      <c r="BDM23" s="224"/>
      <c r="BDN23" s="224"/>
      <c r="BDO23" s="224"/>
      <c r="BDP23" s="224"/>
      <c r="BDQ23" s="224"/>
      <c r="BDR23" s="224"/>
      <c r="BDS23" s="224"/>
      <c r="BDT23" s="224"/>
      <c r="BDU23" s="224"/>
      <c r="BDV23" s="224"/>
      <c r="BDW23" s="224"/>
      <c r="BDX23" s="224"/>
      <c r="BDY23" s="224"/>
      <c r="BDZ23" s="224"/>
      <c r="BEA23" s="224"/>
      <c r="BEB23" s="224"/>
      <c r="BEC23" s="224"/>
      <c r="BED23" s="224"/>
      <c r="BEE23" s="224"/>
      <c r="BEF23" s="224"/>
      <c r="BEG23" s="224"/>
      <c r="BEH23" s="224"/>
      <c r="BEI23" s="224"/>
      <c r="BEJ23" s="224"/>
      <c r="BEK23" s="224"/>
      <c r="BEL23" s="224"/>
      <c r="BEM23" s="224"/>
      <c r="BEN23" s="224"/>
      <c r="BEO23" s="224"/>
      <c r="BEP23" s="224"/>
      <c r="BEQ23" s="224"/>
      <c r="BER23" s="224"/>
      <c r="BES23" s="224"/>
      <c r="BET23" s="224"/>
      <c r="BEU23" s="224"/>
      <c r="BEV23" s="224"/>
      <c r="BEW23" s="224"/>
      <c r="BEX23" s="224"/>
      <c r="BEY23" s="224"/>
      <c r="BEZ23" s="224"/>
      <c r="BFA23" s="224"/>
      <c r="BFB23" s="224"/>
      <c r="BFC23" s="224"/>
      <c r="BFD23" s="224"/>
      <c r="BFE23" s="224"/>
      <c r="BFF23" s="224"/>
      <c r="BFG23" s="224"/>
      <c r="BFH23" s="224"/>
      <c r="BFI23" s="224"/>
      <c r="BFJ23" s="224"/>
      <c r="BFK23" s="224"/>
      <c r="BFL23" s="224"/>
      <c r="BFM23" s="224"/>
      <c r="BFN23" s="224"/>
      <c r="BFO23" s="224"/>
      <c r="BFP23" s="224"/>
      <c r="BFQ23" s="224"/>
      <c r="BFR23" s="224"/>
      <c r="BFS23" s="224"/>
      <c r="BFT23" s="224"/>
      <c r="BFU23" s="224"/>
      <c r="BFV23" s="224"/>
      <c r="BFW23" s="224"/>
      <c r="BFX23" s="224"/>
      <c r="BFY23" s="224"/>
      <c r="BFZ23" s="224"/>
      <c r="BGA23" s="224"/>
      <c r="BGB23" s="224"/>
      <c r="BGC23" s="224"/>
      <c r="BGD23" s="224"/>
      <c r="BGE23" s="224"/>
      <c r="BGF23" s="224"/>
      <c r="BGG23" s="224"/>
      <c r="BGH23" s="224"/>
      <c r="BGI23" s="224"/>
      <c r="BGJ23" s="224"/>
      <c r="BGK23" s="224"/>
      <c r="BGL23" s="224"/>
      <c r="BGM23" s="224"/>
      <c r="BGN23" s="224"/>
      <c r="BGO23" s="224"/>
      <c r="BGP23" s="224"/>
      <c r="BGQ23" s="224"/>
      <c r="BGR23" s="224"/>
      <c r="BGS23" s="224"/>
      <c r="BGT23" s="224"/>
      <c r="BGU23" s="224"/>
      <c r="BGV23" s="224"/>
      <c r="BGW23" s="224"/>
      <c r="BGX23" s="224"/>
      <c r="BGY23" s="224"/>
      <c r="BGZ23" s="224"/>
      <c r="BHA23" s="224"/>
      <c r="BHB23" s="224"/>
      <c r="BHC23" s="224"/>
      <c r="BHD23" s="224"/>
      <c r="BHE23" s="224"/>
      <c r="BHF23" s="224"/>
      <c r="BHG23" s="224"/>
      <c r="BHH23" s="224"/>
      <c r="BHI23" s="224"/>
      <c r="BHJ23" s="224"/>
      <c r="BHK23" s="224"/>
      <c r="BHL23" s="224"/>
      <c r="BHM23" s="224"/>
      <c r="BHN23" s="224"/>
      <c r="BHO23" s="224"/>
      <c r="BHP23" s="224"/>
      <c r="BHQ23" s="224"/>
      <c r="BHR23" s="224"/>
      <c r="BHS23" s="224"/>
      <c r="BHT23" s="224"/>
      <c r="BHU23" s="224"/>
      <c r="BHV23" s="224"/>
      <c r="BHW23" s="224"/>
      <c r="BHX23" s="224"/>
      <c r="BHY23" s="224"/>
      <c r="BHZ23" s="224"/>
      <c r="BIA23" s="224"/>
      <c r="BIB23" s="224"/>
      <c r="BIC23" s="224"/>
      <c r="BID23" s="224"/>
      <c r="BIE23" s="224"/>
      <c r="BIF23" s="224"/>
      <c r="BIG23" s="224"/>
      <c r="BIH23" s="224"/>
      <c r="BII23" s="224"/>
      <c r="BIJ23" s="224"/>
      <c r="BIK23" s="224"/>
      <c r="BIL23" s="224"/>
      <c r="BIM23" s="224"/>
      <c r="BIN23" s="224"/>
      <c r="BIO23" s="224"/>
      <c r="BIP23" s="224"/>
      <c r="BIQ23" s="224"/>
      <c r="BIR23" s="224"/>
      <c r="BIS23" s="224"/>
      <c r="BIT23" s="224"/>
      <c r="BIU23" s="224"/>
      <c r="BIV23" s="224"/>
      <c r="BIW23" s="224"/>
      <c r="BIX23" s="224"/>
      <c r="BIY23" s="224"/>
      <c r="BIZ23" s="224"/>
      <c r="BJA23" s="224"/>
      <c r="BJB23" s="224"/>
      <c r="BJC23" s="224"/>
      <c r="BJD23" s="224"/>
      <c r="BJE23" s="224"/>
      <c r="BJF23" s="224"/>
      <c r="BJG23" s="224"/>
      <c r="BJH23" s="224"/>
      <c r="BJI23" s="224"/>
      <c r="BJJ23" s="224"/>
      <c r="BJK23" s="224"/>
      <c r="BJL23" s="224"/>
      <c r="BJM23" s="224"/>
      <c r="BJN23" s="224"/>
      <c r="BJO23" s="224"/>
      <c r="BJP23" s="224"/>
      <c r="BJQ23" s="224"/>
      <c r="BJR23" s="224"/>
      <c r="BJS23" s="224"/>
      <c r="BJT23" s="224"/>
      <c r="BJU23" s="224"/>
      <c r="BJV23" s="224"/>
      <c r="BJW23" s="224"/>
      <c r="BJX23" s="224"/>
      <c r="BJY23" s="224"/>
      <c r="BJZ23" s="224"/>
      <c r="BKA23" s="224"/>
      <c r="BKB23" s="224"/>
      <c r="BKC23" s="224"/>
      <c r="BKD23" s="224"/>
      <c r="BKE23" s="224"/>
      <c r="BKF23" s="224"/>
      <c r="BKG23" s="224"/>
      <c r="BKH23" s="224"/>
      <c r="BKI23" s="224"/>
      <c r="BKJ23" s="224"/>
      <c r="BKK23" s="224"/>
      <c r="BKL23" s="224"/>
      <c r="BKM23" s="224"/>
      <c r="BKN23" s="224"/>
      <c r="BKO23" s="224"/>
      <c r="BKP23" s="224"/>
      <c r="BKQ23" s="224"/>
      <c r="BKR23" s="224"/>
      <c r="BKS23" s="224"/>
      <c r="BKT23" s="224"/>
      <c r="BKU23" s="224"/>
      <c r="BKV23" s="224"/>
      <c r="BKW23" s="224"/>
      <c r="BKX23" s="224"/>
      <c r="BKY23" s="224"/>
      <c r="BKZ23" s="224"/>
      <c r="BLA23" s="224"/>
      <c r="BLB23" s="224"/>
      <c r="BLC23" s="224"/>
      <c r="BLD23" s="224"/>
      <c r="BLE23" s="224"/>
      <c r="BLF23" s="224"/>
      <c r="BLG23" s="224"/>
      <c r="BLH23" s="224"/>
      <c r="BLI23" s="224"/>
      <c r="BLJ23" s="224"/>
      <c r="BLK23" s="224"/>
      <c r="BLL23" s="224"/>
      <c r="BLM23" s="224"/>
      <c r="BLN23" s="224"/>
      <c r="BLO23" s="224"/>
      <c r="BLP23" s="224"/>
      <c r="BLQ23" s="224"/>
      <c r="BLR23" s="224"/>
      <c r="BLS23" s="224"/>
      <c r="BLT23" s="224"/>
      <c r="BLU23" s="224"/>
      <c r="BLV23" s="224"/>
      <c r="BLW23" s="224"/>
      <c r="BLX23" s="224"/>
      <c r="BLY23" s="224"/>
      <c r="BLZ23" s="224"/>
      <c r="BMA23" s="224"/>
      <c r="BMB23" s="224"/>
      <c r="BMC23" s="224"/>
      <c r="BMD23" s="224"/>
      <c r="BME23" s="224"/>
      <c r="BMF23" s="224"/>
      <c r="BMG23" s="224"/>
      <c r="BMH23" s="224"/>
      <c r="BMI23" s="224"/>
      <c r="BMJ23" s="224"/>
      <c r="BMK23" s="224"/>
      <c r="BML23" s="224"/>
      <c r="BMM23" s="224"/>
      <c r="BMN23" s="224"/>
      <c r="BMO23" s="224"/>
      <c r="BMP23" s="224"/>
      <c r="BMQ23" s="224"/>
      <c r="BMR23" s="224"/>
      <c r="BMS23" s="224"/>
      <c r="BMT23" s="224"/>
      <c r="BMU23" s="224"/>
      <c r="BMV23" s="224"/>
      <c r="BMW23" s="224"/>
      <c r="BMX23" s="224"/>
      <c r="BMY23" s="224"/>
      <c r="BMZ23" s="224"/>
      <c r="BNA23" s="224"/>
      <c r="BNB23" s="224"/>
      <c r="BNC23" s="224"/>
      <c r="BND23" s="224"/>
      <c r="BNE23" s="224"/>
      <c r="BNF23" s="224"/>
      <c r="BNG23" s="224"/>
      <c r="BNH23" s="224"/>
      <c r="BNI23" s="224"/>
      <c r="BNJ23" s="224"/>
      <c r="BNK23" s="224"/>
      <c r="BNL23" s="224"/>
      <c r="BNM23" s="224"/>
      <c r="BNN23" s="224"/>
      <c r="BNO23" s="224"/>
      <c r="BNP23" s="224"/>
      <c r="BNQ23" s="224"/>
      <c r="BNR23" s="224"/>
      <c r="BNS23" s="224"/>
      <c r="BNT23" s="224"/>
      <c r="BNU23" s="224"/>
      <c r="BNV23" s="224"/>
      <c r="BNW23" s="224"/>
      <c r="BNX23" s="224"/>
      <c r="BNY23" s="224"/>
      <c r="BNZ23" s="224"/>
      <c r="BOA23" s="224"/>
      <c r="BOB23" s="224"/>
      <c r="BOC23" s="224"/>
      <c r="BOD23" s="224"/>
      <c r="BOE23" s="224"/>
      <c r="BOF23" s="224"/>
      <c r="BOG23" s="224"/>
      <c r="BOH23" s="224"/>
      <c r="BOI23" s="224"/>
      <c r="BOJ23" s="224"/>
      <c r="BOK23" s="224"/>
      <c r="BOL23" s="224"/>
      <c r="BOM23" s="224"/>
      <c r="BON23" s="224"/>
      <c r="BOO23" s="224"/>
      <c r="BOP23" s="224"/>
      <c r="BOQ23" s="224"/>
      <c r="BOR23" s="224"/>
      <c r="BOS23" s="224"/>
      <c r="BOT23" s="224"/>
      <c r="BOU23" s="224"/>
      <c r="BOV23" s="224"/>
      <c r="BOW23" s="224"/>
      <c r="BOX23" s="224"/>
      <c r="BOY23" s="224"/>
      <c r="BOZ23" s="224"/>
      <c r="BPA23" s="224"/>
      <c r="BPB23" s="224"/>
      <c r="BPC23" s="224"/>
      <c r="BPD23" s="224"/>
      <c r="BPE23" s="224"/>
      <c r="BPF23" s="224"/>
      <c r="BPG23" s="224"/>
      <c r="BPH23" s="224"/>
      <c r="BPI23" s="224"/>
      <c r="BPJ23" s="224"/>
      <c r="BPK23" s="224"/>
      <c r="BPL23" s="224"/>
      <c r="BPM23" s="224"/>
      <c r="BPN23" s="224"/>
      <c r="BPO23" s="224"/>
      <c r="BPP23" s="224"/>
      <c r="BPQ23" s="224"/>
      <c r="BPR23" s="224"/>
      <c r="BPS23" s="224"/>
      <c r="BPT23" s="224"/>
      <c r="BPU23" s="224"/>
      <c r="BPV23" s="224"/>
      <c r="BPW23" s="224"/>
      <c r="BPX23" s="224"/>
      <c r="BPY23" s="224"/>
      <c r="BPZ23" s="224"/>
      <c r="BQA23" s="224"/>
      <c r="BQB23" s="224"/>
      <c r="BQC23" s="224"/>
      <c r="BQD23" s="224"/>
      <c r="BQE23" s="224"/>
      <c r="BQF23" s="224"/>
      <c r="BQG23" s="224"/>
      <c r="BQH23" s="224"/>
      <c r="BQI23" s="224"/>
      <c r="BQJ23" s="224"/>
      <c r="BQK23" s="224"/>
      <c r="BQL23" s="224"/>
      <c r="BQM23" s="224"/>
      <c r="BQN23" s="224"/>
      <c r="BQO23" s="224"/>
      <c r="BQP23" s="224"/>
      <c r="BQQ23" s="224"/>
      <c r="BQR23" s="224"/>
      <c r="BQS23" s="224"/>
      <c r="BQT23" s="224"/>
      <c r="BQU23" s="224"/>
      <c r="BQV23" s="224"/>
      <c r="BQW23" s="224"/>
      <c r="BQX23" s="224"/>
      <c r="BQY23" s="224"/>
      <c r="BQZ23" s="224"/>
      <c r="BRA23" s="224"/>
      <c r="BRB23" s="224"/>
      <c r="BRC23" s="224"/>
      <c r="BRD23" s="224"/>
      <c r="BRE23" s="224"/>
      <c r="BRF23" s="224"/>
      <c r="BRG23" s="224"/>
      <c r="BRH23" s="224"/>
      <c r="BRI23" s="224"/>
      <c r="BRJ23" s="224"/>
      <c r="BRK23" s="224"/>
      <c r="BRL23" s="224"/>
      <c r="BRM23" s="224"/>
      <c r="BRN23" s="224"/>
      <c r="BRO23" s="224"/>
      <c r="BRP23" s="224"/>
      <c r="BRQ23" s="224"/>
      <c r="BRR23" s="224"/>
      <c r="BRS23" s="224"/>
      <c r="BRT23" s="224"/>
      <c r="BRU23" s="224"/>
      <c r="BRV23" s="224"/>
      <c r="BRW23" s="224"/>
      <c r="BRX23" s="224"/>
      <c r="BRY23" s="224"/>
      <c r="BRZ23" s="224"/>
      <c r="BSA23" s="224"/>
      <c r="BSB23" s="224"/>
      <c r="BSC23" s="224"/>
      <c r="BSD23" s="224"/>
      <c r="BSE23" s="224"/>
      <c r="BSF23" s="224"/>
      <c r="BSG23" s="224"/>
      <c r="BSH23" s="224"/>
      <c r="BSI23" s="224"/>
      <c r="BSJ23" s="224"/>
      <c r="BSK23" s="224"/>
      <c r="BSL23" s="224"/>
      <c r="BSM23" s="224"/>
      <c r="BSN23" s="224"/>
      <c r="BSO23" s="224"/>
      <c r="BSP23" s="224"/>
      <c r="BSQ23" s="224"/>
      <c r="BSR23" s="224"/>
      <c r="BSS23" s="224"/>
      <c r="BST23" s="224"/>
      <c r="BSU23" s="224"/>
      <c r="BSV23" s="224"/>
      <c r="BSW23" s="224"/>
      <c r="BSX23" s="224"/>
      <c r="BSY23" s="224"/>
      <c r="BSZ23" s="224"/>
      <c r="BTA23" s="224"/>
      <c r="BTB23" s="224"/>
      <c r="BTC23" s="224"/>
      <c r="BTD23" s="224"/>
      <c r="BTE23" s="224"/>
      <c r="BTF23" s="224"/>
      <c r="BTG23" s="224"/>
      <c r="BTH23" s="224"/>
      <c r="BTI23" s="224"/>
      <c r="BTJ23" s="224"/>
      <c r="BTK23" s="224"/>
      <c r="BTL23" s="224"/>
      <c r="BTM23" s="224"/>
      <c r="BTN23" s="224"/>
      <c r="BTO23" s="224"/>
      <c r="BTP23" s="224"/>
      <c r="BTQ23" s="224"/>
      <c r="BTR23" s="224"/>
      <c r="BTS23" s="224"/>
      <c r="BTT23" s="224"/>
      <c r="BTU23" s="224"/>
      <c r="BTV23" s="224"/>
      <c r="BTW23" s="224"/>
      <c r="BTX23" s="224"/>
      <c r="BTY23" s="224"/>
      <c r="BTZ23" s="224"/>
      <c r="BUA23" s="224"/>
      <c r="BUB23" s="224"/>
      <c r="BUC23" s="224"/>
      <c r="BUD23" s="224"/>
      <c r="BUE23" s="224"/>
      <c r="BUF23" s="224"/>
      <c r="BUG23" s="224"/>
      <c r="BUH23" s="224"/>
      <c r="BUI23" s="224"/>
      <c r="BUJ23" s="224"/>
      <c r="BUK23" s="224"/>
      <c r="BUL23" s="224"/>
      <c r="BUM23" s="224"/>
      <c r="BUN23" s="224"/>
      <c r="BUO23" s="224"/>
      <c r="BUP23" s="224"/>
      <c r="BUQ23" s="224"/>
      <c r="BUR23" s="224"/>
      <c r="BUS23" s="224"/>
      <c r="BUT23" s="224"/>
      <c r="BUU23" s="224"/>
      <c r="BUV23" s="224"/>
      <c r="BUW23" s="224"/>
      <c r="BUX23" s="224"/>
      <c r="BUY23" s="224"/>
      <c r="BUZ23" s="224"/>
      <c r="BVA23" s="224"/>
      <c r="BVB23" s="224"/>
      <c r="BVC23" s="224"/>
      <c r="BVD23" s="224"/>
      <c r="BVE23" s="224"/>
      <c r="BVF23" s="224"/>
      <c r="BVG23" s="224"/>
      <c r="BVH23" s="224"/>
      <c r="BVI23" s="224"/>
      <c r="BVJ23" s="224"/>
      <c r="BVK23" s="224"/>
      <c r="BVL23" s="224"/>
      <c r="BVM23" s="224"/>
      <c r="BVN23" s="224"/>
      <c r="BVO23" s="224"/>
      <c r="BVP23" s="224"/>
      <c r="BVQ23" s="224"/>
      <c r="BVR23" s="224"/>
      <c r="BVS23" s="224"/>
      <c r="BVT23" s="224"/>
      <c r="BVU23" s="224"/>
      <c r="BVV23" s="224"/>
      <c r="BVW23" s="224"/>
      <c r="BVX23" s="224"/>
      <c r="BVY23" s="224"/>
      <c r="BVZ23" s="224"/>
      <c r="BWA23" s="224"/>
      <c r="BWB23" s="224"/>
      <c r="BWC23" s="224"/>
      <c r="BWD23" s="224"/>
      <c r="BWE23" s="224"/>
      <c r="BWF23" s="224"/>
      <c r="BWG23" s="224"/>
      <c r="BWH23" s="224"/>
      <c r="BWI23" s="224"/>
      <c r="BWJ23" s="224"/>
      <c r="BWK23" s="224"/>
      <c r="BWL23" s="224"/>
      <c r="BWM23" s="224"/>
      <c r="BWN23" s="224"/>
      <c r="BWO23" s="224"/>
      <c r="BWP23" s="224"/>
      <c r="BWQ23" s="224"/>
      <c r="BWR23" s="224"/>
      <c r="BWS23" s="224"/>
      <c r="BWT23" s="224"/>
      <c r="BWU23" s="224"/>
      <c r="BWV23" s="224"/>
      <c r="BWW23" s="224"/>
      <c r="BWX23" s="224"/>
      <c r="BWY23" s="224"/>
      <c r="BWZ23" s="224"/>
      <c r="BXA23" s="224"/>
      <c r="BXB23" s="224"/>
      <c r="BXC23" s="224"/>
      <c r="BXD23" s="224"/>
      <c r="BXE23" s="224"/>
      <c r="BXF23" s="224"/>
      <c r="BXG23" s="224"/>
      <c r="BXH23" s="224"/>
      <c r="BXI23" s="224"/>
      <c r="BXJ23" s="224"/>
      <c r="BXK23" s="224"/>
      <c r="BXL23" s="224"/>
      <c r="BXM23" s="224"/>
      <c r="BXN23" s="224"/>
      <c r="BXO23" s="224"/>
      <c r="BXP23" s="224"/>
      <c r="BXQ23" s="224"/>
      <c r="BXR23" s="224"/>
      <c r="BXS23" s="224"/>
      <c r="BXT23" s="224"/>
      <c r="BXU23" s="224"/>
      <c r="BXV23" s="224"/>
      <c r="BXW23" s="224"/>
      <c r="BXX23" s="224"/>
      <c r="BXY23" s="224"/>
      <c r="BXZ23" s="224"/>
      <c r="BYA23" s="224"/>
      <c r="BYB23" s="224"/>
      <c r="BYC23" s="224"/>
      <c r="BYD23" s="224"/>
      <c r="BYE23" s="224"/>
      <c r="BYF23" s="224"/>
      <c r="BYG23" s="224"/>
    </row>
    <row r="24" spans="1:2009" s="100" customFormat="1" ht="12.75" hidden="1" customHeight="1" thickBot="1" x14ac:dyDescent="0.3">
      <c r="A24" s="107"/>
      <c r="B24" s="108"/>
      <c r="C24" s="182"/>
      <c r="D24" s="182"/>
      <c r="E24" s="182"/>
      <c r="F24" s="182"/>
      <c r="G24" s="182"/>
      <c r="H24" s="99"/>
      <c r="I24" s="99"/>
      <c r="J24" s="99"/>
      <c r="K24" s="477"/>
      <c r="L24" s="476">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104</v>
      </c>
      <c r="B25" s="139"/>
      <c r="C25" s="183"/>
      <c r="D25" s="183"/>
      <c r="E25" s="184"/>
      <c r="F25" s="184"/>
      <c r="G25" s="185"/>
      <c r="H25" s="94"/>
      <c r="I25" s="94"/>
      <c r="J25" s="94"/>
      <c r="K25" s="477"/>
      <c r="L25" s="477" t="s">
        <v>227</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170</v>
      </c>
      <c r="C26" s="186"/>
      <c r="D26" s="186"/>
      <c r="E26" s="187"/>
      <c r="F26" s="187"/>
      <c r="G26" s="188"/>
      <c r="H26" s="94"/>
      <c r="I26" s="94"/>
      <c r="J26" s="94"/>
      <c r="K26" s="478"/>
      <c r="L26"/>
      <c r="M26" s="479">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31" customFormat="1" ht="24.95" hidden="1" customHeight="1" thickBot="1" x14ac:dyDescent="0.3">
      <c r="A27" s="226"/>
      <c r="B27" s="227" t="s">
        <v>152</v>
      </c>
      <c r="C27" s="228"/>
      <c r="D27" s="229"/>
      <c r="E27" s="229"/>
      <c r="F27" s="229">
        <f>SUM(F25:F26)</f>
        <v>0</v>
      </c>
      <c r="G27" s="230">
        <f>ROUND(SUM(C27:F27),5)</f>
        <v>0</v>
      </c>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c r="IW27" s="212"/>
      <c r="IX27" s="212"/>
      <c r="IY27" s="212"/>
      <c r="IZ27" s="212"/>
      <c r="JA27" s="212"/>
      <c r="JB27" s="212"/>
      <c r="JC27" s="212"/>
      <c r="JD27" s="212"/>
      <c r="JE27" s="212"/>
      <c r="JF27" s="212"/>
      <c r="JG27" s="212"/>
      <c r="JH27" s="212"/>
      <c r="JI27" s="212"/>
      <c r="JJ27" s="212"/>
      <c r="JK27" s="212"/>
      <c r="JL27" s="212"/>
      <c r="JM27" s="212"/>
      <c r="JN27" s="212"/>
      <c r="JO27" s="212"/>
      <c r="JP27" s="212"/>
      <c r="JQ27" s="212"/>
      <c r="JR27" s="212"/>
      <c r="JS27" s="212"/>
      <c r="JT27" s="212"/>
      <c r="JU27" s="212"/>
      <c r="JV27" s="212"/>
      <c r="JW27" s="212"/>
      <c r="JX27" s="212"/>
      <c r="JY27" s="212"/>
      <c r="JZ27" s="212"/>
      <c r="KA27" s="212"/>
      <c r="KB27" s="212"/>
      <c r="KC27" s="212"/>
      <c r="KD27" s="212"/>
      <c r="KE27" s="212"/>
      <c r="KF27" s="212"/>
      <c r="KG27" s="212"/>
      <c r="KH27" s="212"/>
      <c r="KI27" s="212"/>
      <c r="KJ27" s="212"/>
      <c r="KK27" s="212"/>
      <c r="KL27" s="212"/>
      <c r="KM27" s="212"/>
      <c r="KN27" s="212"/>
      <c r="KO27" s="212"/>
      <c r="KP27" s="212"/>
      <c r="KQ27" s="212"/>
      <c r="KR27" s="212"/>
      <c r="KS27" s="212"/>
      <c r="KT27" s="212"/>
      <c r="KU27" s="212"/>
      <c r="KV27" s="212"/>
      <c r="KW27" s="212"/>
      <c r="KX27" s="212"/>
      <c r="KY27" s="212"/>
      <c r="KZ27" s="212"/>
      <c r="LA27" s="212"/>
      <c r="LB27" s="212"/>
      <c r="LC27" s="212"/>
      <c r="LD27" s="212"/>
      <c r="LE27" s="212"/>
      <c r="LF27" s="212"/>
      <c r="LG27" s="212"/>
      <c r="LH27" s="212"/>
      <c r="LI27" s="212"/>
      <c r="LJ27" s="212"/>
      <c r="LK27" s="212"/>
      <c r="LL27" s="212"/>
      <c r="LM27" s="212"/>
      <c r="LN27" s="212"/>
      <c r="LO27" s="212"/>
      <c r="LP27" s="212"/>
      <c r="LQ27" s="212"/>
      <c r="LR27" s="212"/>
      <c r="LS27" s="212"/>
      <c r="LT27" s="212"/>
      <c r="LU27" s="212"/>
      <c r="LV27" s="212"/>
      <c r="LW27" s="212"/>
      <c r="LX27" s="212"/>
      <c r="LY27" s="212"/>
      <c r="LZ27" s="212"/>
      <c r="MA27" s="212"/>
      <c r="MB27" s="212"/>
      <c r="MC27" s="212"/>
      <c r="MD27" s="212"/>
      <c r="ME27" s="212"/>
      <c r="MF27" s="212"/>
      <c r="MG27" s="212"/>
      <c r="MH27" s="212"/>
      <c r="MI27" s="212"/>
      <c r="MJ27" s="212"/>
      <c r="MK27" s="212"/>
      <c r="ML27" s="212"/>
      <c r="MM27" s="212"/>
      <c r="MN27" s="212"/>
      <c r="MO27" s="212"/>
      <c r="MP27" s="212"/>
      <c r="MQ27" s="212"/>
      <c r="MR27" s="212"/>
      <c r="MS27" s="212"/>
      <c r="MT27" s="212"/>
      <c r="MU27" s="212"/>
      <c r="MV27" s="212"/>
      <c r="MW27" s="212"/>
      <c r="MX27" s="212"/>
      <c r="MY27" s="212"/>
      <c r="MZ27" s="212"/>
      <c r="NA27" s="212"/>
      <c r="NB27" s="212"/>
      <c r="NC27" s="212"/>
      <c r="ND27" s="212"/>
      <c r="NE27" s="212"/>
      <c r="NF27" s="212"/>
      <c r="NG27" s="212"/>
      <c r="NH27" s="212"/>
      <c r="NI27" s="212"/>
      <c r="NJ27" s="212"/>
      <c r="NK27" s="212"/>
      <c r="NL27" s="212"/>
      <c r="NM27" s="212"/>
      <c r="NN27" s="212"/>
      <c r="NO27" s="212"/>
      <c r="NP27" s="212"/>
      <c r="NQ27" s="212"/>
      <c r="NR27" s="212"/>
      <c r="NS27" s="212"/>
      <c r="NT27" s="212"/>
      <c r="NU27" s="212"/>
      <c r="NV27" s="212"/>
      <c r="NW27" s="212"/>
      <c r="NX27" s="212"/>
      <c r="NY27" s="212"/>
      <c r="NZ27" s="212"/>
      <c r="OA27" s="212"/>
      <c r="OB27" s="212"/>
      <c r="OC27" s="212"/>
      <c r="OD27" s="212"/>
      <c r="OE27" s="212"/>
      <c r="OF27" s="212"/>
      <c r="OG27" s="212"/>
      <c r="OH27" s="212"/>
      <c r="OI27" s="212"/>
      <c r="OJ27" s="212"/>
      <c r="OK27" s="212"/>
      <c r="OL27" s="212"/>
      <c r="OM27" s="212"/>
      <c r="ON27" s="212"/>
      <c r="OO27" s="212"/>
      <c r="OP27" s="212"/>
      <c r="OQ27" s="212"/>
      <c r="OR27" s="212"/>
      <c r="OS27" s="212"/>
      <c r="OT27" s="212"/>
      <c r="OU27" s="212"/>
      <c r="OV27" s="212"/>
      <c r="OW27" s="212"/>
      <c r="OX27" s="212"/>
      <c r="OY27" s="212"/>
      <c r="OZ27" s="212"/>
      <c r="PA27" s="212"/>
      <c r="PB27" s="212"/>
      <c r="PC27" s="212"/>
      <c r="PD27" s="212"/>
      <c r="PE27" s="212"/>
      <c r="PF27" s="212"/>
      <c r="PG27" s="212"/>
      <c r="PH27" s="212"/>
      <c r="PI27" s="212"/>
      <c r="PJ27" s="212"/>
      <c r="PK27" s="212"/>
      <c r="PL27" s="212"/>
      <c r="PM27" s="212"/>
      <c r="PN27" s="212"/>
      <c r="PO27" s="212"/>
      <c r="PP27" s="212"/>
      <c r="PQ27" s="212"/>
      <c r="PR27" s="212"/>
      <c r="PS27" s="212"/>
      <c r="PT27" s="212"/>
      <c r="PU27" s="212"/>
      <c r="PV27" s="212"/>
      <c r="PW27" s="212"/>
      <c r="PX27" s="212"/>
      <c r="PY27" s="212"/>
      <c r="PZ27" s="212"/>
      <c r="QA27" s="212"/>
      <c r="QB27" s="212"/>
      <c r="QC27" s="212"/>
      <c r="QD27" s="212"/>
      <c r="QE27" s="212"/>
      <c r="QF27" s="212"/>
      <c r="QG27" s="212"/>
      <c r="QH27" s="212"/>
      <c r="QI27" s="212"/>
      <c r="QJ27" s="212"/>
      <c r="QK27" s="212"/>
      <c r="QL27" s="212"/>
      <c r="QM27" s="212"/>
      <c r="QN27" s="212"/>
      <c r="QO27" s="212"/>
      <c r="QP27" s="212"/>
      <c r="QQ27" s="212"/>
      <c r="QR27" s="212"/>
      <c r="QS27" s="212"/>
      <c r="QT27" s="212"/>
      <c r="QU27" s="212"/>
      <c r="QV27" s="212"/>
      <c r="QW27" s="212"/>
      <c r="QX27" s="212"/>
      <c r="QY27" s="212"/>
      <c r="QZ27" s="212"/>
      <c r="RA27" s="212"/>
      <c r="RB27" s="212"/>
      <c r="RC27" s="212"/>
      <c r="RD27" s="212"/>
      <c r="RE27" s="212"/>
      <c r="RF27" s="212"/>
      <c r="RG27" s="212"/>
      <c r="RH27" s="212"/>
      <c r="RI27" s="212"/>
      <c r="RJ27" s="212"/>
      <c r="RK27" s="212"/>
      <c r="RL27" s="212"/>
      <c r="RM27" s="212"/>
      <c r="RN27" s="212"/>
      <c r="RO27" s="212"/>
      <c r="RP27" s="212"/>
      <c r="RQ27" s="212"/>
      <c r="RR27" s="212"/>
      <c r="RS27" s="212"/>
      <c r="RT27" s="212"/>
      <c r="RU27" s="212"/>
      <c r="RV27" s="212"/>
      <c r="RW27" s="212"/>
      <c r="RX27" s="212"/>
      <c r="RY27" s="212"/>
      <c r="RZ27" s="212"/>
      <c r="SA27" s="212"/>
      <c r="SB27" s="212"/>
      <c r="SC27" s="212"/>
      <c r="SD27" s="212"/>
      <c r="SE27" s="212"/>
      <c r="SF27" s="212"/>
      <c r="SG27" s="212"/>
      <c r="SH27" s="212"/>
      <c r="SI27" s="212"/>
      <c r="SJ27" s="212"/>
      <c r="SK27" s="212"/>
      <c r="SL27" s="212"/>
      <c r="SM27" s="212"/>
      <c r="SN27" s="212"/>
      <c r="SO27" s="212"/>
      <c r="SP27" s="212"/>
      <c r="SQ27" s="212"/>
      <c r="SR27" s="212"/>
      <c r="SS27" s="212"/>
      <c r="ST27" s="212"/>
      <c r="SU27" s="212"/>
      <c r="SV27" s="212"/>
      <c r="SW27" s="212"/>
      <c r="SX27" s="212"/>
      <c r="SY27" s="212"/>
      <c r="SZ27" s="212"/>
      <c r="TA27" s="212"/>
      <c r="TB27" s="212"/>
      <c r="TC27" s="212"/>
      <c r="TD27" s="212"/>
      <c r="TE27" s="212"/>
      <c r="TF27" s="212"/>
      <c r="TG27" s="212"/>
      <c r="TH27" s="212"/>
      <c r="TI27" s="212"/>
      <c r="TJ27" s="212"/>
      <c r="TK27" s="212"/>
      <c r="TL27" s="212"/>
      <c r="TM27" s="212"/>
      <c r="TN27" s="212"/>
      <c r="TO27" s="212"/>
      <c r="TP27" s="212"/>
      <c r="TQ27" s="212"/>
      <c r="TR27" s="212"/>
      <c r="TS27" s="212"/>
      <c r="TT27" s="212"/>
      <c r="TU27" s="212"/>
      <c r="TV27" s="212"/>
      <c r="TW27" s="212"/>
      <c r="TX27" s="212"/>
      <c r="TY27" s="212"/>
      <c r="TZ27" s="212"/>
      <c r="UA27" s="212"/>
      <c r="UB27" s="212"/>
      <c r="UC27" s="212"/>
      <c r="UD27" s="212"/>
      <c r="UE27" s="212"/>
      <c r="UF27" s="212"/>
      <c r="UG27" s="212"/>
      <c r="UH27" s="212"/>
      <c r="UI27" s="212"/>
      <c r="UJ27" s="212"/>
      <c r="UK27" s="212"/>
      <c r="UL27" s="212"/>
      <c r="UM27" s="212"/>
      <c r="UN27" s="212"/>
      <c r="UO27" s="212"/>
      <c r="UP27" s="212"/>
      <c r="UQ27" s="212"/>
      <c r="UR27" s="212"/>
      <c r="US27" s="212"/>
      <c r="UT27" s="212"/>
      <c r="UU27" s="212"/>
      <c r="UV27" s="212"/>
      <c r="UW27" s="212"/>
      <c r="UX27" s="212"/>
      <c r="UY27" s="212"/>
      <c r="UZ27" s="212"/>
      <c r="VA27" s="212"/>
      <c r="VB27" s="212"/>
      <c r="VC27" s="212"/>
      <c r="VD27" s="212"/>
      <c r="VE27" s="212"/>
      <c r="VF27" s="212"/>
      <c r="VG27" s="212"/>
      <c r="VH27" s="212"/>
      <c r="VI27" s="212"/>
      <c r="VJ27" s="212"/>
      <c r="VK27" s="212"/>
      <c r="VL27" s="212"/>
      <c r="VM27" s="212"/>
      <c r="VN27" s="212"/>
      <c r="VO27" s="212"/>
      <c r="VP27" s="212"/>
      <c r="VQ27" s="212"/>
      <c r="VR27" s="212"/>
      <c r="VS27" s="212"/>
      <c r="VT27" s="212"/>
      <c r="VU27" s="212"/>
      <c r="VV27" s="212"/>
      <c r="VW27" s="212"/>
      <c r="VX27" s="212"/>
      <c r="VY27" s="212"/>
      <c r="VZ27" s="212"/>
      <c r="WA27" s="212"/>
      <c r="WB27" s="212"/>
      <c r="WC27" s="212"/>
      <c r="WD27" s="212"/>
      <c r="WE27" s="212"/>
      <c r="WF27" s="212"/>
      <c r="WG27" s="212"/>
      <c r="WH27" s="212"/>
      <c r="WI27" s="212"/>
      <c r="WJ27" s="212"/>
      <c r="WK27" s="212"/>
      <c r="WL27" s="212"/>
      <c r="WM27" s="212"/>
      <c r="WN27" s="212"/>
      <c r="WO27" s="212"/>
      <c r="WP27" s="212"/>
      <c r="WQ27" s="212"/>
      <c r="WR27" s="212"/>
      <c r="WS27" s="212"/>
      <c r="WT27" s="212"/>
      <c r="WU27" s="212"/>
      <c r="WV27" s="212"/>
      <c r="WW27" s="212"/>
      <c r="WX27" s="212"/>
      <c r="WY27" s="212"/>
      <c r="WZ27" s="212"/>
      <c r="XA27" s="212"/>
      <c r="XB27" s="212"/>
      <c r="XC27" s="212"/>
      <c r="XD27" s="212"/>
      <c r="XE27" s="212"/>
      <c r="XF27" s="212"/>
      <c r="XG27" s="212"/>
      <c r="XH27" s="212"/>
      <c r="XI27" s="212"/>
      <c r="XJ27" s="212"/>
      <c r="XK27" s="212"/>
      <c r="XL27" s="212"/>
      <c r="XM27" s="212"/>
      <c r="XN27" s="212"/>
      <c r="XO27" s="212"/>
      <c r="XP27" s="212"/>
      <c r="XQ27" s="212"/>
      <c r="XR27" s="212"/>
      <c r="XS27" s="212"/>
      <c r="XT27" s="212"/>
      <c r="XU27" s="212"/>
      <c r="XV27" s="212"/>
      <c r="XW27" s="212"/>
      <c r="XX27" s="212"/>
      <c r="XY27" s="212"/>
      <c r="XZ27" s="212"/>
      <c r="YA27" s="212"/>
      <c r="YB27" s="212"/>
      <c r="YC27" s="212"/>
      <c r="YD27" s="212"/>
      <c r="YE27" s="212"/>
      <c r="YF27" s="212"/>
      <c r="YG27" s="212"/>
      <c r="YH27" s="212"/>
      <c r="YI27" s="212"/>
      <c r="YJ27" s="212"/>
      <c r="YK27" s="212"/>
      <c r="YL27" s="212"/>
      <c r="YM27" s="212"/>
      <c r="YN27" s="212"/>
      <c r="YO27" s="212"/>
      <c r="YP27" s="212"/>
      <c r="YQ27" s="212"/>
      <c r="YR27" s="212"/>
      <c r="YS27" s="212"/>
      <c r="YT27" s="212"/>
      <c r="YU27" s="212"/>
      <c r="YV27" s="212"/>
      <c r="YW27" s="212"/>
      <c r="YX27" s="212"/>
      <c r="YY27" s="212"/>
      <c r="YZ27" s="212"/>
      <c r="ZA27" s="212"/>
      <c r="ZB27" s="212"/>
      <c r="ZC27" s="212"/>
      <c r="ZD27" s="212"/>
      <c r="ZE27" s="212"/>
      <c r="ZF27" s="212"/>
      <c r="ZG27" s="212"/>
      <c r="ZH27" s="212"/>
      <c r="ZI27" s="212"/>
      <c r="ZJ27" s="212"/>
      <c r="ZK27" s="212"/>
      <c r="ZL27" s="212"/>
      <c r="ZM27" s="212"/>
      <c r="ZN27" s="212"/>
      <c r="ZO27" s="212"/>
      <c r="ZP27" s="212"/>
      <c r="ZQ27" s="212"/>
      <c r="ZR27" s="212"/>
      <c r="ZS27" s="212"/>
      <c r="ZT27" s="212"/>
      <c r="ZU27" s="212"/>
      <c r="ZV27" s="212"/>
      <c r="ZW27" s="212"/>
      <c r="ZX27" s="212"/>
      <c r="ZY27" s="212"/>
      <c r="ZZ27" s="212"/>
      <c r="AAA27" s="212"/>
      <c r="AAB27" s="212"/>
      <c r="AAC27" s="212"/>
      <c r="AAD27" s="212"/>
      <c r="AAE27" s="212"/>
      <c r="AAF27" s="212"/>
      <c r="AAG27" s="212"/>
      <c r="AAH27" s="212"/>
      <c r="AAI27" s="212"/>
      <c r="AAJ27" s="212"/>
      <c r="AAK27" s="212"/>
      <c r="AAL27" s="212"/>
      <c r="AAM27" s="212"/>
      <c r="AAN27" s="212"/>
      <c r="AAO27" s="212"/>
      <c r="AAP27" s="212"/>
      <c r="AAQ27" s="212"/>
      <c r="AAR27" s="212"/>
      <c r="AAS27" s="212"/>
      <c r="AAT27" s="212"/>
      <c r="AAU27" s="212"/>
      <c r="AAV27" s="212"/>
      <c r="AAW27" s="212"/>
      <c r="AAX27" s="212"/>
      <c r="AAY27" s="212"/>
      <c r="AAZ27" s="212"/>
      <c r="ABA27" s="212"/>
      <c r="ABB27" s="212"/>
      <c r="ABC27" s="212"/>
      <c r="ABD27" s="212"/>
      <c r="ABE27" s="212"/>
      <c r="ABF27" s="212"/>
      <c r="ABG27" s="212"/>
      <c r="ABH27" s="212"/>
      <c r="ABI27" s="212"/>
      <c r="ABJ27" s="212"/>
      <c r="ABK27" s="212"/>
      <c r="ABL27" s="212"/>
      <c r="ABM27" s="212"/>
      <c r="ABN27" s="212"/>
      <c r="ABO27" s="212"/>
      <c r="ABP27" s="212"/>
      <c r="ABQ27" s="212"/>
      <c r="ABR27" s="212"/>
      <c r="ABS27" s="212"/>
      <c r="ABT27" s="212"/>
      <c r="ABU27" s="212"/>
      <c r="ABV27" s="212"/>
      <c r="ABW27" s="212"/>
      <c r="ABX27" s="212"/>
      <c r="ABY27" s="212"/>
      <c r="ABZ27" s="212"/>
      <c r="ACA27" s="212"/>
      <c r="ACB27" s="212"/>
      <c r="ACC27" s="212"/>
      <c r="ACD27" s="212"/>
      <c r="ACE27" s="212"/>
      <c r="ACF27" s="212"/>
      <c r="ACG27" s="212"/>
      <c r="ACH27" s="212"/>
      <c r="ACI27" s="212"/>
      <c r="ACJ27" s="212"/>
      <c r="ACK27" s="212"/>
      <c r="ACL27" s="212"/>
      <c r="ACM27" s="212"/>
      <c r="ACN27" s="212"/>
      <c r="ACO27" s="212"/>
      <c r="ACP27" s="212"/>
      <c r="ACQ27" s="212"/>
      <c r="ACR27" s="212"/>
      <c r="ACS27" s="212"/>
      <c r="ACT27" s="212"/>
      <c r="ACU27" s="212"/>
      <c r="ACV27" s="212"/>
      <c r="ACW27" s="212"/>
      <c r="ACX27" s="212"/>
      <c r="ACY27" s="212"/>
      <c r="ACZ27" s="212"/>
      <c r="ADA27" s="212"/>
      <c r="ADB27" s="212"/>
      <c r="ADC27" s="212"/>
      <c r="ADD27" s="212"/>
      <c r="ADE27" s="212"/>
      <c r="ADF27" s="212"/>
      <c r="ADG27" s="212"/>
      <c r="ADH27" s="212"/>
      <c r="ADI27" s="212"/>
      <c r="ADJ27" s="212"/>
      <c r="ADK27" s="212"/>
      <c r="ADL27" s="212"/>
      <c r="ADM27" s="212"/>
      <c r="ADN27" s="212"/>
      <c r="ADO27" s="212"/>
      <c r="ADP27" s="212"/>
      <c r="ADQ27" s="212"/>
      <c r="ADR27" s="212"/>
      <c r="ADS27" s="212"/>
      <c r="ADT27" s="212"/>
      <c r="ADU27" s="212"/>
      <c r="ADV27" s="212"/>
      <c r="ADW27" s="212"/>
      <c r="ADX27" s="212"/>
      <c r="ADY27" s="212"/>
      <c r="ADZ27" s="212"/>
      <c r="AEA27" s="212"/>
      <c r="AEB27" s="212"/>
      <c r="AEC27" s="212"/>
      <c r="AED27" s="212"/>
      <c r="AEE27" s="212"/>
      <c r="AEF27" s="212"/>
      <c r="AEG27" s="212"/>
      <c r="AEH27" s="212"/>
      <c r="AEI27" s="212"/>
      <c r="AEJ27" s="212"/>
      <c r="AEK27" s="212"/>
      <c r="AEL27" s="212"/>
      <c r="AEM27" s="212"/>
      <c r="AEN27" s="212"/>
      <c r="AEO27" s="212"/>
      <c r="AEP27" s="212"/>
      <c r="AEQ27" s="212"/>
      <c r="AER27" s="212"/>
      <c r="AES27" s="212"/>
      <c r="AET27" s="212"/>
      <c r="AEU27" s="212"/>
      <c r="AEV27" s="212"/>
      <c r="AEW27" s="212"/>
      <c r="AEX27" s="212"/>
      <c r="AEY27" s="212"/>
      <c r="AEZ27" s="212"/>
      <c r="AFA27" s="212"/>
      <c r="AFB27" s="212"/>
      <c r="AFC27" s="212"/>
      <c r="AFD27" s="212"/>
      <c r="AFE27" s="212"/>
      <c r="AFF27" s="212"/>
      <c r="AFG27" s="212"/>
      <c r="AFH27" s="212"/>
      <c r="AFI27" s="212"/>
      <c r="AFJ27" s="212"/>
      <c r="AFK27" s="212"/>
      <c r="AFL27" s="212"/>
      <c r="AFM27" s="212"/>
      <c r="AFN27" s="212"/>
      <c r="AFO27" s="212"/>
      <c r="AFP27" s="212"/>
      <c r="AFQ27" s="212"/>
      <c r="AFR27" s="212"/>
      <c r="AFS27" s="212"/>
      <c r="AFT27" s="212"/>
      <c r="AFU27" s="212"/>
      <c r="AFV27" s="212"/>
      <c r="AFW27" s="212"/>
      <c r="AFX27" s="212"/>
      <c r="AFY27" s="212"/>
      <c r="AFZ27" s="212"/>
      <c r="AGA27" s="212"/>
      <c r="AGB27" s="212"/>
      <c r="AGC27" s="212"/>
      <c r="AGD27" s="212"/>
      <c r="AGE27" s="212"/>
      <c r="AGF27" s="212"/>
      <c r="AGG27" s="212"/>
      <c r="AGH27" s="212"/>
      <c r="AGI27" s="212"/>
      <c r="AGJ27" s="212"/>
      <c r="AGK27" s="212"/>
      <c r="AGL27" s="212"/>
      <c r="AGM27" s="212"/>
      <c r="AGN27" s="212"/>
      <c r="AGO27" s="212"/>
      <c r="AGP27" s="212"/>
      <c r="AGQ27" s="212"/>
      <c r="AGR27" s="212"/>
      <c r="AGS27" s="212"/>
      <c r="AGT27" s="212"/>
      <c r="AGU27" s="212"/>
      <c r="AGV27" s="212"/>
      <c r="AGW27" s="212"/>
      <c r="AGX27" s="212"/>
      <c r="AGY27" s="212"/>
      <c r="AGZ27" s="212"/>
      <c r="AHA27" s="212"/>
      <c r="AHB27" s="212"/>
      <c r="AHC27" s="212"/>
      <c r="AHD27" s="212"/>
      <c r="AHE27" s="212"/>
      <c r="AHF27" s="212"/>
      <c r="AHG27" s="212"/>
      <c r="AHH27" s="212"/>
      <c r="AHI27" s="212"/>
      <c r="AHJ27" s="212"/>
      <c r="AHK27" s="212"/>
      <c r="AHL27" s="212"/>
      <c r="AHM27" s="212"/>
      <c r="AHN27" s="212"/>
      <c r="AHO27" s="212"/>
      <c r="AHP27" s="212"/>
      <c r="AHQ27" s="212"/>
      <c r="AHR27" s="212"/>
      <c r="AHS27" s="212"/>
      <c r="AHT27" s="212"/>
      <c r="AHU27" s="212"/>
      <c r="AHV27" s="212"/>
      <c r="AHW27" s="212"/>
      <c r="AHX27" s="212"/>
      <c r="AHY27" s="212"/>
      <c r="AHZ27" s="212"/>
      <c r="AIA27" s="212"/>
      <c r="AIB27" s="212"/>
      <c r="AIC27" s="212"/>
      <c r="AID27" s="212"/>
      <c r="AIE27" s="212"/>
      <c r="AIF27" s="212"/>
      <c r="AIG27" s="212"/>
      <c r="AIH27" s="212"/>
      <c r="AII27" s="212"/>
      <c r="AIJ27" s="212"/>
      <c r="AIK27" s="212"/>
      <c r="AIL27" s="212"/>
      <c r="AIM27" s="212"/>
      <c r="AIN27" s="212"/>
      <c r="AIO27" s="212"/>
      <c r="AIP27" s="212"/>
      <c r="AIQ27" s="212"/>
      <c r="AIR27" s="212"/>
      <c r="AIS27" s="212"/>
      <c r="AIT27" s="212"/>
      <c r="AIU27" s="212"/>
      <c r="AIV27" s="212"/>
      <c r="AIW27" s="212"/>
      <c r="AIX27" s="212"/>
      <c r="AIY27" s="212"/>
      <c r="AIZ27" s="212"/>
      <c r="AJA27" s="212"/>
      <c r="AJB27" s="212"/>
      <c r="AJC27" s="212"/>
      <c r="AJD27" s="212"/>
      <c r="AJE27" s="212"/>
      <c r="AJF27" s="212"/>
      <c r="AJG27" s="212"/>
      <c r="AJH27" s="212"/>
      <c r="AJI27" s="212"/>
      <c r="AJJ27" s="212"/>
      <c r="AJK27" s="212"/>
      <c r="AJL27" s="212"/>
      <c r="AJM27" s="212"/>
      <c r="AJN27" s="212"/>
      <c r="AJO27" s="212"/>
      <c r="AJP27" s="212"/>
      <c r="AJQ27" s="212"/>
      <c r="AJR27" s="212"/>
      <c r="AJS27" s="212"/>
      <c r="AJT27" s="212"/>
      <c r="AJU27" s="212"/>
      <c r="AJV27" s="212"/>
      <c r="AJW27" s="212"/>
      <c r="AJX27" s="212"/>
      <c r="AJY27" s="212"/>
      <c r="AJZ27" s="212"/>
      <c r="AKA27" s="212"/>
      <c r="AKB27" s="212"/>
      <c r="AKC27" s="212"/>
      <c r="AKD27" s="212"/>
      <c r="AKE27" s="212"/>
      <c r="AKF27" s="212"/>
      <c r="AKG27" s="212"/>
      <c r="AKH27" s="212"/>
      <c r="AKI27" s="212"/>
      <c r="AKJ27" s="212"/>
      <c r="AKK27" s="212"/>
      <c r="AKL27" s="212"/>
      <c r="AKM27" s="212"/>
      <c r="AKN27" s="212"/>
      <c r="AKO27" s="212"/>
      <c r="AKP27" s="212"/>
      <c r="AKQ27" s="212"/>
      <c r="AKR27" s="212"/>
      <c r="AKS27" s="212"/>
      <c r="AKT27" s="212"/>
      <c r="AKU27" s="212"/>
      <c r="AKV27" s="212"/>
      <c r="AKW27" s="212"/>
      <c r="AKX27" s="212"/>
      <c r="AKY27" s="212"/>
      <c r="AKZ27" s="212"/>
      <c r="ALA27" s="212"/>
      <c r="ALB27" s="212"/>
      <c r="ALC27" s="212"/>
      <c r="ALD27" s="212"/>
      <c r="ALE27" s="212"/>
      <c r="ALF27" s="212"/>
      <c r="ALG27" s="212"/>
      <c r="ALH27" s="212"/>
      <c r="ALI27" s="212"/>
      <c r="ALJ27" s="212"/>
      <c r="ALK27" s="212"/>
      <c r="ALL27" s="212"/>
      <c r="ALM27" s="212"/>
      <c r="ALN27" s="212"/>
      <c r="ALO27" s="212"/>
      <c r="ALP27" s="212"/>
      <c r="ALQ27" s="212"/>
      <c r="ALR27" s="212"/>
      <c r="ALS27" s="212"/>
      <c r="ALT27" s="212"/>
      <c r="ALU27" s="212"/>
      <c r="ALV27" s="212"/>
      <c r="ALW27" s="212"/>
      <c r="ALX27" s="212"/>
      <c r="ALY27" s="212"/>
      <c r="ALZ27" s="212"/>
      <c r="AMA27" s="212"/>
      <c r="AMB27" s="212"/>
      <c r="AMC27" s="212"/>
      <c r="AMD27" s="212"/>
      <c r="AME27" s="212"/>
      <c r="AMF27" s="212"/>
      <c r="AMG27" s="212"/>
      <c r="AMH27" s="212"/>
      <c r="AMI27" s="212"/>
      <c r="AMJ27" s="212"/>
      <c r="AMK27" s="212"/>
      <c r="AML27" s="212"/>
      <c r="AMM27" s="212"/>
      <c r="AMN27" s="212"/>
      <c r="AMO27" s="212"/>
      <c r="AMP27" s="212"/>
      <c r="AMQ27" s="212"/>
      <c r="AMR27" s="212"/>
      <c r="AMS27" s="212"/>
      <c r="AMT27" s="212"/>
      <c r="AMU27" s="212"/>
      <c r="AMV27" s="212"/>
      <c r="AMW27" s="212"/>
      <c r="AMX27" s="212"/>
      <c r="AMY27" s="212"/>
      <c r="AMZ27" s="212"/>
      <c r="ANA27" s="212"/>
      <c r="ANB27" s="212"/>
      <c r="ANC27" s="212"/>
      <c r="AND27" s="212"/>
      <c r="ANE27" s="212"/>
      <c r="ANF27" s="212"/>
      <c r="ANG27" s="212"/>
      <c r="ANH27" s="212"/>
      <c r="ANI27" s="212"/>
      <c r="ANJ27" s="212"/>
      <c r="ANK27" s="212"/>
      <c r="ANL27" s="212"/>
      <c r="ANM27" s="212"/>
      <c r="ANN27" s="212"/>
      <c r="ANO27" s="212"/>
      <c r="ANP27" s="212"/>
      <c r="ANQ27" s="212"/>
      <c r="ANR27" s="212"/>
      <c r="ANS27" s="212"/>
      <c r="ANT27" s="212"/>
      <c r="ANU27" s="212"/>
      <c r="ANV27" s="212"/>
      <c r="ANW27" s="212"/>
      <c r="ANX27" s="212"/>
      <c r="ANY27" s="212"/>
      <c r="ANZ27" s="212"/>
      <c r="AOA27" s="212"/>
      <c r="AOB27" s="212"/>
      <c r="AOC27" s="212"/>
      <c r="AOD27" s="212"/>
      <c r="AOE27" s="212"/>
      <c r="AOF27" s="212"/>
      <c r="AOG27" s="212"/>
      <c r="AOH27" s="212"/>
      <c r="AOI27" s="212"/>
      <c r="AOJ27" s="212"/>
      <c r="AOK27" s="212"/>
      <c r="AOL27" s="212"/>
      <c r="AOM27" s="212"/>
      <c r="AON27" s="212"/>
      <c r="AOO27" s="212"/>
      <c r="AOP27" s="212"/>
      <c r="AOQ27" s="212"/>
      <c r="AOR27" s="212"/>
      <c r="AOS27" s="212"/>
      <c r="AOT27" s="212"/>
      <c r="AOU27" s="212"/>
      <c r="AOV27" s="212"/>
      <c r="AOW27" s="212"/>
      <c r="AOX27" s="212"/>
      <c r="AOY27" s="212"/>
      <c r="AOZ27" s="212"/>
      <c r="APA27" s="212"/>
      <c r="APB27" s="212"/>
      <c r="APC27" s="212"/>
      <c r="APD27" s="212"/>
      <c r="APE27" s="212"/>
      <c r="APF27" s="212"/>
      <c r="APG27" s="212"/>
      <c r="APH27" s="212"/>
      <c r="API27" s="212"/>
      <c r="APJ27" s="212"/>
      <c r="APK27" s="212"/>
      <c r="APL27" s="212"/>
      <c r="APM27" s="212"/>
      <c r="APN27" s="212"/>
      <c r="APO27" s="212"/>
      <c r="APP27" s="212"/>
      <c r="APQ27" s="212"/>
      <c r="APR27" s="212"/>
      <c r="APS27" s="212"/>
      <c r="APT27" s="212"/>
      <c r="APU27" s="212"/>
      <c r="APV27" s="212"/>
      <c r="APW27" s="212"/>
      <c r="APX27" s="212"/>
      <c r="APY27" s="212"/>
      <c r="APZ27" s="212"/>
      <c r="AQA27" s="212"/>
      <c r="AQB27" s="212"/>
      <c r="AQC27" s="212"/>
      <c r="AQD27" s="212"/>
      <c r="AQE27" s="212"/>
      <c r="AQF27" s="212"/>
      <c r="AQG27" s="212"/>
      <c r="AQH27" s="212"/>
      <c r="AQI27" s="212"/>
      <c r="AQJ27" s="212"/>
      <c r="AQK27" s="212"/>
      <c r="AQL27" s="212"/>
      <c r="AQM27" s="212"/>
      <c r="AQN27" s="212"/>
      <c r="AQO27" s="212"/>
      <c r="AQP27" s="212"/>
      <c r="AQQ27" s="212"/>
      <c r="AQR27" s="212"/>
      <c r="AQS27" s="212"/>
      <c r="AQT27" s="212"/>
      <c r="AQU27" s="212"/>
      <c r="AQV27" s="212"/>
      <c r="AQW27" s="212"/>
      <c r="AQX27" s="212"/>
      <c r="AQY27" s="212"/>
      <c r="AQZ27" s="212"/>
      <c r="ARA27" s="212"/>
      <c r="ARB27" s="212"/>
      <c r="ARC27" s="212"/>
      <c r="ARD27" s="212"/>
      <c r="ARE27" s="212"/>
      <c r="ARF27" s="212"/>
      <c r="ARG27" s="212"/>
      <c r="ARH27" s="212"/>
      <c r="ARI27" s="212"/>
      <c r="ARJ27" s="212"/>
      <c r="ARK27" s="212"/>
      <c r="ARL27" s="212"/>
      <c r="ARM27" s="212"/>
      <c r="ARN27" s="212"/>
      <c r="ARO27" s="212"/>
      <c r="ARP27" s="212"/>
      <c r="ARQ27" s="212"/>
      <c r="ARR27" s="212"/>
      <c r="ARS27" s="212"/>
      <c r="ART27" s="212"/>
      <c r="ARU27" s="212"/>
      <c r="ARV27" s="212"/>
      <c r="ARW27" s="212"/>
      <c r="ARX27" s="212"/>
      <c r="ARY27" s="212"/>
      <c r="ARZ27" s="212"/>
      <c r="ASA27" s="212"/>
      <c r="ASB27" s="212"/>
      <c r="ASC27" s="212"/>
      <c r="ASD27" s="212"/>
      <c r="ASE27" s="212"/>
      <c r="ASF27" s="212"/>
      <c r="ASG27" s="212"/>
      <c r="ASH27" s="212"/>
      <c r="ASI27" s="212"/>
      <c r="ASJ27" s="212"/>
      <c r="ASK27" s="212"/>
      <c r="ASL27" s="212"/>
      <c r="ASM27" s="212"/>
      <c r="ASN27" s="212"/>
      <c r="ASO27" s="212"/>
      <c r="ASP27" s="212"/>
      <c r="ASQ27" s="212"/>
      <c r="ASR27" s="212"/>
      <c r="ASS27" s="212"/>
      <c r="AST27" s="212"/>
      <c r="ASU27" s="212"/>
      <c r="ASV27" s="212"/>
      <c r="ASW27" s="212"/>
      <c r="ASX27" s="212"/>
      <c r="ASY27" s="212"/>
      <c r="ASZ27" s="212"/>
      <c r="ATA27" s="212"/>
      <c r="ATB27" s="212"/>
      <c r="ATC27" s="212"/>
      <c r="ATD27" s="212"/>
      <c r="ATE27" s="212"/>
      <c r="ATF27" s="212"/>
      <c r="ATG27" s="212"/>
      <c r="ATH27" s="212"/>
      <c r="ATI27" s="212"/>
      <c r="ATJ27" s="212"/>
      <c r="ATK27" s="212"/>
      <c r="ATL27" s="212"/>
      <c r="ATM27" s="212"/>
      <c r="ATN27" s="212"/>
      <c r="ATO27" s="212"/>
      <c r="ATP27" s="212"/>
      <c r="ATQ27" s="212"/>
      <c r="ATR27" s="212"/>
      <c r="ATS27" s="212"/>
      <c r="ATT27" s="212"/>
      <c r="ATU27" s="212"/>
      <c r="ATV27" s="212"/>
      <c r="ATW27" s="212"/>
      <c r="ATX27" s="212"/>
      <c r="ATY27" s="212"/>
      <c r="ATZ27" s="212"/>
      <c r="AUA27" s="212"/>
      <c r="AUB27" s="212"/>
      <c r="AUC27" s="212"/>
      <c r="AUD27" s="212"/>
      <c r="AUE27" s="212"/>
      <c r="AUF27" s="212"/>
      <c r="AUG27" s="212"/>
      <c r="AUH27" s="212"/>
      <c r="AUI27" s="212"/>
      <c r="AUJ27" s="212"/>
      <c r="AUK27" s="212"/>
      <c r="AUL27" s="212"/>
      <c r="AUM27" s="212"/>
      <c r="AUN27" s="212"/>
      <c r="AUO27" s="212"/>
      <c r="AUP27" s="212"/>
      <c r="AUQ27" s="212"/>
      <c r="AUR27" s="212"/>
      <c r="AUS27" s="212"/>
      <c r="AUT27" s="212"/>
      <c r="AUU27" s="212"/>
      <c r="AUV27" s="212"/>
      <c r="AUW27" s="212"/>
      <c r="AUX27" s="212"/>
      <c r="AUY27" s="212"/>
      <c r="AUZ27" s="212"/>
      <c r="AVA27" s="212"/>
      <c r="AVB27" s="212"/>
      <c r="AVC27" s="212"/>
      <c r="AVD27" s="212"/>
      <c r="AVE27" s="212"/>
      <c r="AVF27" s="212"/>
      <c r="AVG27" s="212"/>
      <c r="AVH27" s="212"/>
      <c r="AVI27" s="212"/>
      <c r="AVJ27" s="212"/>
      <c r="AVK27" s="212"/>
      <c r="AVL27" s="212"/>
      <c r="AVM27" s="212"/>
      <c r="AVN27" s="212"/>
      <c r="AVO27" s="212"/>
      <c r="AVP27" s="212"/>
      <c r="AVQ27" s="212"/>
      <c r="AVR27" s="212"/>
      <c r="AVS27" s="212"/>
      <c r="AVT27" s="212"/>
      <c r="AVU27" s="212"/>
      <c r="AVV27" s="212"/>
      <c r="AVW27" s="212"/>
      <c r="AVX27" s="212"/>
      <c r="AVY27" s="212"/>
      <c r="AVZ27" s="212"/>
      <c r="AWA27" s="212"/>
      <c r="AWB27" s="212"/>
      <c r="AWC27" s="212"/>
      <c r="AWD27" s="212"/>
      <c r="AWE27" s="212"/>
      <c r="AWF27" s="212"/>
      <c r="AWG27" s="212"/>
      <c r="AWH27" s="212"/>
      <c r="AWI27" s="212"/>
      <c r="AWJ27" s="212"/>
      <c r="AWK27" s="212"/>
      <c r="AWL27" s="212"/>
      <c r="AWM27" s="212"/>
      <c r="AWN27" s="212"/>
      <c r="AWO27" s="212"/>
      <c r="AWP27" s="212"/>
      <c r="AWQ27" s="212"/>
      <c r="AWR27" s="212"/>
      <c r="AWS27" s="212"/>
      <c r="AWT27" s="212"/>
      <c r="AWU27" s="212"/>
      <c r="AWV27" s="212"/>
      <c r="AWW27" s="212"/>
      <c r="AWX27" s="212"/>
      <c r="AWY27" s="212"/>
      <c r="AWZ27" s="212"/>
      <c r="AXA27" s="212"/>
      <c r="AXB27" s="212"/>
      <c r="AXC27" s="212"/>
      <c r="AXD27" s="212"/>
      <c r="AXE27" s="212"/>
      <c r="AXF27" s="212"/>
      <c r="AXG27" s="212"/>
      <c r="AXH27" s="212"/>
      <c r="AXI27" s="212"/>
      <c r="AXJ27" s="212"/>
      <c r="AXK27" s="212"/>
      <c r="AXL27" s="212"/>
      <c r="AXM27" s="212"/>
      <c r="AXN27" s="212"/>
      <c r="AXO27" s="212"/>
      <c r="AXP27" s="212"/>
      <c r="AXQ27" s="212"/>
      <c r="AXR27" s="212"/>
      <c r="AXS27" s="212"/>
      <c r="AXT27" s="212"/>
      <c r="AXU27" s="212"/>
      <c r="AXV27" s="212"/>
      <c r="AXW27" s="212"/>
      <c r="AXX27" s="212"/>
      <c r="AXY27" s="212"/>
      <c r="AXZ27" s="212"/>
      <c r="AYA27" s="212"/>
      <c r="AYB27" s="212"/>
      <c r="AYC27" s="212"/>
      <c r="AYD27" s="212"/>
      <c r="AYE27" s="212"/>
      <c r="AYF27" s="212"/>
      <c r="AYG27" s="212"/>
      <c r="AYH27" s="212"/>
      <c r="AYI27" s="212"/>
      <c r="AYJ27" s="212"/>
      <c r="AYK27" s="212"/>
      <c r="AYL27" s="212"/>
      <c r="AYM27" s="212"/>
      <c r="AYN27" s="212"/>
      <c r="AYO27" s="212"/>
      <c r="AYP27" s="212"/>
      <c r="AYQ27" s="212"/>
      <c r="AYR27" s="212"/>
      <c r="AYS27" s="212"/>
      <c r="AYT27" s="212"/>
      <c r="AYU27" s="212"/>
      <c r="AYV27" s="212"/>
      <c r="AYW27" s="212"/>
      <c r="AYX27" s="212"/>
      <c r="AYY27" s="212"/>
      <c r="AYZ27" s="212"/>
      <c r="AZA27" s="212"/>
      <c r="AZB27" s="212"/>
      <c r="AZC27" s="212"/>
      <c r="AZD27" s="212"/>
      <c r="AZE27" s="212"/>
      <c r="AZF27" s="212"/>
      <c r="AZG27" s="212"/>
      <c r="AZH27" s="212"/>
      <c r="AZI27" s="212"/>
      <c r="AZJ27" s="212"/>
      <c r="AZK27" s="212"/>
      <c r="AZL27" s="212"/>
      <c r="AZM27" s="212"/>
      <c r="AZN27" s="212"/>
      <c r="AZO27" s="212"/>
      <c r="AZP27" s="212"/>
      <c r="AZQ27" s="212"/>
      <c r="AZR27" s="212"/>
      <c r="AZS27" s="212"/>
      <c r="AZT27" s="212"/>
      <c r="AZU27" s="212"/>
      <c r="AZV27" s="212"/>
      <c r="AZW27" s="212"/>
      <c r="AZX27" s="212"/>
      <c r="AZY27" s="212"/>
      <c r="AZZ27" s="212"/>
      <c r="BAA27" s="212"/>
      <c r="BAB27" s="212"/>
      <c r="BAC27" s="212"/>
      <c r="BAD27" s="212"/>
      <c r="BAE27" s="212"/>
      <c r="BAF27" s="212"/>
      <c r="BAG27" s="212"/>
      <c r="BAH27" s="212"/>
      <c r="BAI27" s="212"/>
      <c r="BAJ27" s="212"/>
      <c r="BAK27" s="212"/>
      <c r="BAL27" s="212"/>
      <c r="BAM27" s="212"/>
      <c r="BAN27" s="212"/>
      <c r="BAO27" s="212"/>
      <c r="BAP27" s="212"/>
      <c r="BAQ27" s="212"/>
      <c r="BAR27" s="212"/>
      <c r="BAS27" s="212"/>
      <c r="BAT27" s="212"/>
      <c r="BAU27" s="212"/>
      <c r="BAV27" s="212"/>
      <c r="BAW27" s="212"/>
      <c r="BAX27" s="212"/>
      <c r="BAY27" s="212"/>
      <c r="BAZ27" s="212"/>
      <c r="BBA27" s="212"/>
      <c r="BBB27" s="212"/>
      <c r="BBC27" s="212"/>
      <c r="BBD27" s="212"/>
      <c r="BBE27" s="212"/>
      <c r="BBF27" s="212"/>
      <c r="BBG27" s="212"/>
      <c r="BBH27" s="212"/>
      <c r="BBI27" s="212"/>
      <c r="BBJ27" s="212"/>
      <c r="BBK27" s="212"/>
      <c r="BBL27" s="212"/>
      <c r="BBM27" s="212"/>
      <c r="BBN27" s="212"/>
      <c r="BBO27" s="212"/>
      <c r="BBP27" s="212"/>
      <c r="BBQ27" s="212"/>
      <c r="BBR27" s="212"/>
      <c r="BBS27" s="212"/>
      <c r="BBT27" s="212"/>
      <c r="BBU27" s="212"/>
      <c r="BBV27" s="212"/>
      <c r="BBW27" s="212"/>
      <c r="BBX27" s="212"/>
      <c r="BBY27" s="212"/>
      <c r="BBZ27" s="212"/>
      <c r="BCA27" s="212"/>
      <c r="BCB27" s="212"/>
      <c r="BCC27" s="212"/>
      <c r="BCD27" s="212"/>
      <c r="BCE27" s="212"/>
      <c r="BCF27" s="212"/>
      <c r="BCG27" s="212"/>
      <c r="BCH27" s="212"/>
      <c r="BCI27" s="212"/>
      <c r="BCJ27" s="212"/>
      <c r="BCK27" s="212"/>
      <c r="BCL27" s="212"/>
      <c r="BCM27" s="212"/>
      <c r="BCN27" s="212"/>
      <c r="BCO27" s="212"/>
      <c r="BCP27" s="212"/>
      <c r="BCQ27" s="212"/>
      <c r="BCR27" s="212"/>
      <c r="BCS27" s="212"/>
      <c r="BCT27" s="212"/>
      <c r="BCU27" s="212"/>
      <c r="BCV27" s="212"/>
      <c r="BCW27" s="212"/>
      <c r="BCX27" s="212"/>
      <c r="BCY27" s="212"/>
      <c r="BCZ27" s="212"/>
      <c r="BDA27" s="212"/>
      <c r="BDB27" s="212"/>
      <c r="BDC27" s="212"/>
      <c r="BDD27" s="212"/>
      <c r="BDE27" s="212"/>
      <c r="BDF27" s="212"/>
      <c r="BDG27" s="212"/>
      <c r="BDH27" s="212"/>
      <c r="BDI27" s="212"/>
      <c r="BDJ27" s="212"/>
      <c r="BDK27" s="212"/>
      <c r="BDL27" s="212"/>
      <c r="BDM27" s="212"/>
      <c r="BDN27" s="212"/>
      <c r="BDO27" s="212"/>
      <c r="BDP27" s="212"/>
      <c r="BDQ27" s="212"/>
      <c r="BDR27" s="212"/>
      <c r="BDS27" s="212"/>
      <c r="BDT27" s="212"/>
      <c r="BDU27" s="212"/>
      <c r="BDV27" s="212"/>
      <c r="BDW27" s="212"/>
      <c r="BDX27" s="212"/>
      <c r="BDY27" s="212"/>
      <c r="BDZ27" s="212"/>
      <c r="BEA27" s="212"/>
      <c r="BEB27" s="212"/>
      <c r="BEC27" s="212"/>
      <c r="BED27" s="212"/>
      <c r="BEE27" s="212"/>
      <c r="BEF27" s="212"/>
      <c r="BEG27" s="212"/>
      <c r="BEH27" s="212"/>
      <c r="BEI27" s="212"/>
      <c r="BEJ27" s="212"/>
      <c r="BEK27" s="212"/>
      <c r="BEL27" s="212"/>
      <c r="BEM27" s="212"/>
      <c r="BEN27" s="212"/>
      <c r="BEO27" s="212"/>
      <c r="BEP27" s="212"/>
      <c r="BEQ27" s="212"/>
      <c r="BER27" s="212"/>
      <c r="BES27" s="212"/>
      <c r="BET27" s="212"/>
      <c r="BEU27" s="212"/>
      <c r="BEV27" s="212"/>
      <c r="BEW27" s="212"/>
      <c r="BEX27" s="212"/>
      <c r="BEY27" s="212"/>
      <c r="BEZ27" s="212"/>
      <c r="BFA27" s="212"/>
      <c r="BFB27" s="212"/>
      <c r="BFC27" s="212"/>
      <c r="BFD27" s="212"/>
      <c r="BFE27" s="212"/>
      <c r="BFF27" s="212"/>
      <c r="BFG27" s="212"/>
      <c r="BFH27" s="212"/>
      <c r="BFI27" s="212"/>
      <c r="BFJ27" s="212"/>
      <c r="BFK27" s="212"/>
      <c r="BFL27" s="212"/>
      <c r="BFM27" s="212"/>
      <c r="BFN27" s="212"/>
      <c r="BFO27" s="212"/>
      <c r="BFP27" s="212"/>
      <c r="BFQ27" s="212"/>
      <c r="BFR27" s="212"/>
      <c r="BFS27" s="212"/>
      <c r="BFT27" s="212"/>
      <c r="BFU27" s="212"/>
      <c r="BFV27" s="212"/>
      <c r="BFW27" s="212"/>
      <c r="BFX27" s="212"/>
      <c r="BFY27" s="212"/>
      <c r="BFZ27" s="212"/>
      <c r="BGA27" s="212"/>
      <c r="BGB27" s="212"/>
      <c r="BGC27" s="212"/>
      <c r="BGD27" s="212"/>
      <c r="BGE27" s="212"/>
      <c r="BGF27" s="212"/>
      <c r="BGG27" s="212"/>
      <c r="BGH27" s="212"/>
      <c r="BGI27" s="212"/>
      <c r="BGJ27" s="212"/>
      <c r="BGK27" s="212"/>
      <c r="BGL27" s="212"/>
      <c r="BGM27" s="212"/>
      <c r="BGN27" s="212"/>
      <c r="BGO27" s="212"/>
      <c r="BGP27" s="212"/>
      <c r="BGQ27" s="212"/>
      <c r="BGR27" s="212"/>
      <c r="BGS27" s="212"/>
      <c r="BGT27" s="212"/>
      <c r="BGU27" s="212"/>
      <c r="BGV27" s="212"/>
      <c r="BGW27" s="212"/>
      <c r="BGX27" s="212"/>
      <c r="BGY27" s="212"/>
      <c r="BGZ27" s="212"/>
      <c r="BHA27" s="212"/>
      <c r="BHB27" s="212"/>
      <c r="BHC27" s="212"/>
      <c r="BHD27" s="212"/>
      <c r="BHE27" s="212"/>
      <c r="BHF27" s="212"/>
      <c r="BHG27" s="212"/>
      <c r="BHH27" s="212"/>
      <c r="BHI27" s="212"/>
      <c r="BHJ27" s="212"/>
      <c r="BHK27" s="212"/>
      <c r="BHL27" s="212"/>
      <c r="BHM27" s="212"/>
      <c r="BHN27" s="212"/>
      <c r="BHO27" s="212"/>
      <c r="BHP27" s="212"/>
      <c r="BHQ27" s="212"/>
      <c r="BHR27" s="212"/>
      <c r="BHS27" s="212"/>
      <c r="BHT27" s="212"/>
      <c r="BHU27" s="212"/>
      <c r="BHV27" s="212"/>
      <c r="BHW27" s="212"/>
      <c r="BHX27" s="212"/>
      <c r="BHY27" s="212"/>
      <c r="BHZ27" s="212"/>
      <c r="BIA27" s="212"/>
      <c r="BIB27" s="212"/>
      <c r="BIC27" s="212"/>
      <c r="BID27" s="212"/>
      <c r="BIE27" s="212"/>
      <c r="BIF27" s="212"/>
      <c r="BIG27" s="212"/>
      <c r="BIH27" s="212"/>
      <c r="BII27" s="212"/>
      <c r="BIJ27" s="212"/>
      <c r="BIK27" s="212"/>
      <c r="BIL27" s="212"/>
      <c r="BIM27" s="212"/>
      <c r="BIN27" s="212"/>
      <c r="BIO27" s="212"/>
      <c r="BIP27" s="212"/>
      <c r="BIQ27" s="212"/>
      <c r="BIR27" s="212"/>
      <c r="BIS27" s="212"/>
      <c r="BIT27" s="212"/>
      <c r="BIU27" s="212"/>
      <c r="BIV27" s="212"/>
      <c r="BIW27" s="212"/>
      <c r="BIX27" s="212"/>
      <c r="BIY27" s="212"/>
      <c r="BIZ27" s="212"/>
      <c r="BJA27" s="212"/>
      <c r="BJB27" s="212"/>
      <c r="BJC27" s="212"/>
      <c r="BJD27" s="212"/>
      <c r="BJE27" s="212"/>
      <c r="BJF27" s="212"/>
      <c r="BJG27" s="212"/>
      <c r="BJH27" s="212"/>
      <c r="BJI27" s="212"/>
      <c r="BJJ27" s="212"/>
      <c r="BJK27" s="212"/>
      <c r="BJL27" s="212"/>
      <c r="BJM27" s="212"/>
      <c r="BJN27" s="212"/>
      <c r="BJO27" s="212"/>
      <c r="BJP27" s="212"/>
      <c r="BJQ27" s="212"/>
      <c r="BJR27" s="212"/>
      <c r="BJS27" s="212"/>
      <c r="BJT27" s="212"/>
      <c r="BJU27" s="212"/>
      <c r="BJV27" s="212"/>
      <c r="BJW27" s="212"/>
      <c r="BJX27" s="212"/>
      <c r="BJY27" s="212"/>
      <c r="BJZ27" s="212"/>
      <c r="BKA27" s="212"/>
      <c r="BKB27" s="212"/>
      <c r="BKC27" s="212"/>
      <c r="BKD27" s="212"/>
      <c r="BKE27" s="212"/>
      <c r="BKF27" s="212"/>
      <c r="BKG27" s="212"/>
      <c r="BKH27" s="212"/>
      <c r="BKI27" s="212"/>
      <c r="BKJ27" s="212"/>
      <c r="BKK27" s="212"/>
      <c r="BKL27" s="212"/>
      <c r="BKM27" s="212"/>
      <c r="BKN27" s="212"/>
      <c r="BKO27" s="212"/>
      <c r="BKP27" s="212"/>
      <c r="BKQ27" s="212"/>
      <c r="BKR27" s="212"/>
      <c r="BKS27" s="212"/>
      <c r="BKT27" s="212"/>
      <c r="BKU27" s="212"/>
      <c r="BKV27" s="212"/>
      <c r="BKW27" s="212"/>
      <c r="BKX27" s="212"/>
      <c r="BKY27" s="212"/>
      <c r="BKZ27" s="212"/>
      <c r="BLA27" s="212"/>
      <c r="BLB27" s="212"/>
      <c r="BLC27" s="212"/>
      <c r="BLD27" s="212"/>
      <c r="BLE27" s="212"/>
      <c r="BLF27" s="212"/>
      <c r="BLG27" s="212"/>
      <c r="BLH27" s="212"/>
      <c r="BLI27" s="212"/>
      <c r="BLJ27" s="212"/>
      <c r="BLK27" s="212"/>
      <c r="BLL27" s="212"/>
      <c r="BLM27" s="212"/>
      <c r="BLN27" s="212"/>
      <c r="BLO27" s="212"/>
      <c r="BLP27" s="212"/>
      <c r="BLQ27" s="212"/>
      <c r="BLR27" s="212"/>
      <c r="BLS27" s="212"/>
      <c r="BLT27" s="212"/>
      <c r="BLU27" s="212"/>
      <c r="BLV27" s="212"/>
      <c r="BLW27" s="212"/>
      <c r="BLX27" s="212"/>
      <c r="BLY27" s="212"/>
      <c r="BLZ27" s="212"/>
      <c r="BMA27" s="212"/>
      <c r="BMB27" s="212"/>
      <c r="BMC27" s="212"/>
      <c r="BMD27" s="212"/>
      <c r="BME27" s="212"/>
      <c r="BMF27" s="212"/>
      <c r="BMG27" s="212"/>
      <c r="BMH27" s="212"/>
      <c r="BMI27" s="212"/>
      <c r="BMJ27" s="212"/>
      <c r="BMK27" s="212"/>
      <c r="BML27" s="212"/>
      <c r="BMM27" s="212"/>
      <c r="BMN27" s="212"/>
      <c r="BMO27" s="212"/>
      <c r="BMP27" s="212"/>
      <c r="BMQ27" s="212"/>
      <c r="BMR27" s="212"/>
      <c r="BMS27" s="212"/>
      <c r="BMT27" s="212"/>
      <c r="BMU27" s="212"/>
      <c r="BMV27" s="212"/>
      <c r="BMW27" s="212"/>
      <c r="BMX27" s="212"/>
      <c r="BMY27" s="212"/>
      <c r="BMZ27" s="212"/>
      <c r="BNA27" s="212"/>
      <c r="BNB27" s="212"/>
      <c r="BNC27" s="212"/>
      <c r="BND27" s="212"/>
      <c r="BNE27" s="212"/>
      <c r="BNF27" s="212"/>
      <c r="BNG27" s="212"/>
      <c r="BNH27" s="212"/>
      <c r="BNI27" s="212"/>
      <c r="BNJ27" s="212"/>
      <c r="BNK27" s="212"/>
      <c r="BNL27" s="212"/>
      <c r="BNM27" s="212"/>
      <c r="BNN27" s="212"/>
      <c r="BNO27" s="212"/>
      <c r="BNP27" s="212"/>
      <c r="BNQ27" s="212"/>
      <c r="BNR27" s="212"/>
      <c r="BNS27" s="212"/>
      <c r="BNT27" s="212"/>
      <c r="BNU27" s="212"/>
      <c r="BNV27" s="212"/>
      <c r="BNW27" s="212"/>
      <c r="BNX27" s="212"/>
      <c r="BNY27" s="212"/>
      <c r="BNZ27" s="212"/>
      <c r="BOA27" s="212"/>
      <c r="BOB27" s="212"/>
      <c r="BOC27" s="212"/>
      <c r="BOD27" s="212"/>
      <c r="BOE27" s="212"/>
      <c r="BOF27" s="212"/>
      <c r="BOG27" s="212"/>
      <c r="BOH27" s="212"/>
      <c r="BOI27" s="212"/>
      <c r="BOJ27" s="212"/>
      <c r="BOK27" s="212"/>
      <c r="BOL27" s="212"/>
      <c r="BOM27" s="212"/>
      <c r="BON27" s="212"/>
      <c r="BOO27" s="212"/>
      <c r="BOP27" s="212"/>
      <c r="BOQ27" s="212"/>
      <c r="BOR27" s="212"/>
      <c r="BOS27" s="212"/>
      <c r="BOT27" s="212"/>
      <c r="BOU27" s="212"/>
      <c r="BOV27" s="212"/>
      <c r="BOW27" s="212"/>
      <c r="BOX27" s="212"/>
      <c r="BOY27" s="212"/>
      <c r="BOZ27" s="212"/>
      <c r="BPA27" s="212"/>
      <c r="BPB27" s="212"/>
      <c r="BPC27" s="212"/>
      <c r="BPD27" s="212"/>
      <c r="BPE27" s="212"/>
      <c r="BPF27" s="212"/>
      <c r="BPG27" s="212"/>
      <c r="BPH27" s="212"/>
      <c r="BPI27" s="212"/>
      <c r="BPJ27" s="212"/>
      <c r="BPK27" s="212"/>
      <c r="BPL27" s="212"/>
      <c r="BPM27" s="212"/>
      <c r="BPN27" s="212"/>
      <c r="BPO27" s="212"/>
      <c r="BPP27" s="212"/>
      <c r="BPQ27" s="212"/>
      <c r="BPR27" s="212"/>
      <c r="BPS27" s="212"/>
      <c r="BPT27" s="212"/>
      <c r="BPU27" s="212"/>
      <c r="BPV27" s="212"/>
      <c r="BPW27" s="212"/>
      <c r="BPX27" s="212"/>
      <c r="BPY27" s="212"/>
      <c r="BPZ27" s="212"/>
      <c r="BQA27" s="212"/>
      <c r="BQB27" s="212"/>
      <c r="BQC27" s="212"/>
      <c r="BQD27" s="212"/>
      <c r="BQE27" s="212"/>
      <c r="BQF27" s="212"/>
      <c r="BQG27" s="212"/>
      <c r="BQH27" s="212"/>
      <c r="BQI27" s="212"/>
      <c r="BQJ27" s="212"/>
      <c r="BQK27" s="212"/>
      <c r="BQL27" s="212"/>
      <c r="BQM27" s="212"/>
      <c r="BQN27" s="212"/>
      <c r="BQO27" s="212"/>
      <c r="BQP27" s="212"/>
      <c r="BQQ27" s="212"/>
      <c r="BQR27" s="212"/>
      <c r="BQS27" s="212"/>
      <c r="BQT27" s="212"/>
      <c r="BQU27" s="212"/>
      <c r="BQV27" s="212"/>
      <c r="BQW27" s="212"/>
      <c r="BQX27" s="212"/>
      <c r="BQY27" s="212"/>
      <c r="BQZ27" s="212"/>
      <c r="BRA27" s="212"/>
      <c r="BRB27" s="212"/>
      <c r="BRC27" s="212"/>
      <c r="BRD27" s="212"/>
      <c r="BRE27" s="212"/>
      <c r="BRF27" s="212"/>
      <c r="BRG27" s="212"/>
      <c r="BRH27" s="212"/>
      <c r="BRI27" s="212"/>
      <c r="BRJ27" s="212"/>
      <c r="BRK27" s="212"/>
      <c r="BRL27" s="212"/>
      <c r="BRM27" s="212"/>
      <c r="BRN27" s="212"/>
      <c r="BRO27" s="212"/>
      <c r="BRP27" s="212"/>
      <c r="BRQ27" s="212"/>
      <c r="BRR27" s="212"/>
      <c r="BRS27" s="212"/>
      <c r="BRT27" s="212"/>
      <c r="BRU27" s="212"/>
      <c r="BRV27" s="212"/>
      <c r="BRW27" s="212"/>
      <c r="BRX27" s="212"/>
      <c r="BRY27" s="212"/>
      <c r="BRZ27" s="212"/>
      <c r="BSA27" s="212"/>
      <c r="BSB27" s="212"/>
      <c r="BSC27" s="212"/>
      <c r="BSD27" s="212"/>
      <c r="BSE27" s="212"/>
      <c r="BSF27" s="212"/>
      <c r="BSG27" s="212"/>
      <c r="BSH27" s="212"/>
      <c r="BSI27" s="212"/>
      <c r="BSJ27" s="212"/>
      <c r="BSK27" s="212"/>
      <c r="BSL27" s="212"/>
      <c r="BSM27" s="212"/>
      <c r="BSN27" s="212"/>
      <c r="BSO27" s="212"/>
      <c r="BSP27" s="212"/>
      <c r="BSQ27" s="212"/>
      <c r="BSR27" s="212"/>
      <c r="BSS27" s="212"/>
      <c r="BST27" s="212"/>
      <c r="BSU27" s="212"/>
      <c r="BSV27" s="212"/>
      <c r="BSW27" s="212"/>
      <c r="BSX27" s="212"/>
      <c r="BSY27" s="212"/>
      <c r="BSZ27" s="212"/>
      <c r="BTA27" s="212"/>
      <c r="BTB27" s="212"/>
      <c r="BTC27" s="212"/>
      <c r="BTD27" s="212"/>
      <c r="BTE27" s="212"/>
      <c r="BTF27" s="212"/>
      <c r="BTG27" s="212"/>
      <c r="BTH27" s="212"/>
      <c r="BTI27" s="212"/>
      <c r="BTJ27" s="212"/>
      <c r="BTK27" s="212"/>
      <c r="BTL27" s="212"/>
      <c r="BTM27" s="212"/>
      <c r="BTN27" s="212"/>
      <c r="BTO27" s="212"/>
      <c r="BTP27" s="212"/>
      <c r="BTQ27" s="212"/>
      <c r="BTR27" s="212"/>
      <c r="BTS27" s="212"/>
      <c r="BTT27" s="212"/>
      <c r="BTU27" s="212"/>
      <c r="BTV27" s="212"/>
      <c r="BTW27" s="212"/>
      <c r="BTX27" s="212"/>
      <c r="BTY27" s="212"/>
      <c r="BTZ27" s="212"/>
      <c r="BUA27" s="212"/>
      <c r="BUB27" s="212"/>
      <c r="BUC27" s="212"/>
      <c r="BUD27" s="212"/>
      <c r="BUE27" s="212"/>
      <c r="BUF27" s="212"/>
      <c r="BUG27" s="212"/>
      <c r="BUH27" s="212"/>
      <c r="BUI27" s="212"/>
      <c r="BUJ27" s="212"/>
      <c r="BUK27" s="212"/>
      <c r="BUL27" s="212"/>
      <c r="BUM27" s="212"/>
      <c r="BUN27" s="212"/>
      <c r="BUO27" s="212"/>
      <c r="BUP27" s="212"/>
      <c r="BUQ27" s="212"/>
      <c r="BUR27" s="212"/>
      <c r="BUS27" s="212"/>
      <c r="BUT27" s="212"/>
      <c r="BUU27" s="212"/>
      <c r="BUV27" s="212"/>
      <c r="BUW27" s="212"/>
      <c r="BUX27" s="212"/>
      <c r="BUY27" s="212"/>
      <c r="BUZ27" s="212"/>
      <c r="BVA27" s="212"/>
      <c r="BVB27" s="212"/>
      <c r="BVC27" s="212"/>
      <c r="BVD27" s="212"/>
      <c r="BVE27" s="212"/>
      <c r="BVF27" s="212"/>
      <c r="BVG27" s="212"/>
      <c r="BVH27" s="212"/>
      <c r="BVI27" s="212"/>
      <c r="BVJ27" s="212"/>
      <c r="BVK27" s="212"/>
      <c r="BVL27" s="212"/>
      <c r="BVM27" s="212"/>
      <c r="BVN27" s="212"/>
      <c r="BVO27" s="212"/>
      <c r="BVP27" s="212"/>
      <c r="BVQ27" s="212"/>
      <c r="BVR27" s="212"/>
      <c r="BVS27" s="212"/>
      <c r="BVT27" s="212"/>
      <c r="BVU27" s="212"/>
      <c r="BVV27" s="212"/>
      <c r="BVW27" s="212"/>
      <c r="BVX27" s="212"/>
      <c r="BVY27" s="212"/>
      <c r="BVZ27" s="212"/>
      <c r="BWA27" s="212"/>
      <c r="BWB27" s="212"/>
      <c r="BWC27" s="212"/>
      <c r="BWD27" s="212"/>
      <c r="BWE27" s="212"/>
      <c r="BWF27" s="212"/>
      <c r="BWG27" s="212"/>
      <c r="BWH27" s="212"/>
      <c r="BWI27" s="212"/>
      <c r="BWJ27" s="212"/>
      <c r="BWK27" s="212"/>
      <c r="BWL27" s="212"/>
      <c r="BWM27" s="212"/>
      <c r="BWN27" s="212"/>
      <c r="BWO27" s="212"/>
      <c r="BWP27" s="212"/>
      <c r="BWQ27" s="212"/>
      <c r="BWR27" s="212"/>
      <c r="BWS27" s="212"/>
      <c r="BWT27" s="212"/>
      <c r="BWU27" s="212"/>
      <c r="BWV27" s="212"/>
      <c r="BWW27" s="212"/>
      <c r="BWX27" s="212"/>
      <c r="BWY27" s="212"/>
      <c r="BWZ27" s="212"/>
      <c r="BXA27" s="212"/>
      <c r="BXB27" s="212"/>
      <c r="BXC27" s="212"/>
      <c r="BXD27" s="212"/>
      <c r="BXE27" s="212"/>
      <c r="BXF27" s="212"/>
      <c r="BXG27" s="212"/>
      <c r="BXH27" s="212"/>
      <c r="BXI27" s="212"/>
      <c r="BXJ27" s="212"/>
      <c r="BXK27" s="212"/>
      <c r="BXL27" s="212"/>
      <c r="BXM27" s="212"/>
      <c r="BXN27" s="212"/>
      <c r="BXO27" s="212"/>
      <c r="BXP27" s="212"/>
      <c r="BXQ27" s="212"/>
      <c r="BXR27" s="212"/>
      <c r="BXS27" s="212"/>
      <c r="BXT27" s="212"/>
      <c r="BXU27" s="212"/>
      <c r="BXV27" s="212"/>
      <c r="BXW27" s="212"/>
      <c r="BXX27" s="212"/>
      <c r="BXY27" s="212"/>
      <c r="BXZ27" s="212"/>
      <c r="BYA27" s="212"/>
      <c r="BYB27" s="212"/>
      <c r="BYC27" s="212"/>
      <c r="BYD27" s="212"/>
      <c r="BYE27" s="212"/>
      <c r="BYF27" s="212"/>
      <c r="BYG27" s="212"/>
    </row>
    <row r="28" spans="1:2009" s="101" customFormat="1" ht="12.75" customHeight="1" thickBot="1" x14ac:dyDescent="0.3">
      <c r="A28" s="98"/>
      <c r="B28" s="98"/>
      <c r="C28" s="174"/>
      <c r="D28" s="174"/>
      <c r="E28" s="174"/>
      <c r="F28" s="174"/>
      <c r="G28" s="174"/>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168</v>
      </c>
      <c r="B29" s="142"/>
      <c r="C29" s="189"/>
      <c r="D29" s="189"/>
      <c r="E29" s="190"/>
      <c r="F29" s="190"/>
      <c r="G29" s="191"/>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399"/>
      <c r="B30" s="114" t="s">
        <v>231</v>
      </c>
      <c r="C30" s="192"/>
      <c r="D30" s="192"/>
      <c r="E30" s="193"/>
      <c r="F30" s="193"/>
      <c r="G30" s="194">
        <f>SUM(C30:F30)</f>
        <v>0</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50"/>
      <c r="B31" s="114" t="s">
        <v>329</v>
      </c>
      <c r="C31" s="192">
        <v>21024.18</v>
      </c>
      <c r="D31" s="192">
        <v>21331.64</v>
      </c>
      <c r="E31" s="193"/>
      <c r="F31" s="193"/>
      <c r="G31" s="194">
        <f>SUM(C31:F31)</f>
        <v>42355.82</v>
      </c>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38" customFormat="1" ht="24.95" customHeight="1" thickBot="1" x14ac:dyDescent="0.3">
      <c r="A32" s="232"/>
      <c r="B32" s="233" t="s">
        <v>169</v>
      </c>
      <c r="C32" s="234">
        <f>SUM(C30:C31)</f>
        <v>21024.18</v>
      </c>
      <c r="D32" s="234">
        <f>D31</f>
        <v>21331.64</v>
      </c>
      <c r="E32" s="234"/>
      <c r="F32" s="235"/>
      <c r="G32" s="236">
        <f>SUM(G30:G31)</f>
        <v>42355.82</v>
      </c>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row>
    <row r="33" spans="1:2009" s="94" customFormat="1" ht="17.25" customHeight="1" thickBot="1" x14ac:dyDescent="0.3">
      <c r="A33" s="111"/>
      <c r="B33" s="111"/>
      <c r="C33" s="182"/>
      <c r="D33" s="182"/>
      <c r="E33" s="182"/>
      <c r="F33" s="182"/>
      <c r="G33" s="182"/>
    </row>
    <row r="34" spans="1:2009" s="113" customFormat="1" ht="24.95" hidden="1" customHeight="1" x14ac:dyDescent="0.25">
      <c r="A34" s="141" t="s">
        <v>45</v>
      </c>
      <c r="B34" s="142"/>
      <c r="C34" s="195"/>
      <c r="D34" s="195"/>
      <c r="E34" s="196"/>
      <c r="F34" s="196"/>
      <c r="G34" s="197"/>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46</v>
      </c>
      <c r="C35" s="192"/>
      <c r="D35" s="192"/>
      <c r="E35" s="193"/>
      <c r="F35" s="193"/>
      <c r="G35" s="1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38" customFormat="1" ht="24.95" hidden="1" customHeight="1" thickBot="1" x14ac:dyDescent="0.3">
      <c r="A36" s="239"/>
      <c r="B36" s="233" t="s">
        <v>80</v>
      </c>
      <c r="C36" s="234"/>
      <c r="D36" s="234"/>
      <c r="E36" s="234"/>
      <c r="F36" s="234"/>
      <c r="G36" s="236"/>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row>
    <row r="37" spans="1:2009" s="101" customFormat="1" ht="13.5" hidden="1" customHeight="1" thickBot="1" x14ac:dyDescent="0.3">
      <c r="A37" s="98"/>
      <c r="B37" s="98"/>
      <c r="C37" s="174"/>
      <c r="D37" s="174"/>
      <c r="E37" s="174"/>
      <c r="F37" s="174"/>
      <c r="G37" s="174"/>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52</v>
      </c>
      <c r="B38" s="145"/>
      <c r="C38" s="198"/>
      <c r="D38" s="198"/>
      <c r="E38" s="199"/>
      <c r="F38" s="199"/>
      <c r="G38" s="200"/>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150</v>
      </c>
      <c r="C39" s="201">
        <v>3458.33</v>
      </c>
      <c r="D39" s="201">
        <v>3458.33</v>
      </c>
      <c r="E39" s="202"/>
      <c r="F39" s="202"/>
      <c r="G39" s="203">
        <f>ROUND(SUM(C39:F39),5)</f>
        <v>6916.66</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hidden="1" customHeight="1" x14ac:dyDescent="0.25">
      <c r="A40" s="146"/>
      <c r="B40" s="117" t="s">
        <v>163</v>
      </c>
      <c r="C40" s="201"/>
      <c r="D40" s="201"/>
      <c r="E40" s="202"/>
      <c r="F40" s="202"/>
      <c r="G40" s="203">
        <f>SUM(C40:F40)</f>
        <v>0</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28" t="s">
        <v>53</v>
      </c>
      <c r="C41" s="201">
        <f>2586.9+12806.7</f>
        <v>15393.6</v>
      </c>
      <c r="D41" s="201">
        <v>838.2</v>
      </c>
      <c r="E41" s="202">
        <v>34</v>
      </c>
      <c r="F41" s="202"/>
      <c r="G41" s="203">
        <f>ROUND(SUM(C41:F41),5)</f>
        <v>16265.8</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244" customFormat="1" ht="24.95" customHeight="1" thickBot="1" x14ac:dyDescent="0.3">
      <c r="A42" s="240"/>
      <c r="B42" s="241" t="s">
        <v>54</v>
      </c>
      <c r="C42" s="242">
        <f>SUM(C39:C41)</f>
        <v>18851.93</v>
      </c>
      <c r="D42" s="242">
        <f>SUM(D39:D41)</f>
        <v>4296.53</v>
      </c>
      <c r="E42" s="242">
        <f>SUM(E39:E41)</f>
        <v>34</v>
      </c>
      <c r="F42" s="242"/>
      <c r="G42" s="243">
        <f t="shared" ref="G42" si="1">SUM(G39:G41)</f>
        <v>23182.46</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c r="HV42" s="224"/>
      <c r="HW42" s="224"/>
      <c r="HX42" s="224"/>
      <c r="HY42" s="224"/>
      <c r="HZ42" s="224"/>
      <c r="IA42" s="224"/>
      <c r="IB42" s="224"/>
      <c r="IC42" s="224"/>
      <c r="ID42" s="224"/>
      <c r="IE42" s="224"/>
      <c r="IF42" s="224"/>
      <c r="IG42" s="224"/>
      <c r="IH42" s="224"/>
      <c r="II42" s="224"/>
      <c r="IJ42" s="224"/>
      <c r="IK42" s="224"/>
      <c r="IL42" s="224"/>
      <c r="IM42" s="224"/>
      <c r="IN42" s="224"/>
      <c r="IO42" s="224"/>
      <c r="IP42" s="224"/>
      <c r="IQ42" s="224"/>
      <c r="IR42" s="224"/>
      <c r="IS42" s="224"/>
      <c r="IT42" s="224"/>
      <c r="IU42" s="224"/>
      <c r="IV42" s="224"/>
      <c r="IW42" s="224"/>
      <c r="IX42" s="224"/>
      <c r="IY42" s="224"/>
      <c r="IZ42" s="224"/>
      <c r="JA42" s="224"/>
      <c r="JB42" s="224"/>
      <c r="JC42" s="224"/>
      <c r="JD42" s="224"/>
      <c r="JE42" s="224"/>
      <c r="JF42" s="224"/>
      <c r="JG42" s="224"/>
      <c r="JH42" s="224"/>
      <c r="JI42" s="224"/>
      <c r="JJ42" s="224"/>
      <c r="JK42" s="224"/>
      <c r="JL42" s="224"/>
      <c r="JM42" s="224"/>
      <c r="JN42" s="224"/>
      <c r="JO42" s="224"/>
      <c r="JP42" s="224"/>
      <c r="JQ42" s="224"/>
      <c r="JR42" s="224"/>
      <c r="JS42" s="224"/>
      <c r="JT42" s="224"/>
      <c r="JU42" s="224"/>
      <c r="JV42" s="224"/>
      <c r="JW42" s="224"/>
      <c r="JX42" s="224"/>
      <c r="JY42" s="224"/>
      <c r="JZ42" s="224"/>
      <c r="KA42" s="224"/>
      <c r="KB42" s="224"/>
      <c r="KC42" s="224"/>
      <c r="KD42" s="224"/>
      <c r="KE42" s="224"/>
      <c r="KF42" s="224"/>
      <c r="KG42" s="224"/>
      <c r="KH42" s="224"/>
      <c r="KI42" s="224"/>
      <c r="KJ42" s="224"/>
      <c r="KK42" s="224"/>
      <c r="KL42" s="224"/>
      <c r="KM42" s="224"/>
      <c r="KN42" s="224"/>
      <c r="KO42" s="224"/>
      <c r="KP42" s="224"/>
      <c r="KQ42" s="224"/>
      <c r="KR42" s="224"/>
      <c r="KS42" s="224"/>
      <c r="KT42" s="224"/>
      <c r="KU42" s="224"/>
      <c r="KV42" s="224"/>
      <c r="KW42" s="224"/>
      <c r="KX42" s="224"/>
      <c r="KY42" s="224"/>
      <c r="KZ42" s="224"/>
      <c r="LA42" s="224"/>
      <c r="LB42" s="224"/>
      <c r="LC42" s="224"/>
      <c r="LD42" s="224"/>
      <c r="LE42" s="224"/>
      <c r="LF42" s="224"/>
      <c r="LG42" s="224"/>
      <c r="LH42" s="224"/>
      <c r="LI42" s="224"/>
      <c r="LJ42" s="224"/>
      <c r="LK42" s="224"/>
      <c r="LL42" s="224"/>
      <c r="LM42" s="224"/>
      <c r="LN42" s="224"/>
      <c r="LO42" s="224"/>
      <c r="LP42" s="224"/>
      <c r="LQ42" s="224"/>
      <c r="LR42" s="224"/>
      <c r="LS42" s="224"/>
      <c r="LT42" s="224"/>
      <c r="LU42" s="224"/>
      <c r="LV42" s="224"/>
      <c r="LW42" s="224"/>
      <c r="LX42" s="224"/>
      <c r="LY42" s="224"/>
      <c r="LZ42" s="224"/>
      <c r="MA42" s="224"/>
      <c r="MB42" s="224"/>
      <c r="MC42" s="224"/>
      <c r="MD42" s="224"/>
      <c r="ME42" s="224"/>
      <c r="MF42" s="224"/>
      <c r="MG42" s="224"/>
      <c r="MH42" s="224"/>
      <c r="MI42" s="224"/>
      <c r="MJ42" s="224"/>
      <c r="MK42" s="224"/>
      <c r="ML42" s="224"/>
      <c r="MM42" s="224"/>
      <c r="MN42" s="224"/>
      <c r="MO42" s="224"/>
      <c r="MP42" s="224"/>
      <c r="MQ42" s="224"/>
      <c r="MR42" s="224"/>
      <c r="MS42" s="224"/>
      <c r="MT42" s="224"/>
      <c r="MU42" s="224"/>
      <c r="MV42" s="224"/>
      <c r="MW42" s="224"/>
      <c r="MX42" s="224"/>
      <c r="MY42" s="224"/>
      <c r="MZ42" s="224"/>
      <c r="NA42" s="224"/>
      <c r="NB42" s="224"/>
      <c r="NC42" s="224"/>
      <c r="ND42" s="224"/>
      <c r="NE42" s="224"/>
      <c r="NF42" s="224"/>
      <c r="NG42" s="224"/>
      <c r="NH42" s="224"/>
      <c r="NI42" s="224"/>
      <c r="NJ42" s="224"/>
      <c r="NK42" s="224"/>
      <c r="NL42" s="224"/>
      <c r="NM42" s="224"/>
      <c r="NN42" s="224"/>
      <c r="NO42" s="224"/>
      <c r="NP42" s="224"/>
      <c r="NQ42" s="224"/>
      <c r="NR42" s="224"/>
      <c r="NS42" s="224"/>
      <c r="NT42" s="224"/>
      <c r="NU42" s="224"/>
      <c r="NV42" s="224"/>
      <c r="NW42" s="224"/>
      <c r="NX42" s="224"/>
      <c r="NY42" s="224"/>
      <c r="NZ42" s="224"/>
      <c r="OA42" s="224"/>
      <c r="OB42" s="224"/>
      <c r="OC42" s="224"/>
      <c r="OD42" s="224"/>
      <c r="OE42" s="224"/>
      <c r="OF42" s="224"/>
      <c r="OG42" s="224"/>
      <c r="OH42" s="224"/>
      <c r="OI42" s="224"/>
      <c r="OJ42" s="224"/>
      <c r="OK42" s="224"/>
      <c r="OL42" s="224"/>
      <c r="OM42" s="224"/>
      <c r="ON42" s="224"/>
      <c r="OO42" s="224"/>
      <c r="OP42" s="224"/>
      <c r="OQ42" s="224"/>
      <c r="OR42" s="224"/>
      <c r="OS42" s="224"/>
      <c r="OT42" s="224"/>
      <c r="OU42" s="224"/>
      <c r="OV42" s="224"/>
      <c r="OW42" s="224"/>
      <c r="OX42" s="224"/>
      <c r="OY42" s="224"/>
      <c r="OZ42" s="224"/>
      <c r="PA42" s="224"/>
      <c r="PB42" s="224"/>
      <c r="PC42" s="224"/>
      <c r="PD42" s="224"/>
      <c r="PE42" s="224"/>
      <c r="PF42" s="224"/>
      <c r="PG42" s="224"/>
      <c r="PH42" s="224"/>
      <c r="PI42" s="224"/>
      <c r="PJ42" s="224"/>
      <c r="PK42" s="224"/>
      <c r="PL42" s="224"/>
      <c r="PM42" s="224"/>
      <c r="PN42" s="224"/>
      <c r="PO42" s="224"/>
      <c r="PP42" s="224"/>
      <c r="PQ42" s="224"/>
      <c r="PR42" s="224"/>
      <c r="PS42" s="224"/>
      <c r="PT42" s="224"/>
      <c r="PU42" s="224"/>
      <c r="PV42" s="224"/>
      <c r="PW42" s="224"/>
      <c r="PX42" s="224"/>
      <c r="PY42" s="224"/>
      <c r="PZ42" s="224"/>
      <c r="QA42" s="224"/>
      <c r="QB42" s="224"/>
      <c r="QC42" s="224"/>
      <c r="QD42" s="224"/>
      <c r="QE42" s="224"/>
      <c r="QF42" s="224"/>
      <c r="QG42" s="224"/>
      <c r="QH42" s="224"/>
      <c r="QI42" s="224"/>
      <c r="QJ42" s="224"/>
      <c r="QK42" s="224"/>
      <c r="QL42" s="224"/>
      <c r="QM42" s="224"/>
      <c r="QN42" s="224"/>
      <c r="QO42" s="224"/>
      <c r="QP42" s="224"/>
      <c r="QQ42" s="224"/>
      <c r="QR42" s="224"/>
      <c r="QS42" s="224"/>
      <c r="QT42" s="224"/>
      <c r="QU42" s="224"/>
      <c r="QV42" s="224"/>
      <c r="QW42" s="224"/>
      <c r="QX42" s="224"/>
      <c r="QY42" s="224"/>
      <c r="QZ42" s="224"/>
      <c r="RA42" s="224"/>
      <c r="RB42" s="224"/>
      <c r="RC42" s="224"/>
      <c r="RD42" s="224"/>
      <c r="RE42" s="224"/>
      <c r="RF42" s="224"/>
      <c r="RG42" s="224"/>
      <c r="RH42" s="224"/>
      <c r="RI42" s="224"/>
      <c r="RJ42" s="224"/>
      <c r="RK42" s="224"/>
      <c r="RL42" s="224"/>
      <c r="RM42" s="224"/>
      <c r="RN42" s="224"/>
      <c r="RO42" s="224"/>
      <c r="RP42" s="224"/>
      <c r="RQ42" s="224"/>
      <c r="RR42" s="224"/>
      <c r="RS42" s="224"/>
      <c r="RT42" s="224"/>
      <c r="RU42" s="224"/>
      <c r="RV42" s="224"/>
      <c r="RW42" s="224"/>
      <c r="RX42" s="224"/>
      <c r="RY42" s="224"/>
      <c r="RZ42" s="224"/>
      <c r="SA42" s="224"/>
      <c r="SB42" s="224"/>
      <c r="SC42" s="224"/>
      <c r="SD42" s="224"/>
      <c r="SE42" s="224"/>
      <c r="SF42" s="224"/>
      <c r="SG42" s="224"/>
      <c r="SH42" s="224"/>
      <c r="SI42" s="224"/>
      <c r="SJ42" s="224"/>
      <c r="SK42" s="224"/>
      <c r="SL42" s="224"/>
      <c r="SM42" s="224"/>
      <c r="SN42" s="224"/>
      <c r="SO42" s="224"/>
      <c r="SP42" s="224"/>
      <c r="SQ42" s="224"/>
      <c r="SR42" s="224"/>
      <c r="SS42" s="224"/>
      <c r="ST42" s="224"/>
      <c r="SU42" s="224"/>
      <c r="SV42" s="224"/>
      <c r="SW42" s="224"/>
      <c r="SX42" s="224"/>
      <c r="SY42" s="224"/>
      <c r="SZ42" s="224"/>
      <c r="TA42" s="224"/>
      <c r="TB42" s="224"/>
      <c r="TC42" s="224"/>
      <c r="TD42" s="224"/>
      <c r="TE42" s="224"/>
      <c r="TF42" s="224"/>
      <c r="TG42" s="224"/>
      <c r="TH42" s="224"/>
      <c r="TI42" s="224"/>
      <c r="TJ42" s="224"/>
      <c r="TK42" s="224"/>
      <c r="TL42" s="224"/>
      <c r="TM42" s="224"/>
      <c r="TN42" s="224"/>
      <c r="TO42" s="224"/>
      <c r="TP42" s="224"/>
      <c r="TQ42" s="224"/>
      <c r="TR42" s="224"/>
      <c r="TS42" s="224"/>
      <c r="TT42" s="224"/>
      <c r="TU42" s="224"/>
      <c r="TV42" s="224"/>
      <c r="TW42" s="224"/>
      <c r="TX42" s="224"/>
      <c r="TY42" s="224"/>
      <c r="TZ42" s="224"/>
      <c r="UA42" s="224"/>
      <c r="UB42" s="224"/>
      <c r="UC42" s="224"/>
      <c r="UD42" s="224"/>
      <c r="UE42" s="224"/>
      <c r="UF42" s="224"/>
      <c r="UG42" s="224"/>
      <c r="UH42" s="224"/>
      <c r="UI42" s="224"/>
      <c r="UJ42" s="224"/>
      <c r="UK42" s="224"/>
      <c r="UL42" s="224"/>
      <c r="UM42" s="224"/>
      <c r="UN42" s="224"/>
      <c r="UO42" s="224"/>
      <c r="UP42" s="224"/>
      <c r="UQ42" s="224"/>
      <c r="UR42" s="224"/>
      <c r="US42" s="224"/>
      <c r="UT42" s="224"/>
      <c r="UU42" s="224"/>
      <c r="UV42" s="224"/>
      <c r="UW42" s="224"/>
      <c r="UX42" s="224"/>
      <c r="UY42" s="224"/>
      <c r="UZ42" s="224"/>
      <c r="VA42" s="224"/>
      <c r="VB42" s="224"/>
      <c r="VC42" s="224"/>
      <c r="VD42" s="224"/>
      <c r="VE42" s="224"/>
      <c r="VF42" s="224"/>
      <c r="VG42" s="224"/>
      <c r="VH42" s="224"/>
      <c r="VI42" s="224"/>
      <c r="VJ42" s="224"/>
      <c r="VK42" s="224"/>
      <c r="VL42" s="224"/>
      <c r="VM42" s="224"/>
      <c r="VN42" s="224"/>
      <c r="VO42" s="224"/>
      <c r="VP42" s="224"/>
      <c r="VQ42" s="224"/>
      <c r="VR42" s="224"/>
      <c r="VS42" s="224"/>
      <c r="VT42" s="224"/>
      <c r="VU42" s="224"/>
      <c r="VV42" s="224"/>
      <c r="VW42" s="224"/>
      <c r="VX42" s="224"/>
      <c r="VY42" s="224"/>
      <c r="VZ42" s="224"/>
      <c r="WA42" s="224"/>
      <c r="WB42" s="224"/>
      <c r="WC42" s="224"/>
      <c r="WD42" s="224"/>
      <c r="WE42" s="224"/>
      <c r="WF42" s="224"/>
      <c r="WG42" s="224"/>
      <c r="WH42" s="224"/>
      <c r="WI42" s="224"/>
      <c r="WJ42" s="224"/>
      <c r="WK42" s="224"/>
      <c r="WL42" s="224"/>
      <c r="WM42" s="224"/>
      <c r="WN42" s="224"/>
      <c r="WO42" s="224"/>
      <c r="WP42" s="224"/>
      <c r="WQ42" s="224"/>
      <c r="WR42" s="224"/>
      <c r="WS42" s="224"/>
      <c r="WT42" s="224"/>
      <c r="WU42" s="224"/>
      <c r="WV42" s="224"/>
      <c r="WW42" s="224"/>
      <c r="WX42" s="224"/>
      <c r="WY42" s="224"/>
      <c r="WZ42" s="224"/>
      <c r="XA42" s="224"/>
      <c r="XB42" s="224"/>
      <c r="XC42" s="224"/>
      <c r="XD42" s="224"/>
      <c r="XE42" s="224"/>
      <c r="XF42" s="224"/>
      <c r="XG42" s="224"/>
      <c r="XH42" s="224"/>
      <c r="XI42" s="224"/>
      <c r="XJ42" s="224"/>
      <c r="XK42" s="224"/>
      <c r="XL42" s="224"/>
      <c r="XM42" s="224"/>
      <c r="XN42" s="224"/>
      <c r="XO42" s="224"/>
      <c r="XP42" s="224"/>
      <c r="XQ42" s="224"/>
      <c r="XR42" s="224"/>
      <c r="XS42" s="224"/>
      <c r="XT42" s="224"/>
      <c r="XU42" s="224"/>
      <c r="XV42" s="224"/>
      <c r="XW42" s="224"/>
      <c r="XX42" s="224"/>
      <c r="XY42" s="224"/>
      <c r="XZ42" s="224"/>
      <c r="YA42" s="224"/>
      <c r="YB42" s="224"/>
      <c r="YC42" s="224"/>
      <c r="YD42" s="224"/>
      <c r="YE42" s="224"/>
      <c r="YF42" s="224"/>
      <c r="YG42" s="224"/>
      <c r="YH42" s="224"/>
      <c r="YI42" s="224"/>
      <c r="YJ42" s="224"/>
      <c r="YK42" s="224"/>
      <c r="YL42" s="224"/>
      <c r="YM42" s="224"/>
      <c r="YN42" s="224"/>
      <c r="YO42" s="224"/>
      <c r="YP42" s="224"/>
      <c r="YQ42" s="224"/>
      <c r="YR42" s="224"/>
      <c r="YS42" s="224"/>
      <c r="YT42" s="224"/>
      <c r="YU42" s="224"/>
      <c r="YV42" s="224"/>
      <c r="YW42" s="224"/>
      <c r="YX42" s="224"/>
      <c r="YY42" s="224"/>
      <c r="YZ42" s="224"/>
      <c r="ZA42" s="224"/>
      <c r="ZB42" s="224"/>
      <c r="ZC42" s="224"/>
      <c r="ZD42" s="224"/>
      <c r="ZE42" s="224"/>
      <c r="ZF42" s="224"/>
      <c r="ZG42" s="224"/>
      <c r="ZH42" s="224"/>
      <c r="ZI42" s="224"/>
      <c r="ZJ42" s="224"/>
      <c r="ZK42" s="224"/>
      <c r="ZL42" s="224"/>
      <c r="ZM42" s="224"/>
      <c r="ZN42" s="224"/>
      <c r="ZO42" s="224"/>
      <c r="ZP42" s="224"/>
      <c r="ZQ42" s="224"/>
      <c r="ZR42" s="224"/>
      <c r="ZS42" s="224"/>
      <c r="ZT42" s="224"/>
      <c r="ZU42" s="224"/>
      <c r="ZV42" s="224"/>
      <c r="ZW42" s="224"/>
      <c r="ZX42" s="224"/>
      <c r="ZY42" s="224"/>
      <c r="ZZ42" s="224"/>
      <c r="AAA42" s="224"/>
      <c r="AAB42" s="224"/>
      <c r="AAC42" s="224"/>
      <c r="AAD42" s="224"/>
      <c r="AAE42" s="224"/>
      <c r="AAF42" s="224"/>
      <c r="AAG42" s="224"/>
      <c r="AAH42" s="224"/>
      <c r="AAI42" s="224"/>
      <c r="AAJ42" s="224"/>
      <c r="AAK42" s="224"/>
      <c r="AAL42" s="224"/>
      <c r="AAM42" s="224"/>
      <c r="AAN42" s="224"/>
      <c r="AAO42" s="224"/>
      <c r="AAP42" s="224"/>
      <c r="AAQ42" s="224"/>
      <c r="AAR42" s="224"/>
      <c r="AAS42" s="224"/>
      <c r="AAT42" s="224"/>
      <c r="AAU42" s="224"/>
      <c r="AAV42" s="224"/>
      <c r="AAW42" s="224"/>
      <c r="AAX42" s="224"/>
      <c r="AAY42" s="224"/>
      <c r="AAZ42" s="224"/>
      <c r="ABA42" s="224"/>
      <c r="ABB42" s="224"/>
      <c r="ABC42" s="224"/>
      <c r="ABD42" s="224"/>
      <c r="ABE42" s="224"/>
      <c r="ABF42" s="224"/>
      <c r="ABG42" s="224"/>
      <c r="ABH42" s="224"/>
      <c r="ABI42" s="224"/>
      <c r="ABJ42" s="224"/>
      <c r="ABK42" s="224"/>
      <c r="ABL42" s="224"/>
      <c r="ABM42" s="224"/>
      <c r="ABN42" s="224"/>
      <c r="ABO42" s="224"/>
      <c r="ABP42" s="224"/>
      <c r="ABQ42" s="224"/>
      <c r="ABR42" s="224"/>
      <c r="ABS42" s="224"/>
      <c r="ABT42" s="224"/>
      <c r="ABU42" s="224"/>
      <c r="ABV42" s="224"/>
      <c r="ABW42" s="224"/>
      <c r="ABX42" s="224"/>
      <c r="ABY42" s="224"/>
      <c r="ABZ42" s="224"/>
      <c r="ACA42" s="224"/>
      <c r="ACB42" s="224"/>
      <c r="ACC42" s="224"/>
      <c r="ACD42" s="224"/>
      <c r="ACE42" s="224"/>
      <c r="ACF42" s="224"/>
      <c r="ACG42" s="224"/>
      <c r="ACH42" s="224"/>
      <c r="ACI42" s="224"/>
      <c r="ACJ42" s="224"/>
      <c r="ACK42" s="224"/>
      <c r="ACL42" s="224"/>
      <c r="ACM42" s="224"/>
      <c r="ACN42" s="224"/>
      <c r="ACO42" s="224"/>
      <c r="ACP42" s="224"/>
      <c r="ACQ42" s="224"/>
      <c r="ACR42" s="224"/>
      <c r="ACS42" s="224"/>
      <c r="ACT42" s="224"/>
      <c r="ACU42" s="224"/>
      <c r="ACV42" s="224"/>
      <c r="ACW42" s="224"/>
      <c r="ACX42" s="224"/>
      <c r="ACY42" s="224"/>
      <c r="ACZ42" s="224"/>
      <c r="ADA42" s="224"/>
      <c r="ADB42" s="224"/>
      <c r="ADC42" s="224"/>
      <c r="ADD42" s="224"/>
      <c r="ADE42" s="224"/>
      <c r="ADF42" s="224"/>
      <c r="ADG42" s="224"/>
      <c r="ADH42" s="224"/>
      <c r="ADI42" s="224"/>
      <c r="ADJ42" s="224"/>
      <c r="ADK42" s="224"/>
      <c r="ADL42" s="224"/>
      <c r="ADM42" s="224"/>
      <c r="ADN42" s="224"/>
      <c r="ADO42" s="224"/>
      <c r="ADP42" s="224"/>
      <c r="ADQ42" s="224"/>
      <c r="ADR42" s="224"/>
      <c r="ADS42" s="224"/>
      <c r="ADT42" s="224"/>
      <c r="ADU42" s="224"/>
      <c r="ADV42" s="224"/>
      <c r="ADW42" s="224"/>
      <c r="ADX42" s="224"/>
      <c r="ADY42" s="224"/>
      <c r="ADZ42" s="224"/>
      <c r="AEA42" s="224"/>
      <c r="AEB42" s="224"/>
      <c r="AEC42" s="224"/>
      <c r="AED42" s="224"/>
      <c r="AEE42" s="224"/>
      <c r="AEF42" s="224"/>
      <c r="AEG42" s="224"/>
      <c r="AEH42" s="224"/>
      <c r="AEI42" s="224"/>
      <c r="AEJ42" s="224"/>
      <c r="AEK42" s="224"/>
      <c r="AEL42" s="224"/>
      <c r="AEM42" s="224"/>
      <c r="AEN42" s="224"/>
      <c r="AEO42" s="224"/>
      <c r="AEP42" s="224"/>
      <c r="AEQ42" s="224"/>
      <c r="AER42" s="224"/>
      <c r="AES42" s="224"/>
      <c r="AET42" s="224"/>
      <c r="AEU42" s="224"/>
      <c r="AEV42" s="224"/>
      <c r="AEW42" s="224"/>
      <c r="AEX42" s="224"/>
      <c r="AEY42" s="224"/>
      <c r="AEZ42" s="224"/>
      <c r="AFA42" s="224"/>
      <c r="AFB42" s="224"/>
      <c r="AFC42" s="224"/>
      <c r="AFD42" s="224"/>
      <c r="AFE42" s="224"/>
      <c r="AFF42" s="224"/>
      <c r="AFG42" s="224"/>
      <c r="AFH42" s="224"/>
      <c r="AFI42" s="224"/>
      <c r="AFJ42" s="224"/>
      <c r="AFK42" s="224"/>
      <c r="AFL42" s="224"/>
      <c r="AFM42" s="224"/>
      <c r="AFN42" s="224"/>
      <c r="AFO42" s="224"/>
      <c r="AFP42" s="224"/>
      <c r="AFQ42" s="224"/>
      <c r="AFR42" s="224"/>
      <c r="AFS42" s="224"/>
      <c r="AFT42" s="224"/>
      <c r="AFU42" s="224"/>
      <c r="AFV42" s="224"/>
      <c r="AFW42" s="224"/>
      <c r="AFX42" s="224"/>
      <c r="AFY42" s="224"/>
      <c r="AFZ42" s="224"/>
      <c r="AGA42" s="224"/>
      <c r="AGB42" s="224"/>
      <c r="AGC42" s="224"/>
      <c r="AGD42" s="224"/>
      <c r="AGE42" s="224"/>
      <c r="AGF42" s="224"/>
      <c r="AGG42" s="224"/>
      <c r="AGH42" s="224"/>
      <c r="AGI42" s="224"/>
      <c r="AGJ42" s="224"/>
      <c r="AGK42" s="224"/>
      <c r="AGL42" s="224"/>
      <c r="AGM42" s="224"/>
      <c r="AGN42" s="224"/>
      <c r="AGO42" s="224"/>
      <c r="AGP42" s="224"/>
      <c r="AGQ42" s="224"/>
      <c r="AGR42" s="224"/>
      <c r="AGS42" s="224"/>
      <c r="AGT42" s="224"/>
      <c r="AGU42" s="224"/>
      <c r="AGV42" s="224"/>
      <c r="AGW42" s="224"/>
      <c r="AGX42" s="224"/>
      <c r="AGY42" s="224"/>
      <c r="AGZ42" s="224"/>
      <c r="AHA42" s="224"/>
      <c r="AHB42" s="224"/>
      <c r="AHC42" s="224"/>
      <c r="AHD42" s="224"/>
      <c r="AHE42" s="224"/>
      <c r="AHF42" s="224"/>
      <c r="AHG42" s="224"/>
      <c r="AHH42" s="224"/>
      <c r="AHI42" s="224"/>
      <c r="AHJ42" s="224"/>
      <c r="AHK42" s="224"/>
      <c r="AHL42" s="224"/>
      <c r="AHM42" s="224"/>
      <c r="AHN42" s="224"/>
      <c r="AHO42" s="224"/>
      <c r="AHP42" s="224"/>
      <c r="AHQ42" s="224"/>
      <c r="AHR42" s="224"/>
      <c r="AHS42" s="224"/>
      <c r="AHT42" s="224"/>
      <c r="AHU42" s="224"/>
      <c r="AHV42" s="224"/>
      <c r="AHW42" s="224"/>
      <c r="AHX42" s="224"/>
      <c r="AHY42" s="224"/>
      <c r="AHZ42" s="224"/>
      <c r="AIA42" s="224"/>
      <c r="AIB42" s="224"/>
      <c r="AIC42" s="224"/>
      <c r="AID42" s="224"/>
      <c r="AIE42" s="224"/>
      <c r="AIF42" s="224"/>
      <c r="AIG42" s="224"/>
      <c r="AIH42" s="224"/>
      <c r="AII42" s="224"/>
      <c r="AIJ42" s="224"/>
      <c r="AIK42" s="224"/>
      <c r="AIL42" s="224"/>
      <c r="AIM42" s="224"/>
      <c r="AIN42" s="224"/>
      <c r="AIO42" s="224"/>
      <c r="AIP42" s="224"/>
      <c r="AIQ42" s="224"/>
      <c r="AIR42" s="224"/>
      <c r="AIS42" s="224"/>
      <c r="AIT42" s="224"/>
      <c r="AIU42" s="224"/>
      <c r="AIV42" s="224"/>
      <c r="AIW42" s="224"/>
      <c r="AIX42" s="224"/>
      <c r="AIY42" s="224"/>
      <c r="AIZ42" s="224"/>
      <c r="AJA42" s="224"/>
      <c r="AJB42" s="224"/>
      <c r="AJC42" s="224"/>
      <c r="AJD42" s="224"/>
      <c r="AJE42" s="224"/>
      <c r="AJF42" s="224"/>
      <c r="AJG42" s="224"/>
      <c r="AJH42" s="224"/>
      <c r="AJI42" s="224"/>
      <c r="AJJ42" s="224"/>
      <c r="AJK42" s="224"/>
      <c r="AJL42" s="224"/>
      <c r="AJM42" s="224"/>
      <c r="AJN42" s="224"/>
      <c r="AJO42" s="224"/>
      <c r="AJP42" s="224"/>
      <c r="AJQ42" s="224"/>
      <c r="AJR42" s="224"/>
      <c r="AJS42" s="224"/>
      <c r="AJT42" s="224"/>
      <c r="AJU42" s="224"/>
      <c r="AJV42" s="224"/>
      <c r="AJW42" s="224"/>
      <c r="AJX42" s="224"/>
      <c r="AJY42" s="224"/>
      <c r="AJZ42" s="224"/>
      <c r="AKA42" s="224"/>
      <c r="AKB42" s="224"/>
      <c r="AKC42" s="224"/>
      <c r="AKD42" s="224"/>
      <c r="AKE42" s="224"/>
      <c r="AKF42" s="224"/>
      <c r="AKG42" s="224"/>
      <c r="AKH42" s="224"/>
      <c r="AKI42" s="224"/>
      <c r="AKJ42" s="224"/>
      <c r="AKK42" s="224"/>
      <c r="AKL42" s="224"/>
      <c r="AKM42" s="224"/>
      <c r="AKN42" s="224"/>
      <c r="AKO42" s="224"/>
      <c r="AKP42" s="224"/>
      <c r="AKQ42" s="224"/>
      <c r="AKR42" s="224"/>
      <c r="AKS42" s="224"/>
      <c r="AKT42" s="224"/>
      <c r="AKU42" s="224"/>
      <c r="AKV42" s="224"/>
      <c r="AKW42" s="224"/>
      <c r="AKX42" s="224"/>
      <c r="AKY42" s="224"/>
      <c r="AKZ42" s="224"/>
      <c r="ALA42" s="224"/>
      <c r="ALB42" s="224"/>
      <c r="ALC42" s="224"/>
      <c r="ALD42" s="224"/>
      <c r="ALE42" s="224"/>
      <c r="ALF42" s="224"/>
      <c r="ALG42" s="224"/>
      <c r="ALH42" s="224"/>
      <c r="ALI42" s="224"/>
      <c r="ALJ42" s="224"/>
      <c r="ALK42" s="224"/>
      <c r="ALL42" s="224"/>
      <c r="ALM42" s="224"/>
      <c r="ALN42" s="224"/>
      <c r="ALO42" s="224"/>
      <c r="ALP42" s="224"/>
      <c r="ALQ42" s="224"/>
      <c r="ALR42" s="224"/>
      <c r="ALS42" s="224"/>
      <c r="ALT42" s="224"/>
      <c r="ALU42" s="224"/>
      <c r="ALV42" s="224"/>
      <c r="ALW42" s="224"/>
      <c r="ALX42" s="224"/>
      <c r="ALY42" s="224"/>
      <c r="ALZ42" s="224"/>
      <c r="AMA42" s="224"/>
      <c r="AMB42" s="224"/>
      <c r="AMC42" s="224"/>
      <c r="AMD42" s="224"/>
      <c r="AME42" s="224"/>
      <c r="AMF42" s="224"/>
      <c r="AMG42" s="224"/>
      <c r="AMH42" s="224"/>
      <c r="AMI42" s="224"/>
      <c r="AMJ42" s="224"/>
      <c r="AMK42" s="224"/>
      <c r="AML42" s="224"/>
      <c r="AMM42" s="224"/>
      <c r="AMN42" s="224"/>
      <c r="AMO42" s="224"/>
      <c r="AMP42" s="224"/>
      <c r="AMQ42" s="224"/>
      <c r="AMR42" s="224"/>
      <c r="AMS42" s="224"/>
      <c r="AMT42" s="224"/>
      <c r="AMU42" s="224"/>
      <c r="AMV42" s="224"/>
      <c r="AMW42" s="224"/>
      <c r="AMX42" s="224"/>
      <c r="AMY42" s="224"/>
      <c r="AMZ42" s="224"/>
      <c r="ANA42" s="224"/>
      <c r="ANB42" s="224"/>
      <c r="ANC42" s="224"/>
      <c r="AND42" s="224"/>
      <c r="ANE42" s="224"/>
      <c r="ANF42" s="224"/>
      <c r="ANG42" s="224"/>
      <c r="ANH42" s="224"/>
      <c r="ANI42" s="224"/>
      <c r="ANJ42" s="224"/>
      <c r="ANK42" s="224"/>
      <c r="ANL42" s="224"/>
      <c r="ANM42" s="224"/>
      <c r="ANN42" s="224"/>
      <c r="ANO42" s="224"/>
      <c r="ANP42" s="224"/>
      <c r="ANQ42" s="224"/>
      <c r="ANR42" s="224"/>
      <c r="ANS42" s="224"/>
      <c r="ANT42" s="224"/>
      <c r="ANU42" s="224"/>
      <c r="ANV42" s="224"/>
      <c r="ANW42" s="224"/>
      <c r="ANX42" s="224"/>
      <c r="ANY42" s="224"/>
      <c r="ANZ42" s="224"/>
      <c r="AOA42" s="224"/>
      <c r="AOB42" s="224"/>
      <c r="AOC42" s="224"/>
      <c r="AOD42" s="224"/>
      <c r="AOE42" s="224"/>
      <c r="AOF42" s="224"/>
      <c r="AOG42" s="224"/>
      <c r="AOH42" s="224"/>
      <c r="AOI42" s="224"/>
      <c r="AOJ42" s="224"/>
      <c r="AOK42" s="224"/>
      <c r="AOL42" s="224"/>
      <c r="AOM42" s="224"/>
      <c r="AON42" s="224"/>
      <c r="AOO42" s="224"/>
      <c r="AOP42" s="224"/>
      <c r="AOQ42" s="224"/>
      <c r="AOR42" s="224"/>
      <c r="AOS42" s="224"/>
      <c r="AOT42" s="224"/>
      <c r="AOU42" s="224"/>
      <c r="AOV42" s="224"/>
      <c r="AOW42" s="224"/>
      <c r="AOX42" s="224"/>
      <c r="AOY42" s="224"/>
      <c r="AOZ42" s="224"/>
      <c r="APA42" s="224"/>
      <c r="APB42" s="224"/>
      <c r="APC42" s="224"/>
      <c r="APD42" s="224"/>
      <c r="APE42" s="224"/>
      <c r="APF42" s="224"/>
      <c r="APG42" s="224"/>
      <c r="APH42" s="224"/>
      <c r="API42" s="224"/>
      <c r="APJ42" s="224"/>
      <c r="APK42" s="224"/>
      <c r="APL42" s="224"/>
      <c r="APM42" s="224"/>
      <c r="APN42" s="224"/>
      <c r="APO42" s="224"/>
      <c r="APP42" s="224"/>
      <c r="APQ42" s="224"/>
      <c r="APR42" s="224"/>
      <c r="APS42" s="224"/>
      <c r="APT42" s="224"/>
      <c r="APU42" s="224"/>
      <c r="APV42" s="224"/>
      <c r="APW42" s="224"/>
      <c r="APX42" s="224"/>
      <c r="APY42" s="224"/>
      <c r="APZ42" s="224"/>
      <c r="AQA42" s="224"/>
      <c r="AQB42" s="224"/>
      <c r="AQC42" s="224"/>
      <c r="AQD42" s="224"/>
      <c r="AQE42" s="224"/>
      <c r="AQF42" s="224"/>
      <c r="AQG42" s="224"/>
      <c r="AQH42" s="224"/>
      <c r="AQI42" s="224"/>
      <c r="AQJ42" s="224"/>
      <c r="AQK42" s="224"/>
      <c r="AQL42" s="224"/>
      <c r="AQM42" s="224"/>
      <c r="AQN42" s="224"/>
      <c r="AQO42" s="224"/>
      <c r="AQP42" s="224"/>
      <c r="AQQ42" s="224"/>
      <c r="AQR42" s="224"/>
      <c r="AQS42" s="224"/>
      <c r="AQT42" s="224"/>
      <c r="AQU42" s="224"/>
      <c r="AQV42" s="224"/>
      <c r="AQW42" s="224"/>
      <c r="AQX42" s="224"/>
      <c r="AQY42" s="224"/>
      <c r="AQZ42" s="224"/>
      <c r="ARA42" s="224"/>
      <c r="ARB42" s="224"/>
      <c r="ARC42" s="224"/>
      <c r="ARD42" s="224"/>
      <c r="ARE42" s="224"/>
      <c r="ARF42" s="224"/>
      <c r="ARG42" s="224"/>
      <c r="ARH42" s="224"/>
      <c r="ARI42" s="224"/>
      <c r="ARJ42" s="224"/>
      <c r="ARK42" s="224"/>
      <c r="ARL42" s="224"/>
      <c r="ARM42" s="224"/>
      <c r="ARN42" s="224"/>
      <c r="ARO42" s="224"/>
      <c r="ARP42" s="224"/>
      <c r="ARQ42" s="224"/>
      <c r="ARR42" s="224"/>
      <c r="ARS42" s="224"/>
      <c r="ART42" s="224"/>
      <c r="ARU42" s="224"/>
      <c r="ARV42" s="224"/>
      <c r="ARW42" s="224"/>
      <c r="ARX42" s="224"/>
      <c r="ARY42" s="224"/>
      <c r="ARZ42" s="224"/>
      <c r="ASA42" s="224"/>
      <c r="ASB42" s="224"/>
      <c r="ASC42" s="224"/>
      <c r="ASD42" s="224"/>
      <c r="ASE42" s="224"/>
      <c r="ASF42" s="224"/>
      <c r="ASG42" s="224"/>
      <c r="ASH42" s="224"/>
      <c r="ASI42" s="224"/>
      <c r="ASJ42" s="224"/>
      <c r="ASK42" s="224"/>
      <c r="ASL42" s="224"/>
      <c r="ASM42" s="224"/>
      <c r="ASN42" s="224"/>
      <c r="ASO42" s="224"/>
      <c r="ASP42" s="224"/>
      <c r="ASQ42" s="224"/>
      <c r="ASR42" s="224"/>
      <c r="ASS42" s="224"/>
      <c r="AST42" s="224"/>
      <c r="ASU42" s="224"/>
      <c r="ASV42" s="224"/>
      <c r="ASW42" s="224"/>
      <c r="ASX42" s="224"/>
      <c r="ASY42" s="224"/>
      <c r="ASZ42" s="224"/>
      <c r="ATA42" s="224"/>
      <c r="ATB42" s="224"/>
      <c r="ATC42" s="224"/>
      <c r="ATD42" s="224"/>
      <c r="ATE42" s="224"/>
      <c r="ATF42" s="224"/>
      <c r="ATG42" s="224"/>
      <c r="ATH42" s="224"/>
      <c r="ATI42" s="224"/>
      <c r="ATJ42" s="224"/>
      <c r="ATK42" s="224"/>
      <c r="ATL42" s="224"/>
      <c r="ATM42" s="224"/>
      <c r="ATN42" s="224"/>
      <c r="ATO42" s="224"/>
      <c r="ATP42" s="224"/>
      <c r="ATQ42" s="224"/>
      <c r="ATR42" s="224"/>
      <c r="ATS42" s="224"/>
      <c r="ATT42" s="224"/>
      <c r="ATU42" s="224"/>
      <c r="ATV42" s="224"/>
      <c r="ATW42" s="224"/>
      <c r="ATX42" s="224"/>
      <c r="ATY42" s="224"/>
      <c r="ATZ42" s="224"/>
      <c r="AUA42" s="224"/>
      <c r="AUB42" s="224"/>
      <c r="AUC42" s="224"/>
      <c r="AUD42" s="224"/>
      <c r="AUE42" s="224"/>
      <c r="AUF42" s="224"/>
      <c r="AUG42" s="224"/>
      <c r="AUH42" s="224"/>
      <c r="AUI42" s="224"/>
      <c r="AUJ42" s="224"/>
      <c r="AUK42" s="224"/>
      <c r="AUL42" s="224"/>
      <c r="AUM42" s="224"/>
      <c r="AUN42" s="224"/>
      <c r="AUO42" s="224"/>
      <c r="AUP42" s="224"/>
      <c r="AUQ42" s="224"/>
      <c r="AUR42" s="224"/>
      <c r="AUS42" s="224"/>
      <c r="AUT42" s="224"/>
      <c r="AUU42" s="224"/>
      <c r="AUV42" s="224"/>
      <c r="AUW42" s="224"/>
      <c r="AUX42" s="224"/>
      <c r="AUY42" s="224"/>
      <c r="AUZ42" s="224"/>
      <c r="AVA42" s="224"/>
      <c r="AVB42" s="224"/>
      <c r="AVC42" s="224"/>
      <c r="AVD42" s="224"/>
      <c r="AVE42" s="224"/>
      <c r="AVF42" s="224"/>
      <c r="AVG42" s="224"/>
      <c r="AVH42" s="224"/>
      <c r="AVI42" s="224"/>
      <c r="AVJ42" s="224"/>
      <c r="AVK42" s="224"/>
      <c r="AVL42" s="224"/>
      <c r="AVM42" s="224"/>
      <c r="AVN42" s="224"/>
      <c r="AVO42" s="224"/>
      <c r="AVP42" s="224"/>
      <c r="AVQ42" s="224"/>
      <c r="AVR42" s="224"/>
      <c r="AVS42" s="224"/>
      <c r="AVT42" s="224"/>
      <c r="AVU42" s="224"/>
      <c r="AVV42" s="224"/>
      <c r="AVW42" s="224"/>
      <c r="AVX42" s="224"/>
      <c r="AVY42" s="224"/>
      <c r="AVZ42" s="224"/>
      <c r="AWA42" s="224"/>
      <c r="AWB42" s="224"/>
      <c r="AWC42" s="224"/>
      <c r="AWD42" s="224"/>
      <c r="AWE42" s="224"/>
      <c r="AWF42" s="224"/>
      <c r="AWG42" s="224"/>
      <c r="AWH42" s="224"/>
      <c r="AWI42" s="224"/>
      <c r="AWJ42" s="224"/>
      <c r="AWK42" s="224"/>
      <c r="AWL42" s="224"/>
      <c r="AWM42" s="224"/>
      <c r="AWN42" s="224"/>
      <c r="AWO42" s="224"/>
      <c r="AWP42" s="224"/>
      <c r="AWQ42" s="224"/>
      <c r="AWR42" s="224"/>
      <c r="AWS42" s="224"/>
      <c r="AWT42" s="224"/>
      <c r="AWU42" s="224"/>
      <c r="AWV42" s="224"/>
      <c r="AWW42" s="224"/>
      <c r="AWX42" s="224"/>
      <c r="AWY42" s="224"/>
      <c r="AWZ42" s="224"/>
      <c r="AXA42" s="224"/>
      <c r="AXB42" s="224"/>
      <c r="AXC42" s="224"/>
      <c r="AXD42" s="224"/>
      <c r="AXE42" s="224"/>
      <c r="AXF42" s="224"/>
      <c r="AXG42" s="224"/>
      <c r="AXH42" s="224"/>
      <c r="AXI42" s="224"/>
      <c r="AXJ42" s="224"/>
      <c r="AXK42" s="224"/>
      <c r="AXL42" s="224"/>
      <c r="AXM42" s="224"/>
      <c r="AXN42" s="224"/>
      <c r="AXO42" s="224"/>
      <c r="AXP42" s="224"/>
      <c r="AXQ42" s="224"/>
      <c r="AXR42" s="224"/>
      <c r="AXS42" s="224"/>
      <c r="AXT42" s="224"/>
      <c r="AXU42" s="224"/>
      <c r="AXV42" s="224"/>
      <c r="AXW42" s="224"/>
      <c r="AXX42" s="224"/>
      <c r="AXY42" s="224"/>
      <c r="AXZ42" s="224"/>
      <c r="AYA42" s="224"/>
      <c r="AYB42" s="224"/>
      <c r="AYC42" s="224"/>
      <c r="AYD42" s="224"/>
      <c r="AYE42" s="224"/>
      <c r="AYF42" s="224"/>
      <c r="AYG42" s="224"/>
      <c r="AYH42" s="224"/>
      <c r="AYI42" s="224"/>
      <c r="AYJ42" s="224"/>
      <c r="AYK42" s="224"/>
      <c r="AYL42" s="224"/>
      <c r="AYM42" s="224"/>
      <c r="AYN42" s="224"/>
      <c r="AYO42" s="224"/>
      <c r="AYP42" s="224"/>
      <c r="AYQ42" s="224"/>
      <c r="AYR42" s="224"/>
      <c r="AYS42" s="224"/>
      <c r="AYT42" s="224"/>
      <c r="AYU42" s="224"/>
      <c r="AYV42" s="224"/>
      <c r="AYW42" s="224"/>
      <c r="AYX42" s="224"/>
      <c r="AYY42" s="224"/>
      <c r="AYZ42" s="224"/>
      <c r="AZA42" s="224"/>
      <c r="AZB42" s="224"/>
      <c r="AZC42" s="224"/>
      <c r="AZD42" s="224"/>
      <c r="AZE42" s="224"/>
      <c r="AZF42" s="224"/>
      <c r="AZG42" s="224"/>
      <c r="AZH42" s="224"/>
      <c r="AZI42" s="224"/>
      <c r="AZJ42" s="224"/>
      <c r="AZK42" s="224"/>
      <c r="AZL42" s="224"/>
      <c r="AZM42" s="224"/>
      <c r="AZN42" s="224"/>
      <c r="AZO42" s="224"/>
      <c r="AZP42" s="224"/>
      <c r="AZQ42" s="224"/>
      <c r="AZR42" s="224"/>
      <c r="AZS42" s="224"/>
      <c r="AZT42" s="224"/>
      <c r="AZU42" s="224"/>
      <c r="AZV42" s="224"/>
      <c r="AZW42" s="224"/>
      <c r="AZX42" s="224"/>
      <c r="AZY42" s="224"/>
      <c r="AZZ42" s="224"/>
      <c r="BAA42" s="224"/>
      <c r="BAB42" s="224"/>
      <c r="BAC42" s="224"/>
      <c r="BAD42" s="224"/>
      <c r="BAE42" s="224"/>
      <c r="BAF42" s="224"/>
      <c r="BAG42" s="224"/>
      <c r="BAH42" s="224"/>
      <c r="BAI42" s="224"/>
      <c r="BAJ42" s="224"/>
      <c r="BAK42" s="224"/>
      <c r="BAL42" s="224"/>
      <c r="BAM42" s="224"/>
      <c r="BAN42" s="224"/>
      <c r="BAO42" s="224"/>
      <c r="BAP42" s="224"/>
      <c r="BAQ42" s="224"/>
      <c r="BAR42" s="224"/>
      <c r="BAS42" s="224"/>
      <c r="BAT42" s="224"/>
      <c r="BAU42" s="224"/>
      <c r="BAV42" s="224"/>
      <c r="BAW42" s="224"/>
      <c r="BAX42" s="224"/>
      <c r="BAY42" s="224"/>
      <c r="BAZ42" s="224"/>
      <c r="BBA42" s="224"/>
      <c r="BBB42" s="224"/>
      <c r="BBC42" s="224"/>
      <c r="BBD42" s="224"/>
      <c r="BBE42" s="224"/>
      <c r="BBF42" s="224"/>
      <c r="BBG42" s="224"/>
      <c r="BBH42" s="224"/>
      <c r="BBI42" s="224"/>
      <c r="BBJ42" s="224"/>
      <c r="BBK42" s="224"/>
      <c r="BBL42" s="224"/>
      <c r="BBM42" s="224"/>
      <c r="BBN42" s="224"/>
      <c r="BBO42" s="224"/>
      <c r="BBP42" s="224"/>
      <c r="BBQ42" s="224"/>
      <c r="BBR42" s="224"/>
      <c r="BBS42" s="224"/>
      <c r="BBT42" s="224"/>
      <c r="BBU42" s="224"/>
      <c r="BBV42" s="224"/>
      <c r="BBW42" s="224"/>
      <c r="BBX42" s="224"/>
      <c r="BBY42" s="224"/>
      <c r="BBZ42" s="224"/>
      <c r="BCA42" s="224"/>
      <c r="BCB42" s="224"/>
      <c r="BCC42" s="224"/>
      <c r="BCD42" s="224"/>
      <c r="BCE42" s="224"/>
      <c r="BCF42" s="224"/>
      <c r="BCG42" s="224"/>
      <c r="BCH42" s="224"/>
      <c r="BCI42" s="224"/>
      <c r="BCJ42" s="224"/>
      <c r="BCK42" s="224"/>
      <c r="BCL42" s="224"/>
      <c r="BCM42" s="224"/>
      <c r="BCN42" s="224"/>
      <c r="BCO42" s="224"/>
      <c r="BCP42" s="224"/>
      <c r="BCQ42" s="224"/>
      <c r="BCR42" s="224"/>
      <c r="BCS42" s="224"/>
      <c r="BCT42" s="224"/>
      <c r="BCU42" s="224"/>
      <c r="BCV42" s="224"/>
      <c r="BCW42" s="224"/>
      <c r="BCX42" s="224"/>
      <c r="BCY42" s="224"/>
      <c r="BCZ42" s="224"/>
      <c r="BDA42" s="224"/>
      <c r="BDB42" s="224"/>
      <c r="BDC42" s="224"/>
      <c r="BDD42" s="224"/>
      <c r="BDE42" s="224"/>
      <c r="BDF42" s="224"/>
      <c r="BDG42" s="224"/>
      <c r="BDH42" s="224"/>
      <c r="BDI42" s="224"/>
      <c r="BDJ42" s="224"/>
      <c r="BDK42" s="224"/>
      <c r="BDL42" s="224"/>
      <c r="BDM42" s="224"/>
      <c r="BDN42" s="224"/>
      <c r="BDO42" s="224"/>
      <c r="BDP42" s="224"/>
      <c r="BDQ42" s="224"/>
      <c r="BDR42" s="224"/>
      <c r="BDS42" s="224"/>
      <c r="BDT42" s="224"/>
      <c r="BDU42" s="224"/>
      <c r="BDV42" s="224"/>
      <c r="BDW42" s="224"/>
      <c r="BDX42" s="224"/>
      <c r="BDY42" s="224"/>
      <c r="BDZ42" s="224"/>
      <c r="BEA42" s="224"/>
      <c r="BEB42" s="224"/>
      <c r="BEC42" s="224"/>
      <c r="BED42" s="224"/>
      <c r="BEE42" s="224"/>
      <c r="BEF42" s="224"/>
      <c r="BEG42" s="224"/>
      <c r="BEH42" s="224"/>
      <c r="BEI42" s="224"/>
      <c r="BEJ42" s="224"/>
      <c r="BEK42" s="224"/>
      <c r="BEL42" s="224"/>
      <c r="BEM42" s="224"/>
      <c r="BEN42" s="224"/>
      <c r="BEO42" s="224"/>
      <c r="BEP42" s="224"/>
      <c r="BEQ42" s="224"/>
      <c r="BER42" s="224"/>
      <c r="BES42" s="224"/>
      <c r="BET42" s="224"/>
      <c r="BEU42" s="224"/>
      <c r="BEV42" s="224"/>
      <c r="BEW42" s="224"/>
      <c r="BEX42" s="224"/>
      <c r="BEY42" s="224"/>
      <c r="BEZ42" s="224"/>
      <c r="BFA42" s="224"/>
      <c r="BFB42" s="224"/>
      <c r="BFC42" s="224"/>
      <c r="BFD42" s="224"/>
      <c r="BFE42" s="224"/>
      <c r="BFF42" s="224"/>
      <c r="BFG42" s="224"/>
      <c r="BFH42" s="224"/>
      <c r="BFI42" s="224"/>
      <c r="BFJ42" s="224"/>
      <c r="BFK42" s="224"/>
      <c r="BFL42" s="224"/>
      <c r="BFM42" s="224"/>
      <c r="BFN42" s="224"/>
      <c r="BFO42" s="224"/>
      <c r="BFP42" s="224"/>
      <c r="BFQ42" s="224"/>
      <c r="BFR42" s="224"/>
      <c r="BFS42" s="224"/>
      <c r="BFT42" s="224"/>
      <c r="BFU42" s="224"/>
      <c r="BFV42" s="224"/>
      <c r="BFW42" s="224"/>
      <c r="BFX42" s="224"/>
      <c r="BFY42" s="224"/>
      <c r="BFZ42" s="224"/>
      <c r="BGA42" s="224"/>
      <c r="BGB42" s="224"/>
      <c r="BGC42" s="224"/>
      <c r="BGD42" s="224"/>
      <c r="BGE42" s="224"/>
      <c r="BGF42" s="224"/>
      <c r="BGG42" s="224"/>
      <c r="BGH42" s="224"/>
      <c r="BGI42" s="224"/>
      <c r="BGJ42" s="224"/>
      <c r="BGK42" s="224"/>
      <c r="BGL42" s="224"/>
      <c r="BGM42" s="224"/>
      <c r="BGN42" s="224"/>
      <c r="BGO42" s="224"/>
      <c r="BGP42" s="224"/>
      <c r="BGQ42" s="224"/>
      <c r="BGR42" s="224"/>
      <c r="BGS42" s="224"/>
      <c r="BGT42" s="224"/>
      <c r="BGU42" s="224"/>
      <c r="BGV42" s="224"/>
      <c r="BGW42" s="224"/>
      <c r="BGX42" s="224"/>
      <c r="BGY42" s="224"/>
      <c r="BGZ42" s="224"/>
      <c r="BHA42" s="224"/>
      <c r="BHB42" s="224"/>
      <c r="BHC42" s="224"/>
      <c r="BHD42" s="224"/>
      <c r="BHE42" s="224"/>
      <c r="BHF42" s="224"/>
      <c r="BHG42" s="224"/>
      <c r="BHH42" s="224"/>
      <c r="BHI42" s="224"/>
      <c r="BHJ42" s="224"/>
      <c r="BHK42" s="224"/>
      <c r="BHL42" s="224"/>
      <c r="BHM42" s="224"/>
      <c r="BHN42" s="224"/>
      <c r="BHO42" s="224"/>
      <c r="BHP42" s="224"/>
      <c r="BHQ42" s="224"/>
      <c r="BHR42" s="224"/>
      <c r="BHS42" s="224"/>
      <c r="BHT42" s="224"/>
      <c r="BHU42" s="224"/>
      <c r="BHV42" s="224"/>
      <c r="BHW42" s="224"/>
      <c r="BHX42" s="224"/>
      <c r="BHY42" s="224"/>
      <c r="BHZ42" s="224"/>
      <c r="BIA42" s="224"/>
      <c r="BIB42" s="224"/>
      <c r="BIC42" s="224"/>
      <c r="BID42" s="224"/>
      <c r="BIE42" s="224"/>
      <c r="BIF42" s="224"/>
      <c r="BIG42" s="224"/>
      <c r="BIH42" s="224"/>
      <c r="BII42" s="224"/>
      <c r="BIJ42" s="224"/>
      <c r="BIK42" s="224"/>
      <c r="BIL42" s="224"/>
      <c r="BIM42" s="224"/>
      <c r="BIN42" s="224"/>
      <c r="BIO42" s="224"/>
      <c r="BIP42" s="224"/>
      <c r="BIQ42" s="224"/>
      <c r="BIR42" s="224"/>
      <c r="BIS42" s="224"/>
      <c r="BIT42" s="224"/>
      <c r="BIU42" s="224"/>
      <c r="BIV42" s="224"/>
      <c r="BIW42" s="224"/>
      <c r="BIX42" s="224"/>
      <c r="BIY42" s="224"/>
      <c r="BIZ42" s="224"/>
      <c r="BJA42" s="224"/>
      <c r="BJB42" s="224"/>
      <c r="BJC42" s="224"/>
      <c r="BJD42" s="224"/>
      <c r="BJE42" s="224"/>
      <c r="BJF42" s="224"/>
      <c r="BJG42" s="224"/>
      <c r="BJH42" s="224"/>
      <c r="BJI42" s="224"/>
      <c r="BJJ42" s="224"/>
      <c r="BJK42" s="224"/>
      <c r="BJL42" s="224"/>
      <c r="BJM42" s="224"/>
      <c r="BJN42" s="224"/>
      <c r="BJO42" s="224"/>
      <c r="BJP42" s="224"/>
      <c r="BJQ42" s="224"/>
      <c r="BJR42" s="224"/>
      <c r="BJS42" s="224"/>
      <c r="BJT42" s="224"/>
      <c r="BJU42" s="224"/>
      <c r="BJV42" s="224"/>
      <c r="BJW42" s="224"/>
      <c r="BJX42" s="224"/>
      <c r="BJY42" s="224"/>
      <c r="BJZ42" s="224"/>
      <c r="BKA42" s="224"/>
      <c r="BKB42" s="224"/>
      <c r="BKC42" s="224"/>
      <c r="BKD42" s="224"/>
      <c r="BKE42" s="224"/>
      <c r="BKF42" s="224"/>
      <c r="BKG42" s="224"/>
      <c r="BKH42" s="224"/>
      <c r="BKI42" s="224"/>
      <c r="BKJ42" s="224"/>
      <c r="BKK42" s="224"/>
      <c r="BKL42" s="224"/>
      <c r="BKM42" s="224"/>
      <c r="BKN42" s="224"/>
      <c r="BKO42" s="224"/>
      <c r="BKP42" s="224"/>
      <c r="BKQ42" s="224"/>
      <c r="BKR42" s="224"/>
      <c r="BKS42" s="224"/>
      <c r="BKT42" s="224"/>
      <c r="BKU42" s="224"/>
      <c r="BKV42" s="224"/>
      <c r="BKW42" s="224"/>
      <c r="BKX42" s="224"/>
      <c r="BKY42" s="224"/>
      <c r="BKZ42" s="224"/>
      <c r="BLA42" s="224"/>
      <c r="BLB42" s="224"/>
      <c r="BLC42" s="224"/>
      <c r="BLD42" s="224"/>
      <c r="BLE42" s="224"/>
      <c r="BLF42" s="224"/>
      <c r="BLG42" s="224"/>
      <c r="BLH42" s="224"/>
      <c r="BLI42" s="224"/>
      <c r="BLJ42" s="224"/>
      <c r="BLK42" s="224"/>
      <c r="BLL42" s="224"/>
      <c r="BLM42" s="224"/>
      <c r="BLN42" s="224"/>
      <c r="BLO42" s="224"/>
      <c r="BLP42" s="224"/>
      <c r="BLQ42" s="224"/>
      <c r="BLR42" s="224"/>
      <c r="BLS42" s="224"/>
      <c r="BLT42" s="224"/>
      <c r="BLU42" s="224"/>
      <c r="BLV42" s="224"/>
      <c r="BLW42" s="224"/>
      <c r="BLX42" s="224"/>
      <c r="BLY42" s="224"/>
      <c r="BLZ42" s="224"/>
      <c r="BMA42" s="224"/>
      <c r="BMB42" s="224"/>
      <c r="BMC42" s="224"/>
      <c r="BMD42" s="224"/>
      <c r="BME42" s="224"/>
      <c r="BMF42" s="224"/>
      <c r="BMG42" s="224"/>
      <c r="BMH42" s="224"/>
      <c r="BMI42" s="224"/>
      <c r="BMJ42" s="224"/>
      <c r="BMK42" s="224"/>
      <c r="BML42" s="224"/>
      <c r="BMM42" s="224"/>
      <c r="BMN42" s="224"/>
      <c r="BMO42" s="224"/>
      <c r="BMP42" s="224"/>
      <c r="BMQ42" s="224"/>
      <c r="BMR42" s="224"/>
      <c r="BMS42" s="224"/>
      <c r="BMT42" s="224"/>
      <c r="BMU42" s="224"/>
      <c r="BMV42" s="224"/>
      <c r="BMW42" s="224"/>
      <c r="BMX42" s="224"/>
      <c r="BMY42" s="224"/>
      <c r="BMZ42" s="224"/>
      <c r="BNA42" s="224"/>
      <c r="BNB42" s="224"/>
      <c r="BNC42" s="224"/>
      <c r="BND42" s="224"/>
      <c r="BNE42" s="224"/>
      <c r="BNF42" s="224"/>
      <c r="BNG42" s="224"/>
      <c r="BNH42" s="224"/>
      <c r="BNI42" s="224"/>
      <c r="BNJ42" s="224"/>
      <c r="BNK42" s="224"/>
      <c r="BNL42" s="224"/>
      <c r="BNM42" s="224"/>
      <c r="BNN42" s="224"/>
      <c r="BNO42" s="224"/>
      <c r="BNP42" s="224"/>
      <c r="BNQ42" s="224"/>
      <c r="BNR42" s="224"/>
      <c r="BNS42" s="224"/>
      <c r="BNT42" s="224"/>
      <c r="BNU42" s="224"/>
      <c r="BNV42" s="224"/>
      <c r="BNW42" s="224"/>
      <c r="BNX42" s="224"/>
      <c r="BNY42" s="224"/>
      <c r="BNZ42" s="224"/>
      <c r="BOA42" s="224"/>
      <c r="BOB42" s="224"/>
      <c r="BOC42" s="224"/>
      <c r="BOD42" s="224"/>
      <c r="BOE42" s="224"/>
      <c r="BOF42" s="224"/>
      <c r="BOG42" s="224"/>
      <c r="BOH42" s="224"/>
      <c r="BOI42" s="224"/>
      <c r="BOJ42" s="224"/>
      <c r="BOK42" s="224"/>
      <c r="BOL42" s="224"/>
      <c r="BOM42" s="224"/>
      <c r="BON42" s="224"/>
      <c r="BOO42" s="224"/>
      <c r="BOP42" s="224"/>
      <c r="BOQ42" s="224"/>
      <c r="BOR42" s="224"/>
      <c r="BOS42" s="224"/>
      <c r="BOT42" s="224"/>
      <c r="BOU42" s="224"/>
      <c r="BOV42" s="224"/>
      <c r="BOW42" s="224"/>
      <c r="BOX42" s="224"/>
      <c r="BOY42" s="224"/>
      <c r="BOZ42" s="224"/>
      <c r="BPA42" s="224"/>
      <c r="BPB42" s="224"/>
      <c r="BPC42" s="224"/>
      <c r="BPD42" s="224"/>
      <c r="BPE42" s="224"/>
      <c r="BPF42" s="224"/>
      <c r="BPG42" s="224"/>
      <c r="BPH42" s="224"/>
      <c r="BPI42" s="224"/>
      <c r="BPJ42" s="224"/>
      <c r="BPK42" s="224"/>
      <c r="BPL42" s="224"/>
      <c r="BPM42" s="224"/>
      <c r="BPN42" s="224"/>
      <c r="BPO42" s="224"/>
      <c r="BPP42" s="224"/>
      <c r="BPQ42" s="224"/>
      <c r="BPR42" s="224"/>
      <c r="BPS42" s="224"/>
      <c r="BPT42" s="224"/>
      <c r="BPU42" s="224"/>
      <c r="BPV42" s="224"/>
      <c r="BPW42" s="224"/>
      <c r="BPX42" s="224"/>
      <c r="BPY42" s="224"/>
      <c r="BPZ42" s="224"/>
      <c r="BQA42" s="224"/>
      <c r="BQB42" s="224"/>
      <c r="BQC42" s="224"/>
      <c r="BQD42" s="224"/>
      <c r="BQE42" s="224"/>
      <c r="BQF42" s="224"/>
      <c r="BQG42" s="224"/>
      <c r="BQH42" s="224"/>
      <c r="BQI42" s="224"/>
      <c r="BQJ42" s="224"/>
      <c r="BQK42" s="224"/>
      <c r="BQL42" s="224"/>
      <c r="BQM42" s="224"/>
      <c r="BQN42" s="224"/>
      <c r="BQO42" s="224"/>
      <c r="BQP42" s="224"/>
      <c r="BQQ42" s="224"/>
      <c r="BQR42" s="224"/>
      <c r="BQS42" s="224"/>
      <c r="BQT42" s="224"/>
      <c r="BQU42" s="224"/>
      <c r="BQV42" s="224"/>
      <c r="BQW42" s="224"/>
      <c r="BQX42" s="224"/>
      <c r="BQY42" s="224"/>
      <c r="BQZ42" s="224"/>
      <c r="BRA42" s="224"/>
      <c r="BRB42" s="224"/>
      <c r="BRC42" s="224"/>
      <c r="BRD42" s="224"/>
      <c r="BRE42" s="224"/>
      <c r="BRF42" s="224"/>
      <c r="BRG42" s="224"/>
      <c r="BRH42" s="224"/>
      <c r="BRI42" s="224"/>
      <c r="BRJ42" s="224"/>
      <c r="BRK42" s="224"/>
      <c r="BRL42" s="224"/>
      <c r="BRM42" s="224"/>
      <c r="BRN42" s="224"/>
      <c r="BRO42" s="224"/>
      <c r="BRP42" s="224"/>
      <c r="BRQ42" s="224"/>
      <c r="BRR42" s="224"/>
      <c r="BRS42" s="224"/>
      <c r="BRT42" s="224"/>
      <c r="BRU42" s="224"/>
      <c r="BRV42" s="224"/>
      <c r="BRW42" s="224"/>
      <c r="BRX42" s="224"/>
      <c r="BRY42" s="224"/>
      <c r="BRZ42" s="224"/>
      <c r="BSA42" s="224"/>
      <c r="BSB42" s="224"/>
      <c r="BSC42" s="224"/>
      <c r="BSD42" s="224"/>
      <c r="BSE42" s="224"/>
      <c r="BSF42" s="224"/>
      <c r="BSG42" s="224"/>
      <c r="BSH42" s="224"/>
      <c r="BSI42" s="224"/>
      <c r="BSJ42" s="224"/>
      <c r="BSK42" s="224"/>
      <c r="BSL42" s="224"/>
      <c r="BSM42" s="224"/>
      <c r="BSN42" s="224"/>
      <c r="BSO42" s="224"/>
      <c r="BSP42" s="224"/>
      <c r="BSQ42" s="224"/>
      <c r="BSR42" s="224"/>
      <c r="BSS42" s="224"/>
      <c r="BST42" s="224"/>
      <c r="BSU42" s="224"/>
      <c r="BSV42" s="224"/>
      <c r="BSW42" s="224"/>
      <c r="BSX42" s="224"/>
      <c r="BSY42" s="224"/>
      <c r="BSZ42" s="224"/>
      <c r="BTA42" s="224"/>
      <c r="BTB42" s="224"/>
      <c r="BTC42" s="224"/>
      <c r="BTD42" s="224"/>
      <c r="BTE42" s="224"/>
      <c r="BTF42" s="224"/>
      <c r="BTG42" s="224"/>
      <c r="BTH42" s="224"/>
      <c r="BTI42" s="224"/>
      <c r="BTJ42" s="224"/>
      <c r="BTK42" s="224"/>
      <c r="BTL42" s="224"/>
      <c r="BTM42" s="224"/>
      <c r="BTN42" s="224"/>
      <c r="BTO42" s="224"/>
      <c r="BTP42" s="224"/>
      <c r="BTQ42" s="224"/>
      <c r="BTR42" s="224"/>
      <c r="BTS42" s="224"/>
      <c r="BTT42" s="224"/>
      <c r="BTU42" s="224"/>
      <c r="BTV42" s="224"/>
      <c r="BTW42" s="224"/>
      <c r="BTX42" s="224"/>
      <c r="BTY42" s="224"/>
      <c r="BTZ42" s="224"/>
      <c r="BUA42" s="224"/>
      <c r="BUB42" s="224"/>
      <c r="BUC42" s="224"/>
      <c r="BUD42" s="224"/>
      <c r="BUE42" s="224"/>
      <c r="BUF42" s="224"/>
      <c r="BUG42" s="224"/>
      <c r="BUH42" s="224"/>
      <c r="BUI42" s="224"/>
      <c r="BUJ42" s="224"/>
      <c r="BUK42" s="224"/>
      <c r="BUL42" s="224"/>
      <c r="BUM42" s="224"/>
      <c r="BUN42" s="224"/>
      <c r="BUO42" s="224"/>
      <c r="BUP42" s="224"/>
      <c r="BUQ42" s="224"/>
      <c r="BUR42" s="224"/>
      <c r="BUS42" s="224"/>
      <c r="BUT42" s="224"/>
      <c r="BUU42" s="224"/>
      <c r="BUV42" s="224"/>
      <c r="BUW42" s="224"/>
      <c r="BUX42" s="224"/>
      <c r="BUY42" s="224"/>
      <c r="BUZ42" s="224"/>
      <c r="BVA42" s="224"/>
      <c r="BVB42" s="224"/>
      <c r="BVC42" s="224"/>
      <c r="BVD42" s="224"/>
      <c r="BVE42" s="224"/>
      <c r="BVF42" s="224"/>
      <c r="BVG42" s="224"/>
      <c r="BVH42" s="224"/>
      <c r="BVI42" s="224"/>
      <c r="BVJ42" s="224"/>
      <c r="BVK42" s="224"/>
      <c r="BVL42" s="224"/>
      <c r="BVM42" s="224"/>
      <c r="BVN42" s="224"/>
      <c r="BVO42" s="224"/>
      <c r="BVP42" s="224"/>
      <c r="BVQ42" s="224"/>
      <c r="BVR42" s="224"/>
      <c r="BVS42" s="224"/>
      <c r="BVT42" s="224"/>
      <c r="BVU42" s="224"/>
      <c r="BVV42" s="224"/>
      <c r="BVW42" s="224"/>
      <c r="BVX42" s="224"/>
      <c r="BVY42" s="224"/>
      <c r="BVZ42" s="224"/>
      <c r="BWA42" s="224"/>
      <c r="BWB42" s="224"/>
      <c r="BWC42" s="224"/>
      <c r="BWD42" s="224"/>
      <c r="BWE42" s="224"/>
      <c r="BWF42" s="224"/>
      <c r="BWG42" s="224"/>
      <c r="BWH42" s="224"/>
      <c r="BWI42" s="224"/>
      <c r="BWJ42" s="224"/>
      <c r="BWK42" s="224"/>
      <c r="BWL42" s="224"/>
      <c r="BWM42" s="224"/>
      <c r="BWN42" s="224"/>
      <c r="BWO42" s="224"/>
      <c r="BWP42" s="224"/>
      <c r="BWQ42" s="224"/>
      <c r="BWR42" s="224"/>
      <c r="BWS42" s="224"/>
      <c r="BWT42" s="224"/>
      <c r="BWU42" s="224"/>
      <c r="BWV42" s="224"/>
      <c r="BWW42" s="224"/>
      <c r="BWX42" s="224"/>
      <c r="BWY42" s="224"/>
      <c r="BWZ42" s="224"/>
      <c r="BXA42" s="224"/>
      <c r="BXB42" s="224"/>
      <c r="BXC42" s="224"/>
      <c r="BXD42" s="224"/>
      <c r="BXE42" s="224"/>
      <c r="BXF42" s="224"/>
      <c r="BXG42" s="224"/>
      <c r="BXH42" s="224"/>
      <c r="BXI42" s="224"/>
      <c r="BXJ42" s="224"/>
      <c r="BXK42" s="224"/>
      <c r="BXL42" s="224"/>
      <c r="BXM42" s="224"/>
      <c r="BXN42" s="224"/>
      <c r="BXO42" s="224"/>
      <c r="BXP42" s="224"/>
      <c r="BXQ42" s="224"/>
      <c r="BXR42" s="224"/>
      <c r="BXS42" s="224"/>
      <c r="BXT42" s="224"/>
      <c r="BXU42" s="224"/>
      <c r="BXV42" s="224"/>
      <c r="BXW42" s="224"/>
      <c r="BXX42" s="224"/>
      <c r="BXY42" s="224"/>
      <c r="BXZ42" s="224"/>
      <c r="BYA42" s="224"/>
      <c r="BYB42" s="224"/>
      <c r="BYC42" s="224"/>
      <c r="BYD42" s="224"/>
      <c r="BYE42" s="224"/>
      <c r="BYF42" s="224"/>
      <c r="BYG42" s="224"/>
    </row>
    <row r="43" spans="1:2009" s="101" customFormat="1" ht="12.75" customHeight="1" thickBot="1" x14ac:dyDescent="0.3">
      <c r="A43" s="98"/>
      <c r="B43" s="129"/>
      <c r="C43" s="175"/>
      <c r="D43" s="175"/>
      <c r="E43" s="175"/>
      <c r="F43" s="175"/>
      <c r="G43" s="175"/>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118" customFormat="1" ht="24.95" customHeight="1" x14ac:dyDescent="0.25">
      <c r="A44" s="147" t="s">
        <v>362</v>
      </c>
      <c r="B44" s="485"/>
      <c r="C44" s="486"/>
      <c r="D44" s="486"/>
      <c r="E44" s="486"/>
      <c r="F44" s="487"/>
      <c r="G44" s="488"/>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c r="AML44" s="100"/>
      <c r="AMM44" s="100"/>
      <c r="AMN44" s="100"/>
      <c r="AMO44" s="100"/>
      <c r="AMP44" s="100"/>
      <c r="AMQ44" s="100"/>
      <c r="AMR44" s="100"/>
      <c r="AMS44" s="100"/>
      <c r="AMT44" s="100"/>
      <c r="AMU44" s="100"/>
      <c r="AMV44" s="100"/>
      <c r="AMW44" s="100"/>
      <c r="AMX44" s="100"/>
      <c r="AMY44" s="100"/>
      <c r="AMZ44" s="100"/>
      <c r="ANA44" s="100"/>
      <c r="ANB44" s="100"/>
      <c r="ANC44" s="100"/>
      <c r="AND44" s="100"/>
      <c r="ANE44" s="100"/>
      <c r="ANF44" s="100"/>
      <c r="ANG44" s="100"/>
      <c r="ANH44" s="100"/>
      <c r="ANI44" s="100"/>
      <c r="ANJ44" s="100"/>
      <c r="ANK44" s="100"/>
      <c r="ANL44" s="100"/>
      <c r="ANM44" s="100"/>
      <c r="ANN44" s="100"/>
      <c r="ANO44" s="100"/>
      <c r="ANP44" s="100"/>
      <c r="ANQ44" s="100"/>
      <c r="ANR44" s="100"/>
      <c r="ANS44" s="100"/>
      <c r="ANT44" s="100"/>
      <c r="ANU44" s="100"/>
      <c r="ANV44" s="100"/>
      <c r="ANW44" s="100"/>
      <c r="ANX44" s="100"/>
      <c r="ANY44" s="100"/>
      <c r="ANZ44" s="100"/>
      <c r="AOA44" s="100"/>
      <c r="AOB44" s="100"/>
      <c r="AOC44" s="100"/>
      <c r="AOD44" s="100"/>
      <c r="AOE44" s="100"/>
      <c r="AOF44" s="100"/>
      <c r="AOG44" s="100"/>
      <c r="AOH44" s="100"/>
      <c r="AOI44" s="100"/>
      <c r="AOJ44" s="100"/>
      <c r="AOK44" s="100"/>
      <c r="AOL44" s="100"/>
      <c r="AOM44" s="100"/>
      <c r="AON44" s="100"/>
      <c r="AOO44" s="100"/>
      <c r="AOP44" s="100"/>
      <c r="AOQ44" s="100"/>
      <c r="AOR44" s="100"/>
      <c r="AOS44" s="100"/>
      <c r="AOT44" s="100"/>
      <c r="AOU44" s="100"/>
      <c r="AOV44" s="100"/>
      <c r="AOW44" s="100"/>
      <c r="AOX44" s="100"/>
      <c r="AOY44" s="100"/>
      <c r="AOZ44" s="100"/>
      <c r="APA44" s="100"/>
      <c r="APB44" s="100"/>
      <c r="APC44" s="100"/>
      <c r="APD44" s="100"/>
      <c r="APE44" s="100"/>
      <c r="APF44" s="100"/>
      <c r="APG44" s="100"/>
      <c r="APH44" s="100"/>
      <c r="API44" s="100"/>
      <c r="APJ44" s="100"/>
      <c r="APK44" s="100"/>
      <c r="APL44" s="100"/>
      <c r="APM44" s="100"/>
      <c r="APN44" s="100"/>
      <c r="APO44" s="100"/>
      <c r="APP44" s="100"/>
      <c r="APQ44" s="100"/>
      <c r="APR44" s="100"/>
      <c r="APS44" s="100"/>
      <c r="APT44" s="100"/>
      <c r="APU44" s="100"/>
      <c r="APV44" s="100"/>
      <c r="APW44" s="100"/>
      <c r="APX44" s="100"/>
      <c r="APY44" s="100"/>
      <c r="APZ44" s="100"/>
      <c r="AQA44" s="100"/>
      <c r="AQB44" s="100"/>
      <c r="AQC44" s="100"/>
      <c r="AQD44" s="100"/>
      <c r="AQE44" s="100"/>
      <c r="AQF44" s="100"/>
      <c r="AQG44" s="100"/>
      <c r="AQH44" s="100"/>
      <c r="AQI44" s="100"/>
      <c r="AQJ44" s="100"/>
      <c r="AQK44" s="100"/>
      <c r="AQL44" s="100"/>
      <c r="AQM44" s="100"/>
      <c r="AQN44" s="100"/>
      <c r="AQO44" s="100"/>
      <c r="AQP44" s="100"/>
      <c r="AQQ44" s="100"/>
      <c r="AQR44" s="100"/>
      <c r="AQS44" s="100"/>
      <c r="AQT44" s="100"/>
      <c r="AQU44" s="100"/>
      <c r="AQV44" s="100"/>
      <c r="AQW44" s="100"/>
      <c r="AQX44" s="100"/>
      <c r="AQY44" s="100"/>
      <c r="AQZ44" s="100"/>
      <c r="ARA44" s="100"/>
      <c r="ARB44" s="100"/>
      <c r="ARC44" s="100"/>
      <c r="ARD44" s="100"/>
      <c r="ARE44" s="100"/>
      <c r="ARF44" s="100"/>
      <c r="ARG44" s="100"/>
      <c r="ARH44" s="100"/>
      <c r="ARI44" s="100"/>
      <c r="ARJ44" s="100"/>
      <c r="ARK44" s="100"/>
      <c r="ARL44" s="100"/>
      <c r="ARM44" s="100"/>
      <c r="ARN44" s="100"/>
      <c r="ARO44" s="100"/>
      <c r="ARP44" s="100"/>
      <c r="ARQ44" s="100"/>
      <c r="ARR44" s="100"/>
      <c r="ARS44" s="100"/>
      <c r="ART44" s="100"/>
      <c r="ARU44" s="100"/>
      <c r="ARV44" s="100"/>
      <c r="ARW44" s="100"/>
      <c r="ARX44" s="100"/>
      <c r="ARY44" s="100"/>
      <c r="ARZ44" s="100"/>
      <c r="ASA44" s="100"/>
      <c r="ASB44" s="100"/>
      <c r="ASC44" s="100"/>
      <c r="ASD44" s="100"/>
      <c r="ASE44" s="100"/>
      <c r="ASF44" s="100"/>
      <c r="ASG44" s="100"/>
      <c r="ASH44" s="100"/>
      <c r="ASI44" s="100"/>
      <c r="ASJ44" s="100"/>
      <c r="ASK44" s="100"/>
      <c r="ASL44" s="100"/>
      <c r="ASM44" s="100"/>
      <c r="ASN44" s="100"/>
      <c r="ASO44" s="100"/>
      <c r="ASP44" s="100"/>
      <c r="ASQ44" s="100"/>
      <c r="ASR44" s="100"/>
      <c r="ASS44" s="100"/>
      <c r="AST44" s="100"/>
      <c r="ASU44" s="100"/>
      <c r="ASV44" s="100"/>
      <c r="ASW44" s="100"/>
      <c r="ASX44" s="100"/>
      <c r="ASY44" s="100"/>
      <c r="ASZ44" s="100"/>
      <c r="ATA44" s="100"/>
      <c r="ATB44" s="100"/>
      <c r="ATC44" s="100"/>
      <c r="ATD44" s="100"/>
      <c r="ATE44" s="100"/>
      <c r="ATF44" s="100"/>
      <c r="ATG44" s="100"/>
      <c r="ATH44" s="100"/>
      <c r="ATI44" s="100"/>
      <c r="ATJ44" s="100"/>
      <c r="ATK44" s="100"/>
      <c r="ATL44" s="100"/>
      <c r="ATM44" s="100"/>
      <c r="ATN44" s="100"/>
      <c r="ATO44" s="100"/>
      <c r="ATP44" s="100"/>
      <c r="ATQ44" s="100"/>
      <c r="ATR44" s="100"/>
      <c r="ATS44" s="100"/>
      <c r="ATT44" s="100"/>
      <c r="ATU44" s="100"/>
      <c r="ATV44" s="100"/>
      <c r="ATW44" s="100"/>
      <c r="ATX44" s="100"/>
      <c r="ATY44" s="100"/>
      <c r="ATZ44" s="100"/>
      <c r="AUA44" s="100"/>
      <c r="AUB44" s="100"/>
      <c r="AUC44" s="100"/>
      <c r="AUD44" s="100"/>
      <c r="AUE44" s="100"/>
      <c r="AUF44" s="100"/>
      <c r="AUG44" s="100"/>
      <c r="AUH44" s="100"/>
      <c r="AUI44" s="100"/>
      <c r="AUJ44" s="100"/>
      <c r="AUK44" s="100"/>
      <c r="AUL44" s="100"/>
      <c r="AUM44" s="100"/>
      <c r="AUN44" s="100"/>
      <c r="AUO44" s="100"/>
      <c r="AUP44" s="100"/>
      <c r="AUQ44" s="100"/>
      <c r="AUR44" s="100"/>
      <c r="AUS44" s="100"/>
      <c r="AUT44" s="100"/>
      <c r="AUU44" s="100"/>
      <c r="AUV44" s="100"/>
      <c r="AUW44" s="100"/>
      <c r="AUX44" s="100"/>
      <c r="AUY44" s="100"/>
      <c r="AUZ44" s="100"/>
      <c r="AVA44" s="100"/>
      <c r="AVB44" s="100"/>
      <c r="AVC44" s="100"/>
      <c r="AVD44" s="100"/>
      <c r="AVE44" s="100"/>
      <c r="AVF44" s="100"/>
      <c r="AVG44" s="100"/>
      <c r="AVH44" s="100"/>
      <c r="AVI44" s="100"/>
      <c r="AVJ44" s="100"/>
      <c r="AVK44" s="100"/>
      <c r="AVL44" s="100"/>
      <c r="AVM44" s="100"/>
      <c r="AVN44" s="100"/>
      <c r="AVO44" s="100"/>
      <c r="AVP44" s="100"/>
      <c r="AVQ44" s="100"/>
      <c r="AVR44" s="100"/>
      <c r="AVS44" s="100"/>
      <c r="AVT44" s="100"/>
      <c r="AVU44" s="100"/>
      <c r="AVV44" s="100"/>
      <c r="AVW44" s="100"/>
      <c r="AVX44" s="100"/>
      <c r="AVY44" s="100"/>
      <c r="AVZ44" s="100"/>
      <c r="AWA44" s="100"/>
      <c r="AWB44" s="100"/>
      <c r="AWC44" s="100"/>
      <c r="AWD44" s="100"/>
      <c r="AWE44" s="100"/>
      <c r="AWF44" s="100"/>
      <c r="AWG44" s="100"/>
      <c r="AWH44" s="100"/>
      <c r="AWI44" s="100"/>
      <c r="AWJ44" s="100"/>
      <c r="AWK44" s="100"/>
      <c r="AWL44" s="100"/>
      <c r="AWM44" s="100"/>
      <c r="AWN44" s="100"/>
      <c r="AWO44" s="100"/>
      <c r="AWP44" s="100"/>
      <c r="AWQ44" s="100"/>
      <c r="AWR44" s="100"/>
      <c r="AWS44" s="100"/>
      <c r="AWT44" s="100"/>
      <c r="AWU44" s="100"/>
      <c r="AWV44" s="100"/>
      <c r="AWW44" s="100"/>
      <c r="AWX44" s="100"/>
      <c r="AWY44" s="100"/>
      <c r="AWZ44" s="100"/>
      <c r="AXA44" s="100"/>
      <c r="AXB44" s="100"/>
      <c r="AXC44" s="100"/>
      <c r="AXD44" s="100"/>
      <c r="AXE44" s="100"/>
      <c r="AXF44" s="100"/>
      <c r="AXG44" s="100"/>
      <c r="AXH44" s="100"/>
      <c r="AXI44" s="100"/>
      <c r="AXJ44" s="100"/>
      <c r="AXK44" s="100"/>
      <c r="AXL44" s="100"/>
      <c r="AXM44" s="100"/>
      <c r="AXN44" s="100"/>
      <c r="AXO44" s="100"/>
      <c r="AXP44" s="100"/>
      <c r="AXQ44" s="100"/>
      <c r="AXR44" s="100"/>
      <c r="AXS44" s="100"/>
      <c r="AXT44" s="100"/>
      <c r="AXU44" s="100"/>
      <c r="AXV44" s="100"/>
      <c r="AXW44" s="100"/>
      <c r="AXX44" s="100"/>
      <c r="AXY44" s="100"/>
      <c r="AXZ44" s="100"/>
      <c r="AYA44" s="100"/>
      <c r="AYB44" s="100"/>
      <c r="AYC44" s="100"/>
      <c r="AYD44" s="100"/>
      <c r="AYE44" s="100"/>
      <c r="AYF44" s="100"/>
      <c r="AYG44" s="100"/>
      <c r="AYH44" s="100"/>
      <c r="AYI44" s="100"/>
      <c r="AYJ44" s="100"/>
      <c r="AYK44" s="100"/>
      <c r="AYL44" s="100"/>
      <c r="AYM44" s="100"/>
      <c r="AYN44" s="100"/>
      <c r="AYO44" s="100"/>
      <c r="AYP44" s="100"/>
      <c r="AYQ44" s="100"/>
      <c r="AYR44" s="100"/>
      <c r="AYS44" s="100"/>
      <c r="AYT44" s="100"/>
      <c r="AYU44" s="100"/>
      <c r="AYV44" s="100"/>
      <c r="AYW44" s="100"/>
      <c r="AYX44" s="100"/>
      <c r="AYY44" s="100"/>
      <c r="AYZ44" s="100"/>
      <c r="AZA44" s="100"/>
      <c r="AZB44" s="100"/>
      <c r="AZC44" s="100"/>
      <c r="AZD44" s="100"/>
      <c r="AZE44" s="100"/>
      <c r="AZF44" s="100"/>
      <c r="AZG44" s="100"/>
      <c r="AZH44" s="100"/>
      <c r="AZI44" s="100"/>
      <c r="AZJ44" s="100"/>
      <c r="AZK44" s="100"/>
      <c r="AZL44" s="100"/>
      <c r="AZM44" s="100"/>
      <c r="AZN44" s="100"/>
      <c r="AZO44" s="100"/>
      <c r="AZP44" s="100"/>
      <c r="AZQ44" s="100"/>
      <c r="AZR44" s="100"/>
      <c r="AZS44" s="100"/>
      <c r="AZT44" s="100"/>
      <c r="AZU44" s="100"/>
      <c r="AZV44" s="100"/>
      <c r="AZW44" s="100"/>
      <c r="AZX44" s="100"/>
      <c r="AZY44" s="100"/>
      <c r="AZZ44" s="100"/>
      <c r="BAA44" s="100"/>
      <c r="BAB44" s="100"/>
      <c r="BAC44" s="100"/>
      <c r="BAD44" s="100"/>
      <c r="BAE44" s="100"/>
      <c r="BAF44" s="100"/>
      <c r="BAG44" s="100"/>
      <c r="BAH44" s="100"/>
      <c r="BAI44" s="100"/>
      <c r="BAJ44" s="100"/>
      <c r="BAK44" s="100"/>
      <c r="BAL44" s="100"/>
      <c r="BAM44" s="100"/>
      <c r="BAN44" s="100"/>
      <c r="BAO44" s="100"/>
      <c r="BAP44" s="100"/>
      <c r="BAQ44" s="100"/>
      <c r="BAR44" s="100"/>
      <c r="BAS44" s="100"/>
      <c r="BAT44" s="100"/>
      <c r="BAU44" s="100"/>
      <c r="BAV44" s="100"/>
      <c r="BAW44" s="100"/>
      <c r="BAX44" s="100"/>
      <c r="BAY44" s="100"/>
      <c r="BAZ44" s="100"/>
      <c r="BBA44" s="100"/>
      <c r="BBB44" s="100"/>
      <c r="BBC44" s="100"/>
      <c r="BBD44" s="100"/>
      <c r="BBE44" s="100"/>
      <c r="BBF44" s="100"/>
      <c r="BBG44" s="100"/>
      <c r="BBH44" s="100"/>
      <c r="BBI44" s="100"/>
      <c r="BBJ44" s="100"/>
      <c r="BBK44" s="100"/>
      <c r="BBL44" s="100"/>
      <c r="BBM44" s="100"/>
      <c r="BBN44" s="100"/>
      <c r="BBO44" s="100"/>
      <c r="BBP44" s="100"/>
      <c r="BBQ44" s="100"/>
      <c r="BBR44" s="100"/>
      <c r="BBS44" s="100"/>
      <c r="BBT44" s="100"/>
      <c r="BBU44" s="100"/>
      <c r="BBV44" s="100"/>
      <c r="BBW44" s="100"/>
      <c r="BBX44" s="100"/>
      <c r="BBY44" s="100"/>
      <c r="BBZ44" s="100"/>
      <c r="BCA44" s="100"/>
      <c r="BCB44" s="100"/>
      <c r="BCC44" s="100"/>
      <c r="BCD44" s="100"/>
      <c r="BCE44" s="100"/>
      <c r="BCF44" s="100"/>
      <c r="BCG44" s="100"/>
      <c r="BCH44" s="100"/>
      <c r="BCI44" s="100"/>
      <c r="BCJ44" s="100"/>
      <c r="BCK44" s="100"/>
      <c r="BCL44" s="100"/>
      <c r="BCM44" s="100"/>
      <c r="BCN44" s="100"/>
      <c r="BCO44" s="100"/>
      <c r="BCP44" s="100"/>
      <c r="BCQ44" s="100"/>
      <c r="BCR44" s="100"/>
      <c r="BCS44" s="100"/>
      <c r="BCT44" s="100"/>
      <c r="BCU44" s="100"/>
      <c r="BCV44" s="100"/>
      <c r="BCW44" s="100"/>
      <c r="BCX44" s="100"/>
      <c r="BCY44" s="100"/>
      <c r="BCZ44" s="100"/>
      <c r="BDA44" s="100"/>
      <c r="BDB44" s="100"/>
      <c r="BDC44" s="100"/>
      <c r="BDD44" s="100"/>
      <c r="BDE44" s="100"/>
      <c r="BDF44" s="100"/>
      <c r="BDG44" s="100"/>
      <c r="BDH44" s="100"/>
      <c r="BDI44" s="100"/>
      <c r="BDJ44" s="100"/>
      <c r="BDK44" s="100"/>
      <c r="BDL44" s="100"/>
      <c r="BDM44" s="100"/>
      <c r="BDN44" s="100"/>
      <c r="BDO44" s="100"/>
      <c r="BDP44" s="100"/>
      <c r="BDQ44" s="100"/>
      <c r="BDR44" s="100"/>
      <c r="BDS44" s="100"/>
      <c r="BDT44" s="100"/>
      <c r="BDU44" s="100"/>
      <c r="BDV44" s="100"/>
      <c r="BDW44" s="100"/>
      <c r="BDX44" s="100"/>
      <c r="BDY44" s="100"/>
      <c r="BDZ44" s="100"/>
      <c r="BEA44" s="100"/>
      <c r="BEB44" s="100"/>
      <c r="BEC44" s="100"/>
      <c r="BED44" s="100"/>
      <c r="BEE44" s="100"/>
      <c r="BEF44" s="100"/>
      <c r="BEG44" s="100"/>
      <c r="BEH44" s="100"/>
      <c r="BEI44" s="100"/>
      <c r="BEJ44" s="100"/>
      <c r="BEK44" s="100"/>
      <c r="BEL44" s="100"/>
      <c r="BEM44" s="100"/>
      <c r="BEN44" s="100"/>
      <c r="BEO44" s="100"/>
      <c r="BEP44" s="100"/>
      <c r="BEQ44" s="100"/>
      <c r="BER44" s="100"/>
      <c r="BES44" s="100"/>
      <c r="BET44" s="100"/>
      <c r="BEU44" s="100"/>
      <c r="BEV44" s="100"/>
      <c r="BEW44" s="100"/>
      <c r="BEX44" s="100"/>
      <c r="BEY44" s="100"/>
      <c r="BEZ44" s="100"/>
      <c r="BFA44" s="100"/>
      <c r="BFB44" s="100"/>
      <c r="BFC44" s="100"/>
      <c r="BFD44" s="100"/>
      <c r="BFE44" s="100"/>
      <c r="BFF44" s="100"/>
      <c r="BFG44" s="100"/>
      <c r="BFH44" s="100"/>
      <c r="BFI44" s="100"/>
      <c r="BFJ44" s="100"/>
      <c r="BFK44" s="100"/>
      <c r="BFL44" s="100"/>
      <c r="BFM44" s="100"/>
      <c r="BFN44" s="100"/>
      <c r="BFO44" s="100"/>
      <c r="BFP44" s="100"/>
      <c r="BFQ44" s="100"/>
      <c r="BFR44" s="100"/>
      <c r="BFS44" s="100"/>
      <c r="BFT44" s="100"/>
      <c r="BFU44" s="100"/>
      <c r="BFV44" s="100"/>
      <c r="BFW44" s="100"/>
      <c r="BFX44" s="100"/>
      <c r="BFY44" s="100"/>
      <c r="BFZ44" s="100"/>
      <c r="BGA44" s="100"/>
      <c r="BGB44" s="100"/>
      <c r="BGC44" s="100"/>
      <c r="BGD44" s="100"/>
      <c r="BGE44" s="100"/>
      <c r="BGF44" s="100"/>
      <c r="BGG44" s="100"/>
      <c r="BGH44" s="100"/>
      <c r="BGI44" s="100"/>
      <c r="BGJ44" s="100"/>
      <c r="BGK44" s="100"/>
      <c r="BGL44" s="100"/>
      <c r="BGM44" s="100"/>
      <c r="BGN44" s="100"/>
      <c r="BGO44" s="100"/>
      <c r="BGP44" s="100"/>
      <c r="BGQ44" s="100"/>
      <c r="BGR44" s="100"/>
      <c r="BGS44" s="100"/>
      <c r="BGT44" s="100"/>
      <c r="BGU44" s="100"/>
      <c r="BGV44" s="100"/>
      <c r="BGW44" s="100"/>
      <c r="BGX44" s="100"/>
      <c r="BGY44" s="100"/>
      <c r="BGZ44" s="100"/>
      <c r="BHA44" s="100"/>
      <c r="BHB44" s="100"/>
      <c r="BHC44" s="100"/>
      <c r="BHD44" s="100"/>
      <c r="BHE44" s="100"/>
      <c r="BHF44" s="100"/>
      <c r="BHG44" s="100"/>
      <c r="BHH44" s="100"/>
      <c r="BHI44" s="100"/>
      <c r="BHJ44" s="100"/>
      <c r="BHK44" s="100"/>
      <c r="BHL44" s="100"/>
      <c r="BHM44" s="100"/>
      <c r="BHN44" s="100"/>
      <c r="BHO44" s="100"/>
      <c r="BHP44" s="100"/>
      <c r="BHQ44" s="100"/>
      <c r="BHR44" s="100"/>
      <c r="BHS44" s="100"/>
      <c r="BHT44" s="100"/>
      <c r="BHU44" s="100"/>
      <c r="BHV44" s="100"/>
      <c r="BHW44" s="100"/>
      <c r="BHX44" s="100"/>
      <c r="BHY44" s="100"/>
      <c r="BHZ44" s="100"/>
      <c r="BIA44" s="100"/>
      <c r="BIB44" s="100"/>
      <c r="BIC44" s="100"/>
      <c r="BID44" s="100"/>
      <c r="BIE44" s="100"/>
      <c r="BIF44" s="100"/>
      <c r="BIG44" s="100"/>
      <c r="BIH44" s="100"/>
      <c r="BII44" s="100"/>
      <c r="BIJ44" s="100"/>
      <c r="BIK44" s="100"/>
      <c r="BIL44" s="100"/>
      <c r="BIM44" s="100"/>
      <c r="BIN44" s="100"/>
      <c r="BIO44" s="100"/>
      <c r="BIP44" s="100"/>
      <c r="BIQ44" s="100"/>
      <c r="BIR44" s="100"/>
      <c r="BIS44" s="100"/>
      <c r="BIT44" s="100"/>
      <c r="BIU44" s="100"/>
      <c r="BIV44" s="100"/>
      <c r="BIW44" s="100"/>
      <c r="BIX44" s="100"/>
      <c r="BIY44" s="100"/>
      <c r="BIZ44" s="100"/>
      <c r="BJA44" s="100"/>
      <c r="BJB44" s="100"/>
      <c r="BJC44" s="100"/>
      <c r="BJD44" s="100"/>
      <c r="BJE44" s="100"/>
      <c r="BJF44" s="100"/>
      <c r="BJG44" s="100"/>
      <c r="BJH44" s="100"/>
      <c r="BJI44" s="100"/>
      <c r="BJJ44" s="100"/>
      <c r="BJK44" s="100"/>
      <c r="BJL44" s="100"/>
      <c r="BJM44" s="100"/>
      <c r="BJN44" s="100"/>
      <c r="BJO44" s="100"/>
      <c r="BJP44" s="100"/>
      <c r="BJQ44" s="100"/>
      <c r="BJR44" s="100"/>
      <c r="BJS44" s="100"/>
      <c r="BJT44" s="100"/>
      <c r="BJU44" s="100"/>
      <c r="BJV44" s="100"/>
      <c r="BJW44" s="100"/>
      <c r="BJX44" s="100"/>
      <c r="BJY44" s="100"/>
      <c r="BJZ44" s="100"/>
      <c r="BKA44" s="100"/>
      <c r="BKB44" s="100"/>
      <c r="BKC44" s="100"/>
      <c r="BKD44" s="100"/>
      <c r="BKE44" s="100"/>
      <c r="BKF44" s="100"/>
      <c r="BKG44" s="100"/>
      <c r="BKH44" s="100"/>
      <c r="BKI44" s="100"/>
      <c r="BKJ44" s="100"/>
      <c r="BKK44" s="100"/>
      <c r="BKL44" s="100"/>
      <c r="BKM44" s="100"/>
      <c r="BKN44" s="100"/>
      <c r="BKO44" s="100"/>
      <c r="BKP44" s="100"/>
      <c r="BKQ44" s="100"/>
      <c r="BKR44" s="100"/>
      <c r="BKS44" s="100"/>
      <c r="BKT44" s="100"/>
      <c r="BKU44" s="100"/>
      <c r="BKV44" s="100"/>
      <c r="BKW44" s="100"/>
      <c r="BKX44" s="100"/>
      <c r="BKY44" s="100"/>
      <c r="BKZ44" s="100"/>
      <c r="BLA44" s="100"/>
      <c r="BLB44" s="100"/>
      <c r="BLC44" s="100"/>
      <c r="BLD44" s="100"/>
      <c r="BLE44" s="100"/>
      <c r="BLF44" s="100"/>
      <c r="BLG44" s="100"/>
      <c r="BLH44" s="100"/>
      <c r="BLI44" s="100"/>
      <c r="BLJ44" s="100"/>
      <c r="BLK44" s="100"/>
      <c r="BLL44" s="100"/>
      <c r="BLM44" s="100"/>
      <c r="BLN44" s="100"/>
      <c r="BLO44" s="100"/>
      <c r="BLP44" s="100"/>
      <c r="BLQ44" s="100"/>
      <c r="BLR44" s="100"/>
      <c r="BLS44" s="100"/>
      <c r="BLT44" s="100"/>
      <c r="BLU44" s="100"/>
      <c r="BLV44" s="100"/>
      <c r="BLW44" s="100"/>
      <c r="BLX44" s="100"/>
      <c r="BLY44" s="100"/>
      <c r="BLZ44" s="100"/>
      <c r="BMA44" s="100"/>
      <c r="BMB44" s="100"/>
      <c r="BMC44" s="100"/>
      <c r="BMD44" s="100"/>
      <c r="BME44" s="100"/>
      <c r="BMF44" s="100"/>
      <c r="BMG44" s="100"/>
      <c r="BMH44" s="100"/>
      <c r="BMI44" s="100"/>
      <c r="BMJ44" s="100"/>
      <c r="BMK44" s="100"/>
      <c r="BML44" s="100"/>
      <c r="BMM44" s="100"/>
      <c r="BMN44" s="100"/>
      <c r="BMO44" s="100"/>
      <c r="BMP44" s="100"/>
      <c r="BMQ44" s="100"/>
      <c r="BMR44" s="100"/>
      <c r="BMS44" s="100"/>
      <c r="BMT44" s="100"/>
      <c r="BMU44" s="100"/>
      <c r="BMV44" s="100"/>
      <c r="BMW44" s="100"/>
      <c r="BMX44" s="100"/>
      <c r="BMY44" s="100"/>
      <c r="BMZ44" s="100"/>
      <c r="BNA44" s="100"/>
      <c r="BNB44" s="100"/>
      <c r="BNC44" s="100"/>
      <c r="BND44" s="100"/>
      <c r="BNE44" s="100"/>
      <c r="BNF44" s="100"/>
      <c r="BNG44" s="100"/>
      <c r="BNH44" s="100"/>
      <c r="BNI44" s="100"/>
      <c r="BNJ44" s="100"/>
      <c r="BNK44" s="100"/>
      <c r="BNL44" s="100"/>
      <c r="BNM44" s="100"/>
      <c r="BNN44" s="100"/>
      <c r="BNO44" s="100"/>
      <c r="BNP44" s="100"/>
      <c r="BNQ44" s="100"/>
      <c r="BNR44" s="100"/>
      <c r="BNS44" s="100"/>
      <c r="BNT44" s="100"/>
      <c r="BNU44" s="100"/>
      <c r="BNV44" s="100"/>
      <c r="BNW44" s="100"/>
      <c r="BNX44" s="100"/>
      <c r="BNY44" s="100"/>
      <c r="BNZ44" s="100"/>
      <c r="BOA44" s="100"/>
      <c r="BOB44" s="100"/>
      <c r="BOC44" s="100"/>
      <c r="BOD44" s="100"/>
      <c r="BOE44" s="100"/>
      <c r="BOF44" s="100"/>
      <c r="BOG44" s="100"/>
      <c r="BOH44" s="100"/>
      <c r="BOI44" s="100"/>
      <c r="BOJ44" s="100"/>
      <c r="BOK44" s="100"/>
      <c r="BOL44" s="100"/>
      <c r="BOM44" s="100"/>
      <c r="BON44" s="100"/>
      <c r="BOO44" s="100"/>
      <c r="BOP44" s="100"/>
      <c r="BOQ44" s="100"/>
      <c r="BOR44" s="100"/>
      <c r="BOS44" s="100"/>
      <c r="BOT44" s="100"/>
      <c r="BOU44" s="100"/>
      <c r="BOV44" s="100"/>
      <c r="BOW44" s="100"/>
      <c r="BOX44" s="100"/>
      <c r="BOY44" s="100"/>
      <c r="BOZ44" s="100"/>
      <c r="BPA44" s="100"/>
      <c r="BPB44" s="100"/>
      <c r="BPC44" s="100"/>
      <c r="BPD44" s="100"/>
      <c r="BPE44" s="100"/>
      <c r="BPF44" s="100"/>
      <c r="BPG44" s="100"/>
      <c r="BPH44" s="100"/>
      <c r="BPI44" s="100"/>
      <c r="BPJ44" s="100"/>
      <c r="BPK44" s="100"/>
      <c r="BPL44" s="100"/>
      <c r="BPM44" s="100"/>
      <c r="BPN44" s="100"/>
      <c r="BPO44" s="100"/>
      <c r="BPP44" s="100"/>
      <c r="BPQ44" s="100"/>
      <c r="BPR44" s="100"/>
      <c r="BPS44" s="100"/>
      <c r="BPT44" s="100"/>
      <c r="BPU44" s="100"/>
      <c r="BPV44" s="100"/>
      <c r="BPW44" s="100"/>
      <c r="BPX44" s="100"/>
      <c r="BPY44" s="100"/>
      <c r="BPZ44" s="100"/>
      <c r="BQA44" s="100"/>
      <c r="BQB44" s="100"/>
      <c r="BQC44" s="100"/>
      <c r="BQD44" s="100"/>
      <c r="BQE44" s="100"/>
      <c r="BQF44" s="100"/>
      <c r="BQG44" s="100"/>
      <c r="BQH44" s="100"/>
      <c r="BQI44" s="100"/>
      <c r="BQJ44" s="100"/>
      <c r="BQK44" s="100"/>
      <c r="BQL44" s="100"/>
      <c r="BQM44" s="100"/>
      <c r="BQN44" s="100"/>
      <c r="BQO44" s="100"/>
      <c r="BQP44" s="100"/>
      <c r="BQQ44" s="100"/>
      <c r="BQR44" s="100"/>
      <c r="BQS44" s="100"/>
      <c r="BQT44" s="100"/>
      <c r="BQU44" s="100"/>
      <c r="BQV44" s="100"/>
      <c r="BQW44" s="100"/>
      <c r="BQX44" s="100"/>
      <c r="BQY44" s="100"/>
      <c r="BQZ44" s="100"/>
      <c r="BRA44" s="100"/>
      <c r="BRB44" s="100"/>
      <c r="BRC44" s="100"/>
      <c r="BRD44" s="100"/>
      <c r="BRE44" s="100"/>
      <c r="BRF44" s="100"/>
      <c r="BRG44" s="100"/>
      <c r="BRH44" s="100"/>
      <c r="BRI44" s="100"/>
      <c r="BRJ44" s="100"/>
      <c r="BRK44" s="100"/>
      <c r="BRL44" s="100"/>
      <c r="BRM44" s="100"/>
      <c r="BRN44" s="100"/>
      <c r="BRO44" s="100"/>
      <c r="BRP44" s="100"/>
      <c r="BRQ44" s="100"/>
      <c r="BRR44" s="100"/>
      <c r="BRS44" s="100"/>
      <c r="BRT44" s="100"/>
      <c r="BRU44" s="100"/>
      <c r="BRV44" s="100"/>
      <c r="BRW44" s="100"/>
      <c r="BRX44" s="100"/>
      <c r="BRY44" s="100"/>
      <c r="BRZ44" s="100"/>
      <c r="BSA44" s="100"/>
      <c r="BSB44" s="100"/>
      <c r="BSC44" s="100"/>
      <c r="BSD44" s="100"/>
      <c r="BSE44" s="100"/>
      <c r="BSF44" s="100"/>
      <c r="BSG44" s="100"/>
      <c r="BSH44" s="100"/>
      <c r="BSI44" s="100"/>
      <c r="BSJ44" s="100"/>
      <c r="BSK44" s="100"/>
      <c r="BSL44" s="100"/>
      <c r="BSM44" s="100"/>
      <c r="BSN44" s="100"/>
      <c r="BSO44" s="100"/>
      <c r="BSP44" s="100"/>
      <c r="BSQ44" s="100"/>
      <c r="BSR44" s="100"/>
      <c r="BSS44" s="100"/>
      <c r="BST44" s="100"/>
      <c r="BSU44" s="100"/>
      <c r="BSV44" s="100"/>
      <c r="BSW44" s="100"/>
      <c r="BSX44" s="100"/>
      <c r="BSY44" s="100"/>
      <c r="BSZ44" s="100"/>
      <c r="BTA44" s="100"/>
      <c r="BTB44" s="100"/>
      <c r="BTC44" s="100"/>
      <c r="BTD44" s="100"/>
      <c r="BTE44" s="100"/>
      <c r="BTF44" s="100"/>
      <c r="BTG44" s="100"/>
      <c r="BTH44" s="100"/>
      <c r="BTI44" s="100"/>
      <c r="BTJ44" s="100"/>
      <c r="BTK44" s="100"/>
      <c r="BTL44" s="100"/>
      <c r="BTM44" s="100"/>
      <c r="BTN44" s="100"/>
      <c r="BTO44" s="100"/>
      <c r="BTP44" s="100"/>
      <c r="BTQ44" s="100"/>
      <c r="BTR44" s="100"/>
      <c r="BTS44" s="100"/>
      <c r="BTT44" s="100"/>
      <c r="BTU44" s="100"/>
      <c r="BTV44" s="100"/>
      <c r="BTW44" s="100"/>
      <c r="BTX44" s="100"/>
      <c r="BTY44" s="100"/>
      <c r="BTZ44" s="100"/>
      <c r="BUA44" s="100"/>
      <c r="BUB44" s="100"/>
      <c r="BUC44" s="100"/>
      <c r="BUD44" s="100"/>
      <c r="BUE44" s="100"/>
      <c r="BUF44" s="100"/>
      <c r="BUG44" s="100"/>
      <c r="BUH44" s="100"/>
      <c r="BUI44" s="100"/>
      <c r="BUJ44" s="100"/>
      <c r="BUK44" s="100"/>
      <c r="BUL44" s="100"/>
      <c r="BUM44" s="100"/>
      <c r="BUN44" s="100"/>
      <c r="BUO44" s="100"/>
      <c r="BUP44" s="100"/>
      <c r="BUQ44" s="100"/>
      <c r="BUR44" s="100"/>
      <c r="BUS44" s="100"/>
      <c r="BUT44" s="100"/>
      <c r="BUU44" s="100"/>
      <c r="BUV44" s="100"/>
      <c r="BUW44" s="100"/>
      <c r="BUX44" s="100"/>
      <c r="BUY44" s="100"/>
      <c r="BUZ44" s="100"/>
      <c r="BVA44" s="100"/>
      <c r="BVB44" s="100"/>
      <c r="BVC44" s="100"/>
      <c r="BVD44" s="100"/>
      <c r="BVE44" s="100"/>
      <c r="BVF44" s="100"/>
      <c r="BVG44" s="100"/>
      <c r="BVH44" s="100"/>
      <c r="BVI44" s="100"/>
      <c r="BVJ44" s="100"/>
      <c r="BVK44" s="100"/>
      <c r="BVL44" s="100"/>
      <c r="BVM44" s="100"/>
      <c r="BVN44" s="100"/>
      <c r="BVO44" s="100"/>
      <c r="BVP44" s="100"/>
      <c r="BVQ44" s="100"/>
      <c r="BVR44" s="100"/>
      <c r="BVS44" s="100"/>
      <c r="BVT44" s="100"/>
      <c r="BVU44" s="100"/>
      <c r="BVV44" s="100"/>
      <c r="BVW44" s="100"/>
      <c r="BVX44" s="100"/>
      <c r="BVY44" s="100"/>
      <c r="BVZ44" s="100"/>
      <c r="BWA44" s="100"/>
      <c r="BWB44" s="100"/>
      <c r="BWC44" s="100"/>
      <c r="BWD44" s="100"/>
      <c r="BWE44" s="100"/>
      <c r="BWF44" s="100"/>
      <c r="BWG44" s="100"/>
      <c r="BWH44" s="100"/>
      <c r="BWI44" s="100"/>
      <c r="BWJ44" s="100"/>
      <c r="BWK44" s="100"/>
      <c r="BWL44" s="100"/>
      <c r="BWM44" s="100"/>
      <c r="BWN44" s="100"/>
      <c r="BWO44" s="100"/>
      <c r="BWP44" s="100"/>
      <c r="BWQ44" s="100"/>
      <c r="BWR44" s="100"/>
      <c r="BWS44" s="100"/>
      <c r="BWT44" s="100"/>
      <c r="BWU44" s="100"/>
      <c r="BWV44" s="100"/>
      <c r="BWW44" s="100"/>
      <c r="BWX44" s="100"/>
      <c r="BWY44" s="100"/>
      <c r="BWZ44" s="100"/>
      <c r="BXA44" s="100"/>
      <c r="BXB44" s="100"/>
      <c r="BXC44" s="100"/>
      <c r="BXD44" s="100"/>
      <c r="BXE44" s="100"/>
      <c r="BXF44" s="100"/>
      <c r="BXG44" s="100"/>
      <c r="BXH44" s="100"/>
      <c r="BXI44" s="100"/>
      <c r="BXJ44" s="100"/>
      <c r="BXK44" s="100"/>
      <c r="BXL44" s="100"/>
      <c r="BXM44" s="100"/>
      <c r="BXN44" s="100"/>
      <c r="BXO44" s="100"/>
      <c r="BXP44" s="100"/>
      <c r="BXQ44" s="100"/>
      <c r="BXR44" s="100"/>
      <c r="BXS44" s="100"/>
      <c r="BXT44" s="100"/>
      <c r="BXU44" s="100"/>
      <c r="BXV44" s="100"/>
      <c r="BXW44" s="100"/>
      <c r="BXX44" s="100"/>
      <c r="BXY44" s="100"/>
      <c r="BXZ44" s="100"/>
      <c r="BYA44" s="100"/>
      <c r="BYB44" s="100"/>
      <c r="BYC44" s="100"/>
      <c r="BYD44" s="100"/>
      <c r="BYE44" s="100"/>
      <c r="BYF44" s="100"/>
      <c r="BYG44" s="100"/>
    </row>
    <row r="45" spans="1:2009" s="118" customFormat="1" ht="24.95" customHeight="1" x14ac:dyDescent="0.25">
      <c r="A45" s="419"/>
      <c r="B45" s="494" t="s">
        <v>408</v>
      </c>
      <c r="C45" s="525">
        <v>327.7</v>
      </c>
      <c r="D45" s="525">
        <v>268.43</v>
      </c>
      <c r="E45" s="496"/>
      <c r="F45" s="497"/>
      <c r="G45" s="498">
        <f>ROUND(SUM(C45:F45),5)</f>
        <v>596.13</v>
      </c>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419"/>
      <c r="B46" s="494" t="s">
        <v>355</v>
      </c>
      <c r="C46" s="525">
        <f>7427.27+36</f>
        <v>7463.27</v>
      </c>
      <c r="D46" s="525">
        <f>5709.68-36</f>
        <v>5673.68</v>
      </c>
      <c r="E46" s="525"/>
      <c r="F46" s="614"/>
      <c r="G46" s="498">
        <f>ROUND(SUM(C46:F46),5)</f>
        <v>13136.95</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hidden="1" customHeight="1" x14ac:dyDescent="0.25">
      <c r="A47" s="419"/>
      <c r="B47" s="494" t="s">
        <v>232</v>
      </c>
      <c r="C47" s="525"/>
      <c r="D47" s="525"/>
      <c r="E47" s="496"/>
      <c r="F47" s="497"/>
      <c r="G47" s="498">
        <f>ROUND(SUM(C47:F47),5)</f>
        <v>0</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customHeight="1" x14ac:dyDescent="0.25">
      <c r="A48" s="420"/>
      <c r="B48" s="494" t="s">
        <v>330</v>
      </c>
      <c r="C48" s="526">
        <v>3638.78</v>
      </c>
      <c r="D48" s="526">
        <v>3373.58</v>
      </c>
      <c r="E48" s="499"/>
      <c r="F48" s="500"/>
      <c r="G48" s="501">
        <f>ROUND(SUM(C48:F48),5)</f>
        <v>7012.36</v>
      </c>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246" customFormat="1" ht="24.95" customHeight="1" thickBot="1" x14ac:dyDescent="0.3">
      <c r="A49" s="245"/>
      <c r="B49" s="495" t="s">
        <v>225</v>
      </c>
      <c r="C49" s="489">
        <f>SUM(C44:C48)</f>
        <v>11429.75</v>
      </c>
      <c r="D49" s="489">
        <f>SUM(D44:D48)</f>
        <v>9315.69</v>
      </c>
      <c r="E49" s="489"/>
      <c r="F49" s="489"/>
      <c r="G49" s="490">
        <f>ROUND(SUM(C49:F49),5)</f>
        <v>20745.439999999999</v>
      </c>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c r="EO49" s="212"/>
      <c r="EP49" s="212"/>
      <c r="EQ49" s="212"/>
      <c r="ER49" s="212"/>
      <c r="ES49" s="212"/>
      <c r="ET49" s="212"/>
      <c r="EU49" s="212"/>
      <c r="EV49" s="212"/>
      <c r="EW49" s="212"/>
      <c r="EX49" s="212"/>
      <c r="EY49" s="212"/>
      <c r="EZ49" s="212"/>
      <c r="FA49" s="212"/>
      <c r="FB49" s="212"/>
      <c r="FC49" s="212"/>
      <c r="FD49" s="212"/>
      <c r="FE49" s="212"/>
      <c r="FF49" s="212"/>
      <c r="FG49" s="212"/>
      <c r="FH49" s="212"/>
      <c r="FI49" s="212"/>
      <c r="FJ49" s="212"/>
      <c r="FK49" s="212"/>
      <c r="FL49" s="212"/>
      <c r="FM49" s="212"/>
      <c r="FN49" s="212"/>
      <c r="FO49" s="212"/>
      <c r="FP49" s="212"/>
      <c r="FQ49" s="212"/>
      <c r="FR49" s="212"/>
      <c r="FS49" s="212"/>
      <c r="FT49" s="212"/>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12"/>
      <c r="GQ49" s="212"/>
      <c r="GR49" s="212"/>
      <c r="GS49" s="212"/>
      <c r="GT49" s="212"/>
      <c r="GU49" s="212"/>
      <c r="GV49" s="212"/>
      <c r="GW49" s="212"/>
      <c r="GX49" s="212"/>
      <c r="GY49" s="212"/>
      <c r="GZ49" s="212"/>
      <c r="HA49" s="212"/>
      <c r="HB49" s="212"/>
      <c r="HC49" s="212"/>
      <c r="HD49" s="212"/>
      <c r="HE49" s="212"/>
      <c r="HF49" s="212"/>
      <c r="HG49" s="212"/>
      <c r="HH49" s="212"/>
      <c r="HI49" s="212"/>
      <c r="HJ49" s="212"/>
      <c r="HK49" s="212"/>
      <c r="HL49" s="212"/>
      <c r="HM49" s="212"/>
      <c r="HN49" s="212"/>
      <c r="HO49" s="212"/>
      <c r="HP49" s="212"/>
      <c r="HQ49" s="212"/>
      <c r="HR49" s="212"/>
      <c r="HS49" s="212"/>
      <c r="HT49" s="212"/>
      <c r="HU49" s="212"/>
      <c r="HV49" s="212"/>
      <c r="HW49" s="212"/>
      <c r="HX49" s="212"/>
      <c r="HY49" s="212"/>
      <c r="HZ49" s="212"/>
      <c r="IA49" s="212"/>
      <c r="IB49" s="212"/>
      <c r="IC49" s="212"/>
      <c r="ID49" s="212"/>
      <c r="IE49" s="212"/>
      <c r="IF49" s="212"/>
      <c r="IG49" s="212"/>
      <c r="IH49" s="212"/>
      <c r="II49" s="212"/>
      <c r="IJ49" s="212"/>
      <c r="IK49" s="212"/>
      <c r="IL49" s="212"/>
      <c r="IM49" s="212"/>
      <c r="IN49" s="212"/>
      <c r="IO49" s="212"/>
      <c r="IP49" s="212"/>
      <c r="IQ49" s="212"/>
      <c r="IR49" s="212"/>
      <c r="IS49" s="212"/>
      <c r="IT49" s="212"/>
      <c r="IU49" s="212"/>
      <c r="IV49" s="212"/>
      <c r="IW49" s="212"/>
      <c r="IX49" s="212"/>
      <c r="IY49" s="212"/>
      <c r="IZ49" s="212"/>
      <c r="JA49" s="212"/>
      <c r="JB49" s="212"/>
      <c r="JC49" s="212"/>
      <c r="JD49" s="212"/>
      <c r="JE49" s="212"/>
      <c r="JF49" s="212"/>
      <c r="JG49" s="212"/>
      <c r="JH49" s="212"/>
      <c r="JI49" s="212"/>
      <c r="JJ49" s="212"/>
      <c r="JK49" s="212"/>
      <c r="JL49" s="212"/>
      <c r="JM49" s="212"/>
      <c r="JN49" s="212"/>
      <c r="JO49" s="212"/>
      <c r="JP49" s="212"/>
      <c r="JQ49" s="212"/>
      <c r="JR49" s="212"/>
      <c r="JS49" s="212"/>
      <c r="JT49" s="212"/>
      <c r="JU49" s="212"/>
      <c r="JV49" s="212"/>
      <c r="JW49" s="212"/>
      <c r="JX49" s="212"/>
      <c r="JY49" s="212"/>
      <c r="JZ49" s="212"/>
      <c r="KA49" s="212"/>
      <c r="KB49" s="212"/>
      <c r="KC49" s="212"/>
      <c r="KD49" s="212"/>
      <c r="KE49" s="212"/>
      <c r="KF49" s="212"/>
      <c r="KG49" s="212"/>
      <c r="KH49" s="212"/>
      <c r="KI49" s="212"/>
      <c r="KJ49" s="212"/>
      <c r="KK49" s="212"/>
      <c r="KL49" s="212"/>
      <c r="KM49" s="212"/>
      <c r="KN49" s="212"/>
      <c r="KO49" s="212"/>
      <c r="KP49" s="212"/>
      <c r="KQ49" s="212"/>
      <c r="KR49" s="212"/>
      <c r="KS49" s="212"/>
      <c r="KT49" s="212"/>
      <c r="KU49" s="212"/>
      <c r="KV49" s="212"/>
      <c r="KW49" s="212"/>
      <c r="KX49" s="212"/>
      <c r="KY49" s="212"/>
      <c r="KZ49" s="212"/>
      <c r="LA49" s="212"/>
      <c r="LB49" s="212"/>
      <c r="LC49" s="212"/>
      <c r="LD49" s="212"/>
      <c r="LE49" s="212"/>
      <c r="LF49" s="212"/>
      <c r="LG49" s="212"/>
      <c r="LH49" s="212"/>
      <c r="LI49" s="212"/>
      <c r="LJ49" s="212"/>
      <c r="LK49" s="212"/>
      <c r="LL49" s="212"/>
      <c r="LM49" s="212"/>
      <c r="LN49" s="212"/>
      <c r="LO49" s="212"/>
      <c r="LP49" s="212"/>
      <c r="LQ49" s="212"/>
      <c r="LR49" s="212"/>
      <c r="LS49" s="212"/>
      <c r="LT49" s="212"/>
      <c r="LU49" s="212"/>
      <c r="LV49" s="212"/>
      <c r="LW49" s="212"/>
      <c r="LX49" s="212"/>
      <c r="LY49" s="212"/>
      <c r="LZ49" s="212"/>
      <c r="MA49" s="212"/>
      <c r="MB49" s="212"/>
      <c r="MC49" s="212"/>
      <c r="MD49" s="212"/>
      <c r="ME49" s="212"/>
      <c r="MF49" s="212"/>
      <c r="MG49" s="212"/>
      <c r="MH49" s="212"/>
      <c r="MI49" s="212"/>
      <c r="MJ49" s="212"/>
      <c r="MK49" s="212"/>
      <c r="ML49" s="212"/>
      <c r="MM49" s="212"/>
      <c r="MN49" s="212"/>
      <c r="MO49" s="212"/>
      <c r="MP49" s="212"/>
      <c r="MQ49" s="212"/>
      <c r="MR49" s="212"/>
      <c r="MS49" s="212"/>
      <c r="MT49" s="212"/>
      <c r="MU49" s="212"/>
      <c r="MV49" s="212"/>
      <c r="MW49" s="212"/>
      <c r="MX49" s="212"/>
      <c r="MY49" s="212"/>
      <c r="MZ49" s="212"/>
      <c r="NA49" s="212"/>
      <c r="NB49" s="212"/>
      <c r="NC49" s="212"/>
      <c r="ND49" s="212"/>
      <c r="NE49" s="212"/>
      <c r="NF49" s="212"/>
      <c r="NG49" s="212"/>
      <c r="NH49" s="212"/>
      <c r="NI49" s="212"/>
      <c r="NJ49" s="212"/>
      <c r="NK49" s="212"/>
      <c r="NL49" s="212"/>
      <c r="NM49" s="212"/>
      <c r="NN49" s="212"/>
      <c r="NO49" s="212"/>
      <c r="NP49" s="212"/>
      <c r="NQ49" s="212"/>
      <c r="NR49" s="212"/>
      <c r="NS49" s="212"/>
      <c r="NT49" s="212"/>
      <c r="NU49" s="212"/>
      <c r="NV49" s="212"/>
      <c r="NW49" s="212"/>
      <c r="NX49" s="212"/>
      <c r="NY49" s="212"/>
      <c r="NZ49" s="212"/>
      <c r="OA49" s="212"/>
      <c r="OB49" s="212"/>
      <c r="OC49" s="212"/>
      <c r="OD49" s="212"/>
      <c r="OE49" s="212"/>
      <c r="OF49" s="212"/>
      <c r="OG49" s="212"/>
      <c r="OH49" s="212"/>
      <c r="OI49" s="212"/>
      <c r="OJ49" s="212"/>
      <c r="OK49" s="212"/>
      <c r="OL49" s="212"/>
      <c r="OM49" s="212"/>
      <c r="ON49" s="212"/>
      <c r="OO49" s="212"/>
      <c r="OP49" s="212"/>
      <c r="OQ49" s="212"/>
      <c r="OR49" s="212"/>
      <c r="OS49" s="212"/>
      <c r="OT49" s="212"/>
      <c r="OU49" s="212"/>
      <c r="OV49" s="212"/>
      <c r="OW49" s="212"/>
      <c r="OX49" s="212"/>
      <c r="OY49" s="212"/>
      <c r="OZ49" s="212"/>
      <c r="PA49" s="212"/>
      <c r="PB49" s="212"/>
      <c r="PC49" s="212"/>
      <c r="PD49" s="212"/>
      <c r="PE49" s="212"/>
      <c r="PF49" s="212"/>
      <c r="PG49" s="212"/>
      <c r="PH49" s="212"/>
      <c r="PI49" s="212"/>
      <c r="PJ49" s="212"/>
      <c r="PK49" s="212"/>
      <c r="PL49" s="212"/>
      <c r="PM49" s="212"/>
      <c r="PN49" s="212"/>
      <c r="PO49" s="212"/>
      <c r="PP49" s="212"/>
      <c r="PQ49" s="212"/>
      <c r="PR49" s="212"/>
      <c r="PS49" s="212"/>
      <c r="PT49" s="212"/>
      <c r="PU49" s="212"/>
      <c r="PV49" s="212"/>
      <c r="PW49" s="212"/>
      <c r="PX49" s="212"/>
      <c r="PY49" s="212"/>
      <c r="PZ49" s="212"/>
      <c r="QA49" s="212"/>
      <c r="QB49" s="212"/>
      <c r="QC49" s="212"/>
      <c r="QD49" s="212"/>
      <c r="QE49" s="212"/>
      <c r="QF49" s="212"/>
      <c r="QG49" s="212"/>
      <c r="QH49" s="212"/>
      <c r="QI49" s="212"/>
      <c r="QJ49" s="212"/>
      <c r="QK49" s="212"/>
      <c r="QL49" s="212"/>
      <c r="QM49" s="212"/>
      <c r="QN49" s="212"/>
      <c r="QO49" s="212"/>
      <c r="QP49" s="212"/>
      <c r="QQ49" s="212"/>
      <c r="QR49" s="212"/>
      <c r="QS49" s="212"/>
      <c r="QT49" s="212"/>
      <c r="QU49" s="212"/>
      <c r="QV49" s="212"/>
      <c r="QW49" s="212"/>
      <c r="QX49" s="212"/>
      <c r="QY49" s="212"/>
      <c r="QZ49" s="212"/>
      <c r="RA49" s="212"/>
      <c r="RB49" s="212"/>
      <c r="RC49" s="212"/>
      <c r="RD49" s="212"/>
      <c r="RE49" s="212"/>
      <c r="RF49" s="212"/>
      <c r="RG49" s="212"/>
      <c r="RH49" s="212"/>
      <c r="RI49" s="212"/>
      <c r="RJ49" s="212"/>
      <c r="RK49" s="212"/>
      <c r="RL49" s="212"/>
      <c r="RM49" s="212"/>
      <c r="RN49" s="212"/>
      <c r="RO49" s="212"/>
      <c r="RP49" s="212"/>
      <c r="RQ49" s="212"/>
      <c r="RR49" s="212"/>
      <c r="RS49" s="212"/>
      <c r="RT49" s="212"/>
      <c r="RU49" s="212"/>
      <c r="RV49" s="212"/>
      <c r="RW49" s="212"/>
      <c r="RX49" s="212"/>
      <c r="RY49" s="212"/>
      <c r="RZ49" s="212"/>
      <c r="SA49" s="212"/>
      <c r="SB49" s="212"/>
      <c r="SC49" s="212"/>
      <c r="SD49" s="212"/>
      <c r="SE49" s="212"/>
      <c r="SF49" s="212"/>
      <c r="SG49" s="212"/>
      <c r="SH49" s="212"/>
      <c r="SI49" s="212"/>
      <c r="SJ49" s="212"/>
      <c r="SK49" s="212"/>
      <c r="SL49" s="212"/>
      <c r="SM49" s="212"/>
      <c r="SN49" s="212"/>
      <c r="SO49" s="212"/>
      <c r="SP49" s="212"/>
      <c r="SQ49" s="212"/>
      <c r="SR49" s="212"/>
      <c r="SS49" s="212"/>
      <c r="ST49" s="212"/>
      <c r="SU49" s="212"/>
      <c r="SV49" s="212"/>
      <c r="SW49" s="212"/>
      <c r="SX49" s="212"/>
      <c r="SY49" s="212"/>
      <c r="SZ49" s="212"/>
      <c r="TA49" s="212"/>
      <c r="TB49" s="212"/>
      <c r="TC49" s="212"/>
      <c r="TD49" s="212"/>
      <c r="TE49" s="212"/>
      <c r="TF49" s="212"/>
      <c r="TG49" s="212"/>
      <c r="TH49" s="212"/>
      <c r="TI49" s="212"/>
      <c r="TJ49" s="212"/>
      <c r="TK49" s="212"/>
      <c r="TL49" s="212"/>
      <c r="TM49" s="212"/>
      <c r="TN49" s="212"/>
      <c r="TO49" s="212"/>
      <c r="TP49" s="212"/>
      <c r="TQ49" s="212"/>
      <c r="TR49" s="212"/>
      <c r="TS49" s="212"/>
      <c r="TT49" s="212"/>
      <c r="TU49" s="212"/>
      <c r="TV49" s="212"/>
      <c r="TW49" s="212"/>
      <c r="TX49" s="212"/>
      <c r="TY49" s="212"/>
      <c r="TZ49" s="212"/>
      <c r="UA49" s="212"/>
      <c r="UB49" s="212"/>
      <c r="UC49" s="212"/>
      <c r="UD49" s="212"/>
      <c r="UE49" s="212"/>
      <c r="UF49" s="212"/>
      <c r="UG49" s="212"/>
      <c r="UH49" s="212"/>
      <c r="UI49" s="212"/>
      <c r="UJ49" s="212"/>
      <c r="UK49" s="212"/>
      <c r="UL49" s="212"/>
      <c r="UM49" s="212"/>
      <c r="UN49" s="212"/>
      <c r="UO49" s="212"/>
      <c r="UP49" s="212"/>
      <c r="UQ49" s="212"/>
      <c r="UR49" s="212"/>
      <c r="US49" s="212"/>
      <c r="UT49" s="212"/>
      <c r="UU49" s="212"/>
      <c r="UV49" s="212"/>
      <c r="UW49" s="212"/>
      <c r="UX49" s="212"/>
      <c r="UY49" s="212"/>
      <c r="UZ49" s="212"/>
      <c r="VA49" s="212"/>
      <c r="VB49" s="212"/>
      <c r="VC49" s="212"/>
      <c r="VD49" s="212"/>
      <c r="VE49" s="212"/>
      <c r="VF49" s="212"/>
      <c r="VG49" s="212"/>
      <c r="VH49" s="212"/>
      <c r="VI49" s="212"/>
      <c r="VJ49" s="212"/>
      <c r="VK49" s="212"/>
      <c r="VL49" s="212"/>
      <c r="VM49" s="212"/>
      <c r="VN49" s="212"/>
      <c r="VO49" s="212"/>
      <c r="VP49" s="212"/>
      <c r="VQ49" s="212"/>
      <c r="VR49" s="212"/>
      <c r="VS49" s="212"/>
      <c r="VT49" s="212"/>
      <c r="VU49" s="212"/>
      <c r="VV49" s="212"/>
      <c r="VW49" s="212"/>
      <c r="VX49" s="212"/>
      <c r="VY49" s="212"/>
      <c r="VZ49" s="212"/>
      <c r="WA49" s="212"/>
      <c r="WB49" s="212"/>
      <c r="WC49" s="212"/>
      <c r="WD49" s="212"/>
      <c r="WE49" s="212"/>
      <c r="WF49" s="212"/>
      <c r="WG49" s="212"/>
      <c r="WH49" s="212"/>
      <c r="WI49" s="212"/>
      <c r="WJ49" s="212"/>
      <c r="WK49" s="212"/>
      <c r="WL49" s="212"/>
      <c r="WM49" s="212"/>
      <c r="WN49" s="212"/>
      <c r="WO49" s="212"/>
      <c r="WP49" s="212"/>
      <c r="WQ49" s="212"/>
      <c r="WR49" s="212"/>
      <c r="WS49" s="212"/>
      <c r="WT49" s="212"/>
      <c r="WU49" s="212"/>
      <c r="WV49" s="212"/>
      <c r="WW49" s="212"/>
      <c r="WX49" s="212"/>
      <c r="WY49" s="212"/>
      <c r="WZ49" s="212"/>
      <c r="XA49" s="212"/>
      <c r="XB49" s="212"/>
      <c r="XC49" s="212"/>
      <c r="XD49" s="212"/>
      <c r="XE49" s="212"/>
      <c r="XF49" s="212"/>
      <c r="XG49" s="212"/>
      <c r="XH49" s="212"/>
      <c r="XI49" s="212"/>
      <c r="XJ49" s="212"/>
      <c r="XK49" s="212"/>
      <c r="XL49" s="212"/>
      <c r="XM49" s="212"/>
      <c r="XN49" s="212"/>
      <c r="XO49" s="212"/>
      <c r="XP49" s="212"/>
      <c r="XQ49" s="212"/>
      <c r="XR49" s="212"/>
      <c r="XS49" s="212"/>
      <c r="XT49" s="212"/>
      <c r="XU49" s="212"/>
      <c r="XV49" s="212"/>
      <c r="XW49" s="212"/>
      <c r="XX49" s="212"/>
      <c r="XY49" s="212"/>
      <c r="XZ49" s="212"/>
      <c r="YA49" s="212"/>
      <c r="YB49" s="212"/>
      <c r="YC49" s="212"/>
      <c r="YD49" s="212"/>
      <c r="YE49" s="212"/>
      <c r="YF49" s="212"/>
      <c r="YG49" s="212"/>
      <c r="YH49" s="212"/>
      <c r="YI49" s="212"/>
      <c r="YJ49" s="212"/>
      <c r="YK49" s="212"/>
      <c r="YL49" s="212"/>
      <c r="YM49" s="212"/>
      <c r="YN49" s="212"/>
      <c r="YO49" s="212"/>
      <c r="YP49" s="212"/>
      <c r="YQ49" s="212"/>
      <c r="YR49" s="212"/>
      <c r="YS49" s="212"/>
      <c r="YT49" s="212"/>
      <c r="YU49" s="212"/>
      <c r="YV49" s="212"/>
      <c r="YW49" s="212"/>
      <c r="YX49" s="212"/>
      <c r="YY49" s="212"/>
      <c r="YZ49" s="212"/>
      <c r="ZA49" s="212"/>
      <c r="ZB49" s="212"/>
      <c r="ZC49" s="212"/>
      <c r="ZD49" s="212"/>
      <c r="ZE49" s="212"/>
      <c r="ZF49" s="212"/>
      <c r="ZG49" s="212"/>
      <c r="ZH49" s="212"/>
      <c r="ZI49" s="212"/>
      <c r="ZJ49" s="212"/>
      <c r="ZK49" s="212"/>
      <c r="ZL49" s="212"/>
      <c r="ZM49" s="212"/>
      <c r="ZN49" s="212"/>
      <c r="ZO49" s="212"/>
      <c r="ZP49" s="212"/>
      <c r="ZQ49" s="212"/>
      <c r="ZR49" s="212"/>
      <c r="ZS49" s="212"/>
      <c r="ZT49" s="212"/>
      <c r="ZU49" s="212"/>
      <c r="ZV49" s="212"/>
      <c r="ZW49" s="212"/>
      <c r="ZX49" s="212"/>
      <c r="ZY49" s="212"/>
      <c r="ZZ49" s="212"/>
      <c r="AAA49" s="212"/>
      <c r="AAB49" s="212"/>
      <c r="AAC49" s="212"/>
      <c r="AAD49" s="212"/>
      <c r="AAE49" s="212"/>
      <c r="AAF49" s="212"/>
      <c r="AAG49" s="212"/>
      <c r="AAH49" s="212"/>
      <c r="AAI49" s="212"/>
      <c r="AAJ49" s="212"/>
      <c r="AAK49" s="212"/>
      <c r="AAL49" s="212"/>
      <c r="AAM49" s="212"/>
      <c r="AAN49" s="212"/>
      <c r="AAO49" s="212"/>
      <c r="AAP49" s="212"/>
      <c r="AAQ49" s="212"/>
      <c r="AAR49" s="212"/>
      <c r="AAS49" s="212"/>
      <c r="AAT49" s="212"/>
      <c r="AAU49" s="212"/>
      <c r="AAV49" s="212"/>
      <c r="AAW49" s="212"/>
      <c r="AAX49" s="212"/>
      <c r="AAY49" s="212"/>
      <c r="AAZ49" s="212"/>
      <c r="ABA49" s="212"/>
      <c r="ABB49" s="212"/>
      <c r="ABC49" s="212"/>
      <c r="ABD49" s="212"/>
      <c r="ABE49" s="212"/>
      <c r="ABF49" s="212"/>
      <c r="ABG49" s="212"/>
      <c r="ABH49" s="212"/>
      <c r="ABI49" s="212"/>
      <c r="ABJ49" s="212"/>
      <c r="ABK49" s="212"/>
      <c r="ABL49" s="212"/>
      <c r="ABM49" s="212"/>
      <c r="ABN49" s="212"/>
      <c r="ABO49" s="212"/>
      <c r="ABP49" s="212"/>
      <c r="ABQ49" s="212"/>
      <c r="ABR49" s="212"/>
      <c r="ABS49" s="212"/>
      <c r="ABT49" s="212"/>
      <c r="ABU49" s="212"/>
      <c r="ABV49" s="212"/>
      <c r="ABW49" s="212"/>
      <c r="ABX49" s="212"/>
      <c r="ABY49" s="212"/>
      <c r="ABZ49" s="212"/>
      <c r="ACA49" s="212"/>
      <c r="ACB49" s="212"/>
      <c r="ACC49" s="212"/>
      <c r="ACD49" s="212"/>
      <c r="ACE49" s="212"/>
      <c r="ACF49" s="212"/>
      <c r="ACG49" s="212"/>
      <c r="ACH49" s="212"/>
      <c r="ACI49" s="212"/>
      <c r="ACJ49" s="212"/>
      <c r="ACK49" s="212"/>
      <c r="ACL49" s="212"/>
      <c r="ACM49" s="212"/>
      <c r="ACN49" s="212"/>
      <c r="ACO49" s="212"/>
      <c r="ACP49" s="212"/>
      <c r="ACQ49" s="212"/>
      <c r="ACR49" s="212"/>
      <c r="ACS49" s="212"/>
      <c r="ACT49" s="212"/>
      <c r="ACU49" s="212"/>
      <c r="ACV49" s="212"/>
      <c r="ACW49" s="212"/>
      <c r="ACX49" s="212"/>
      <c r="ACY49" s="212"/>
      <c r="ACZ49" s="212"/>
      <c r="ADA49" s="212"/>
      <c r="ADB49" s="212"/>
      <c r="ADC49" s="212"/>
      <c r="ADD49" s="212"/>
      <c r="ADE49" s="212"/>
      <c r="ADF49" s="212"/>
      <c r="ADG49" s="212"/>
      <c r="ADH49" s="212"/>
      <c r="ADI49" s="212"/>
      <c r="ADJ49" s="212"/>
      <c r="ADK49" s="212"/>
      <c r="ADL49" s="212"/>
      <c r="ADM49" s="212"/>
      <c r="ADN49" s="212"/>
      <c r="ADO49" s="212"/>
      <c r="ADP49" s="212"/>
      <c r="ADQ49" s="212"/>
      <c r="ADR49" s="212"/>
      <c r="ADS49" s="212"/>
      <c r="ADT49" s="212"/>
      <c r="ADU49" s="212"/>
      <c r="ADV49" s="212"/>
      <c r="ADW49" s="212"/>
      <c r="ADX49" s="212"/>
      <c r="ADY49" s="212"/>
      <c r="ADZ49" s="212"/>
      <c r="AEA49" s="212"/>
      <c r="AEB49" s="212"/>
      <c r="AEC49" s="212"/>
      <c r="AED49" s="212"/>
      <c r="AEE49" s="212"/>
      <c r="AEF49" s="212"/>
      <c r="AEG49" s="212"/>
      <c r="AEH49" s="212"/>
      <c r="AEI49" s="212"/>
      <c r="AEJ49" s="212"/>
      <c r="AEK49" s="212"/>
      <c r="AEL49" s="212"/>
      <c r="AEM49" s="212"/>
      <c r="AEN49" s="212"/>
      <c r="AEO49" s="212"/>
      <c r="AEP49" s="212"/>
      <c r="AEQ49" s="212"/>
      <c r="AER49" s="212"/>
      <c r="AES49" s="212"/>
      <c r="AET49" s="212"/>
      <c r="AEU49" s="212"/>
      <c r="AEV49" s="212"/>
      <c r="AEW49" s="212"/>
      <c r="AEX49" s="212"/>
      <c r="AEY49" s="212"/>
      <c r="AEZ49" s="212"/>
      <c r="AFA49" s="212"/>
      <c r="AFB49" s="212"/>
      <c r="AFC49" s="212"/>
      <c r="AFD49" s="212"/>
      <c r="AFE49" s="212"/>
      <c r="AFF49" s="212"/>
      <c r="AFG49" s="212"/>
      <c r="AFH49" s="212"/>
      <c r="AFI49" s="212"/>
      <c r="AFJ49" s="212"/>
      <c r="AFK49" s="212"/>
      <c r="AFL49" s="212"/>
      <c r="AFM49" s="212"/>
      <c r="AFN49" s="212"/>
      <c r="AFO49" s="212"/>
      <c r="AFP49" s="212"/>
      <c r="AFQ49" s="212"/>
      <c r="AFR49" s="212"/>
      <c r="AFS49" s="212"/>
      <c r="AFT49" s="212"/>
      <c r="AFU49" s="212"/>
      <c r="AFV49" s="212"/>
      <c r="AFW49" s="212"/>
      <c r="AFX49" s="212"/>
      <c r="AFY49" s="212"/>
      <c r="AFZ49" s="212"/>
      <c r="AGA49" s="212"/>
      <c r="AGB49" s="212"/>
      <c r="AGC49" s="212"/>
      <c r="AGD49" s="212"/>
      <c r="AGE49" s="212"/>
      <c r="AGF49" s="212"/>
      <c r="AGG49" s="212"/>
      <c r="AGH49" s="212"/>
      <c r="AGI49" s="212"/>
      <c r="AGJ49" s="212"/>
      <c r="AGK49" s="212"/>
      <c r="AGL49" s="212"/>
      <c r="AGM49" s="212"/>
      <c r="AGN49" s="212"/>
      <c r="AGO49" s="212"/>
      <c r="AGP49" s="212"/>
      <c r="AGQ49" s="212"/>
      <c r="AGR49" s="212"/>
      <c r="AGS49" s="212"/>
      <c r="AGT49" s="212"/>
      <c r="AGU49" s="212"/>
      <c r="AGV49" s="212"/>
      <c r="AGW49" s="212"/>
      <c r="AGX49" s="212"/>
      <c r="AGY49" s="212"/>
      <c r="AGZ49" s="212"/>
      <c r="AHA49" s="212"/>
      <c r="AHB49" s="212"/>
      <c r="AHC49" s="212"/>
      <c r="AHD49" s="212"/>
      <c r="AHE49" s="212"/>
      <c r="AHF49" s="212"/>
      <c r="AHG49" s="212"/>
      <c r="AHH49" s="212"/>
      <c r="AHI49" s="212"/>
      <c r="AHJ49" s="212"/>
      <c r="AHK49" s="212"/>
      <c r="AHL49" s="212"/>
      <c r="AHM49" s="212"/>
      <c r="AHN49" s="212"/>
      <c r="AHO49" s="212"/>
      <c r="AHP49" s="212"/>
      <c r="AHQ49" s="212"/>
      <c r="AHR49" s="212"/>
      <c r="AHS49" s="212"/>
      <c r="AHT49" s="212"/>
      <c r="AHU49" s="212"/>
      <c r="AHV49" s="212"/>
      <c r="AHW49" s="212"/>
      <c r="AHX49" s="212"/>
      <c r="AHY49" s="212"/>
      <c r="AHZ49" s="212"/>
      <c r="AIA49" s="212"/>
      <c r="AIB49" s="212"/>
      <c r="AIC49" s="212"/>
      <c r="AID49" s="212"/>
      <c r="AIE49" s="212"/>
      <c r="AIF49" s="212"/>
      <c r="AIG49" s="212"/>
      <c r="AIH49" s="212"/>
      <c r="AII49" s="212"/>
      <c r="AIJ49" s="212"/>
      <c r="AIK49" s="212"/>
      <c r="AIL49" s="212"/>
      <c r="AIM49" s="212"/>
      <c r="AIN49" s="212"/>
      <c r="AIO49" s="212"/>
      <c r="AIP49" s="212"/>
      <c r="AIQ49" s="212"/>
      <c r="AIR49" s="212"/>
      <c r="AIS49" s="212"/>
      <c r="AIT49" s="212"/>
      <c r="AIU49" s="212"/>
      <c r="AIV49" s="212"/>
      <c r="AIW49" s="212"/>
      <c r="AIX49" s="212"/>
      <c r="AIY49" s="212"/>
      <c r="AIZ49" s="212"/>
      <c r="AJA49" s="212"/>
      <c r="AJB49" s="212"/>
      <c r="AJC49" s="212"/>
      <c r="AJD49" s="212"/>
      <c r="AJE49" s="212"/>
      <c r="AJF49" s="212"/>
      <c r="AJG49" s="212"/>
      <c r="AJH49" s="212"/>
      <c r="AJI49" s="212"/>
      <c r="AJJ49" s="212"/>
      <c r="AJK49" s="212"/>
      <c r="AJL49" s="212"/>
      <c r="AJM49" s="212"/>
      <c r="AJN49" s="212"/>
      <c r="AJO49" s="212"/>
      <c r="AJP49" s="212"/>
      <c r="AJQ49" s="212"/>
      <c r="AJR49" s="212"/>
      <c r="AJS49" s="212"/>
      <c r="AJT49" s="212"/>
      <c r="AJU49" s="212"/>
      <c r="AJV49" s="212"/>
      <c r="AJW49" s="212"/>
      <c r="AJX49" s="212"/>
      <c r="AJY49" s="212"/>
      <c r="AJZ49" s="212"/>
      <c r="AKA49" s="212"/>
      <c r="AKB49" s="212"/>
      <c r="AKC49" s="212"/>
      <c r="AKD49" s="212"/>
      <c r="AKE49" s="212"/>
      <c r="AKF49" s="212"/>
      <c r="AKG49" s="212"/>
      <c r="AKH49" s="212"/>
      <c r="AKI49" s="212"/>
      <c r="AKJ49" s="212"/>
      <c r="AKK49" s="212"/>
      <c r="AKL49" s="212"/>
      <c r="AKM49" s="212"/>
      <c r="AKN49" s="212"/>
      <c r="AKO49" s="212"/>
      <c r="AKP49" s="212"/>
      <c r="AKQ49" s="212"/>
      <c r="AKR49" s="212"/>
      <c r="AKS49" s="212"/>
      <c r="AKT49" s="212"/>
      <c r="AKU49" s="212"/>
      <c r="AKV49" s="212"/>
      <c r="AKW49" s="212"/>
      <c r="AKX49" s="212"/>
      <c r="AKY49" s="212"/>
      <c r="AKZ49" s="212"/>
      <c r="ALA49" s="212"/>
      <c r="ALB49" s="212"/>
      <c r="ALC49" s="212"/>
      <c r="ALD49" s="212"/>
      <c r="ALE49" s="212"/>
      <c r="ALF49" s="212"/>
      <c r="ALG49" s="212"/>
      <c r="ALH49" s="212"/>
      <c r="ALI49" s="212"/>
      <c r="ALJ49" s="212"/>
      <c r="ALK49" s="212"/>
      <c r="ALL49" s="212"/>
      <c r="ALM49" s="212"/>
      <c r="ALN49" s="212"/>
      <c r="ALO49" s="212"/>
      <c r="ALP49" s="212"/>
      <c r="ALQ49" s="212"/>
      <c r="ALR49" s="212"/>
      <c r="ALS49" s="212"/>
      <c r="ALT49" s="212"/>
      <c r="ALU49" s="212"/>
      <c r="ALV49" s="212"/>
      <c r="ALW49" s="212"/>
      <c r="ALX49" s="212"/>
      <c r="ALY49" s="212"/>
      <c r="ALZ49" s="212"/>
      <c r="AMA49" s="212"/>
      <c r="AMB49" s="212"/>
      <c r="AMC49" s="212"/>
      <c r="AMD49" s="212"/>
      <c r="AME49" s="212"/>
      <c r="AMF49" s="212"/>
      <c r="AMG49" s="212"/>
      <c r="AMH49" s="212"/>
      <c r="AMI49" s="212"/>
      <c r="AMJ49" s="212"/>
      <c r="AMK49" s="212"/>
      <c r="AML49" s="212"/>
      <c r="AMM49" s="212"/>
      <c r="AMN49" s="212"/>
      <c r="AMO49" s="212"/>
      <c r="AMP49" s="212"/>
      <c r="AMQ49" s="212"/>
      <c r="AMR49" s="212"/>
      <c r="AMS49" s="212"/>
      <c r="AMT49" s="212"/>
      <c r="AMU49" s="212"/>
      <c r="AMV49" s="212"/>
      <c r="AMW49" s="212"/>
      <c r="AMX49" s="212"/>
      <c r="AMY49" s="212"/>
      <c r="AMZ49" s="212"/>
      <c r="ANA49" s="212"/>
      <c r="ANB49" s="212"/>
      <c r="ANC49" s="212"/>
      <c r="AND49" s="212"/>
      <c r="ANE49" s="212"/>
      <c r="ANF49" s="212"/>
      <c r="ANG49" s="212"/>
      <c r="ANH49" s="212"/>
      <c r="ANI49" s="212"/>
      <c r="ANJ49" s="212"/>
      <c r="ANK49" s="212"/>
      <c r="ANL49" s="212"/>
      <c r="ANM49" s="212"/>
      <c r="ANN49" s="212"/>
      <c r="ANO49" s="212"/>
      <c r="ANP49" s="212"/>
      <c r="ANQ49" s="212"/>
      <c r="ANR49" s="212"/>
      <c r="ANS49" s="212"/>
      <c r="ANT49" s="212"/>
      <c r="ANU49" s="212"/>
      <c r="ANV49" s="212"/>
      <c r="ANW49" s="212"/>
      <c r="ANX49" s="212"/>
      <c r="ANY49" s="212"/>
      <c r="ANZ49" s="212"/>
      <c r="AOA49" s="212"/>
      <c r="AOB49" s="212"/>
      <c r="AOC49" s="212"/>
      <c r="AOD49" s="212"/>
      <c r="AOE49" s="212"/>
      <c r="AOF49" s="212"/>
      <c r="AOG49" s="212"/>
      <c r="AOH49" s="212"/>
      <c r="AOI49" s="212"/>
      <c r="AOJ49" s="212"/>
      <c r="AOK49" s="212"/>
      <c r="AOL49" s="212"/>
      <c r="AOM49" s="212"/>
      <c r="AON49" s="212"/>
      <c r="AOO49" s="212"/>
      <c r="AOP49" s="212"/>
      <c r="AOQ49" s="212"/>
      <c r="AOR49" s="212"/>
      <c r="AOS49" s="212"/>
      <c r="AOT49" s="212"/>
      <c r="AOU49" s="212"/>
      <c r="AOV49" s="212"/>
      <c r="AOW49" s="212"/>
      <c r="AOX49" s="212"/>
      <c r="AOY49" s="212"/>
      <c r="AOZ49" s="212"/>
      <c r="APA49" s="212"/>
      <c r="APB49" s="212"/>
      <c r="APC49" s="212"/>
      <c r="APD49" s="212"/>
      <c r="APE49" s="212"/>
      <c r="APF49" s="212"/>
      <c r="APG49" s="212"/>
      <c r="APH49" s="212"/>
      <c r="API49" s="212"/>
      <c r="APJ49" s="212"/>
      <c r="APK49" s="212"/>
      <c r="APL49" s="212"/>
      <c r="APM49" s="212"/>
      <c r="APN49" s="212"/>
      <c r="APO49" s="212"/>
      <c r="APP49" s="212"/>
      <c r="APQ49" s="212"/>
      <c r="APR49" s="212"/>
      <c r="APS49" s="212"/>
      <c r="APT49" s="212"/>
      <c r="APU49" s="212"/>
      <c r="APV49" s="212"/>
      <c r="APW49" s="212"/>
      <c r="APX49" s="212"/>
      <c r="APY49" s="212"/>
      <c r="APZ49" s="212"/>
      <c r="AQA49" s="212"/>
      <c r="AQB49" s="212"/>
      <c r="AQC49" s="212"/>
      <c r="AQD49" s="212"/>
      <c r="AQE49" s="212"/>
      <c r="AQF49" s="212"/>
      <c r="AQG49" s="212"/>
      <c r="AQH49" s="212"/>
      <c r="AQI49" s="212"/>
      <c r="AQJ49" s="212"/>
      <c r="AQK49" s="212"/>
      <c r="AQL49" s="212"/>
      <c r="AQM49" s="212"/>
      <c r="AQN49" s="212"/>
      <c r="AQO49" s="212"/>
      <c r="AQP49" s="212"/>
      <c r="AQQ49" s="212"/>
      <c r="AQR49" s="212"/>
      <c r="AQS49" s="212"/>
      <c r="AQT49" s="212"/>
      <c r="AQU49" s="212"/>
      <c r="AQV49" s="212"/>
      <c r="AQW49" s="212"/>
      <c r="AQX49" s="212"/>
      <c r="AQY49" s="212"/>
      <c r="AQZ49" s="212"/>
      <c r="ARA49" s="212"/>
      <c r="ARB49" s="212"/>
      <c r="ARC49" s="212"/>
      <c r="ARD49" s="212"/>
      <c r="ARE49" s="212"/>
      <c r="ARF49" s="212"/>
      <c r="ARG49" s="212"/>
      <c r="ARH49" s="212"/>
      <c r="ARI49" s="212"/>
      <c r="ARJ49" s="212"/>
      <c r="ARK49" s="212"/>
      <c r="ARL49" s="212"/>
      <c r="ARM49" s="212"/>
      <c r="ARN49" s="212"/>
      <c r="ARO49" s="212"/>
      <c r="ARP49" s="212"/>
      <c r="ARQ49" s="212"/>
      <c r="ARR49" s="212"/>
      <c r="ARS49" s="212"/>
      <c r="ART49" s="212"/>
      <c r="ARU49" s="212"/>
      <c r="ARV49" s="212"/>
      <c r="ARW49" s="212"/>
      <c r="ARX49" s="212"/>
      <c r="ARY49" s="212"/>
      <c r="ARZ49" s="212"/>
      <c r="ASA49" s="212"/>
      <c r="ASB49" s="212"/>
      <c r="ASC49" s="212"/>
      <c r="ASD49" s="212"/>
      <c r="ASE49" s="212"/>
      <c r="ASF49" s="212"/>
      <c r="ASG49" s="212"/>
      <c r="ASH49" s="212"/>
      <c r="ASI49" s="212"/>
      <c r="ASJ49" s="212"/>
      <c r="ASK49" s="212"/>
      <c r="ASL49" s="212"/>
      <c r="ASM49" s="212"/>
      <c r="ASN49" s="212"/>
      <c r="ASO49" s="212"/>
      <c r="ASP49" s="212"/>
      <c r="ASQ49" s="212"/>
      <c r="ASR49" s="212"/>
      <c r="ASS49" s="212"/>
      <c r="AST49" s="212"/>
      <c r="ASU49" s="212"/>
      <c r="ASV49" s="212"/>
      <c r="ASW49" s="212"/>
      <c r="ASX49" s="212"/>
      <c r="ASY49" s="212"/>
      <c r="ASZ49" s="212"/>
      <c r="ATA49" s="212"/>
      <c r="ATB49" s="212"/>
      <c r="ATC49" s="212"/>
      <c r="ATD49" s="212"/>
      <c r="ATE49" s="212"/>
      <c r="ATF49" s="212"/>
      <c r="ATG49" s="212"/>
      <c r="ATH49" s="212"/>
      <c r="ATI49" s="212"/>
      <c r="ATJ49" s="212"/>
      <c r="ATK49" s="212"/>
      <c r="ATL49" s="212"/>
      <c r="ATM49" s="212"/>
      <c r="ATN49" s="212"/>
      <c r="ATO49" s="212"/>
      <c r="ATP49" s="212"/>
      <c r="ATQ49" s="212"/>
      <c r="ATR49" s="212"/>
      <c r="ATS49" s="212"/>
      <c r="ATT49" s="212"/>
      <c r="ATU49" s="212"/>
      <c r="ATV49" s="212"/>
      <c r="ATW49" s="212"/>
      <c r="ATX49" s="212"/>
      <c r="ATY49" s="212"/>
      <c r="ATZ49" s="212"/>
      <c r="AUA49" s="212"/>
      <c r="AUB49" s="212"/>
      <c r="AUC49" s="212"/>
      <c r="AUD49" s="212"/>
      <c r="AUE49" s="212"/>
      <c r="AUF49" s="212"/>
      <c r="AUG49" s="212"/>
      <c r="AUH49" s="212"/>
      <c r="AUI49" s="212"/>
      <c r="AUJ49" s="212"/>
      <c r="AUK49" s="212"/>
      <c r="AUL49" s="212"/>
      <c r="AUM49" s="212"/>
      <c r="AUN49" s="212"/>
      <c r="AUO49" s="212"/>
      <c r="AUP49" s="212"/>
      <c r="AUQ49" s="212"/>
      <c r="AUR49" s="212"/>
      <c r="AUS49" s="212"/>
      <c r="AUT49" s="212"/>
      <c r="AUU49" s="212"/>
      <c r="AUV49" s="212"/>
      <c r="AUW49" s="212"/>
      <c r="AUX49" s="212"/>
      <c r="AUY49" s="212"/>
      <c r="AUZ49" s="212"/>
      <c r="AVA49" s="212"/>
      <c r="AVB49" s="212"/>
      <c r="AVC49" s="212"/>
      <c r="AVD49" s="212"/>
      <c r="AVE49" s="212"/>
      <c r="AVF49" s="212"/>
      <c r="AVG49" s="212"/>
      <c r="AVH49" s="212"/>
      <c r="AVI49" s="212"/>
      <c r="AVJ49" s="212"/>
      <c r="AVK49" s="212"/>
      <c r="AVL49" s="212"/>
      <c r="AVM49" s="212"/>
      <c r="AVN49" s="212"/>
      <c r="AVO49" s="212"/>
      <c r="AVP49" s="212"/>
      <c r="AVQ49" s="212"/>
      <c r="AVR49" s="212"/>
      <c r="AVS49" s="212"/>
      <c r="AVT49" s="212"/>
      <c r="AVU49" s="212"/>
      <c r="AVV49" s="212"/>
      <c r="AVW49" s="212"/>
      <c r="AVX49" s="212"/>
      <c r="AVY49" s="212"/>
      <c r="AVZ49" s="212"/>
      <c r="AWA49" s="212"/>
      <c r="AWB49" s="212"/>
      <c r="AWC49" s="212"/>
      <c r="AWD49" s="212"/>
      <c r="AWE49" s="212"/>
      <c r="AWF49" s="212"/>
      <c r="AWG49" s="212"/>
      <c r="AWH49" s="212"/>
      <c r="AWI49" s="212"/>
      <c r="AWJ49" s="212"/>
      <c r="AWK49" s="212"/>
      <c r="AWL49" s="212"/>
      <c r="AWM49" s="212"/>
      <c r="AWN49" s="212"/>
      <c r="AWO49" s="212"/>
      <c r="AWP49" s="212"/>
      <c r="AWQ49" s="212"/>
      <c r="AWR49" s="212"/>
      <c r="AWS49" s="212"/>
      <c r="AWT49" s="212"/>
      <c r="AWU49" s="212"/>
      <c r="AWV49" s="212"/>
      <c r="AWW49" s="212"/>
      <c r="AWX49" s="212"/>
      <c r="AWY49" s="212"/>
      <c r="AWZ49" s="212"/>
      <c r="AXA49" s="212"/>
      <c r="AXB49" s="212"/>
      <c r="AXC49" s="212"/>
      <c r="AXD49" s="212"/>
      <c r="AXE49" s="212"/>
      <c r="AXF49" s="212"/>
      <c r="AXG49" s="212"/>
      <c r="AXH49" s="212"/>
      <c r="AXI49" s="212"/>
      <c r="AXJ49" s="212"/>
      <c r="AXK49" s="212"/>
      <c r="AXL49" s="212"/>
      <c r="AXM49" s="212"/>
      <c r="AXN49" s="212"/>
      <c r="AXO49" s="212"/>
      <c r="AXP49" s="212"/>
      <c r="AXQ49" s="212"/>
      <c r="AXR49" s="212"/>
      <c r="AXS49" s="212"/>
      <c r="AXT49" s="212"/>
      <c r="AXU49" s="212"/>
      <c r="AXV49" s="212"/>
      <c r="AXW49" s="212"/>
      <c r="AXX49" s="212"/>
      <c r="AXY49" s="212"/>
      <c r="AXZ49" s="212"/>
      <c r="AYA49" s="212"/>
      <c r="AYB49" s="212"/>
      <c r="AYC49" s="212"/>
      <c r="AYD49" s="212"/>
      <c r="AYE49" s="212"/>
      <c r="AYF49" s="212"/>
      <c r="AYG49" s="212"/>
      <c r="AYH49" s="212"/>
      <c r="AYI49" s="212"/>
      <c r="AYJ49" s="212"/>
      <c r="AYK49" s="212"/>
      <c r="AYL49" s="212"/>
      <c r="AYM49" s="212"/>
      <c r="AYN49" s="212"/>
      <c r="AYO49" s="212"/>
      <c r="AYP49" s="212"/>
      <c r="AYQ49" s="212"/>
      <c r="AYR49" s="212"/>
      <c r="AYS49" s="212"/>
      <c r="AYT49" s="212"/>
      <c r="AYU49" s="212"/>
      <c r="AYV49" s="212"/>
      <c r="AYW49" s="212"/>
      <c r="AYX49" s="212"/>
      <c r="AYY49" s="212"/>
      <c r="AYZ49" s="212"/>
      <c r="AZA49" s="212"/>
      <c r="AZB49" s="212"/>
      <c r="AZC49" s="212"/>
      <c r="AZD49" s="212"/>
      <c r="AZE49" s="212"/>
      <c r="AZF49" s="212"/>
      <c r="AZG49" s="212"/>
      <c r="AZH49" s="212"/>
      <c r="AZI49" s="212"/>
      <c r="AZJ49" s="212"/>
      <c r="AZK49" s="212"/>
      <c r="AZL49" s="212"/>
      <c r="AZM49" s="212"/>
      <c r="AZN49" s="212"/>
      <c r="AZO49" s="212"/>
      <c r="AZP49" s="212"/>
      <c r="AZQ49" s="212"/>
      <c r="AZR49" s="212"/>
      <c r="AZS49" s="212"/>
      <c r="AZT49" s="212"/>
      <c r="AZU49" s="212"/>
      <c r="AZV49" s="212"/>
      <c r="AZW49" s="212"/>
      <c r="AZX49" s="212"/>
      <c r="AZY49" s="212"/>
      <c r="AZZ49" s="212"/>
      <c r="BAA49" s="212"/>
      <c r="BAB49" s="212"/>
      <c r="BAC49" s="212"/>
      <c r="BAD49" s="212"/>
      <c r="BAE49" s="212"/>
      <c r="BAF49" s="212"/>
      <c r="BAG49" s="212"/>
      <c r="BAH49" s="212"/>
      <c r="BAI49" s="212"/>
      <c r="BAJ49" s="212"/>
      <c r="BAK49" s="212"/>
      <c r="BAL49" s="212"/>
      <c r="BAM49" s="212"/>
      <c r="BAN49" s="212"/>
      <c r="BAO49" s="212"/>
      <c r="BAP49" s="212"/>
      <c r="BAQ49" s="212"/>
      <c r="BAR49" s="212"/>
      <c r="BAS49" s="212"/>
      <c r="BAT49" s="212"/>
      <c r="BAU49" s="212"/>
      <c r="BAV49" s="212"/>
      <c r="BAW49" s="212"/>
      <c r="BAX49" s="212"/>
      <c r="BAY49" s="212"/>
      <c r="BAZ49" s="212"/>
      <c r="BBA49" s="212"/>
      <c r="BBB49" s="212"/>
      <c r="BBC49" s="212"/>
      <c r="BBD49" s="212"/>
      <c r="BBE49" s="212"/>
      <c r="BBF49" s="212"/>
      <c r="BBG49" s="212"/>
      <c r="BBH49" s="212"/>
      <c r="BBI49" s="212"/>
      <c r="BBJ49" s="212"/>
      <c r="BBK49" s="212"/>
      <c r="BBL49" s="212"/>
      <c r="BBM49" s="212"/>
      <c r="BBN49" s="212"/>
      <c r="BBO49" s="212"/>
      <c r="BBP49" s="212"/>
      <c r="BBQ49" s="212"/>
      <c r="BBR49" s="212"/>
      <c r="BBS49" s="212"/>
      <c r="BBT49" s="212"/>
      <c r="BBU49" s="212"/>
      <c r="BBV49" s="212"/>
      <c r="BBW49" s="212"/>
      <c r="BBX49" s="212"/>
      <c r="BBY49" s="212"/>
      <c r="BBZ49" s="212"/>
      <c r="BCA49" s="212"/>
      <c r="BCB49" s="212"/>
      <c r="BCC49" s="212"/>
      <c r="BCD49" s="212"/>
      <c r="BCE49" s="212"/>
      <c r="BCF49" s="212"/>
      <c r="BCG49" s="212"/>
      <c r="BCH49" s="212"/>
      <c r="BCI49" s="212"/>
      <c r="BCJ49" s="212"/>
      <c r="BCK49" s="212"/>
      <c r="BCL49" s="212"/>
      <c r="BCM49" s="212"/>
      <c r="BCN49" s="212"/>
      <c r="BCO49" s="212"/>
      <c r="BCP49" s="212"/>
      <c r="BCQ49" s="212"/>
      <c r="BCR49" s="212"/>
      <c r="BCS49" s="212"/>
      <c r="BCT49" s="212"/>
      <c r="BCU49" s="212"/>
      <c r="BCV49" s="212"/>
      <c r="BCW49" s="212"/>
      <c r="BCX49" s="212"/>
      <c r="BCY49" s="212"/>
      <c r="BCZ49" s="212"/>
      <c r="BDA49" s="212"/>
      <c r="BDB49" s="212"/>
      <c r="BDC49" s="212"/>
      <c r="BDD49" s="212"/>
      <c r="BDE49" s="212"/>
      <c r="BDF49" s="212"/>
      <c r="BDG49" s="212"/>
      <c r="BDH49" s="212"/>
      <c r="BDI49" s="212"/>
      <c r="BDJ49" s="212"/>
      <c r="BDK49" s="212"/>
      <c r="BDL49" s="212"/>
      <c r="BDM49" s="212"/>
      <c r="BDN49" s="212"/>
      <c r="BDO49" s="212"/>
      <c r="BDP49" s="212"/>
      <c r="BDQ49" s="212"/>
      <c r="BDR49" s="212"/>
      <c r="BDS49" s="212"/>
      <c r="BDT49" s="212"/>
      <c r="BDU49" s="212"/>
      <c r="BDV49" s="212"/>
      <c r="BDW49" s="212"/>
      <c r="BDX49" s="212"/>
      <c r="BDY49" s="212"/>
      <c r="BDZ49" s="212"/>
      <c r="BEA49" s="212"/>
      <c r="BEB49" s="212"/>
      <c r="BEC49" s="212"/>
      <c r="BED49" s="212"/>
      <c r="BEE49" s="212"/>
      <c r="BEF49" s="212"/>
      <c r="BEG49" s="212"/>
      <c r="BEH49" s="212"/>
      <c r="BEI49" s="212"/>
      <c r="BEJ49" s="212"/>
      <c r="BEK49" s="212"/>
      <c r="BEL49" s="212"/>
      <c r="BEM49" s="212"/>
      <c r="BEN49" s="212"/>
      <c r="BEO49" s="212"/>
      <c r="BEP49" s="212"/>
      <c r="BEQ49" s="212"/>
      <c r="BER49" s="212"/>
      <c r="BES49" s="212"/>
      <c r="BET49" s="212"/>
      <c r="BEU49" s="212"/>
      <c r="BEV49" s="212"/>
      <c r="BEW49" s="212"/>
      <c r="BEX49" s="212"/>
      <c r="BEY49" s="212"/>
      <c r="BEZ49" s="212"/>
      <c r="BFA49" s="212"/>
      <c r="BFB49" s="212"/>
      <c r="BFC49" s="212"/>
      <c r="BFD49" s="212"/>
      <c r="BFE49" s="212"/>
      <c r="BFF49" s="212"/>
      <c r="BFG49" s="212"/>
      <c r="BFH49" s="212"/>
      <c r="BFI49" s="212"/>
      <c r="BFJ49" s="212"/>
      <c r="BFK49" s="212"/>
      <c r="BFL49" s="212"/>
      <c r="BFM49" s="212"/>
      <c r="BFN49" s="212"/>
      <c r="BFO49" s="212"/>
      <c r="BFP49" s="212"/>
      <c r="BFQ49" s="212"/>
      <c r="BFR49" s="212"/>
      <c r="BFS49" s="212"/>
      <c r="BFT49" s="212"/>
      <c r="BFU49" s="212"/>
      <c r="BFV49" s="212"/>
      <c r="BFW49" s="212"/>
      <c r="BFX49" s="212"/>
      <c r="BFY49" s="212"/>
      <c r="BFZ49" s="212"/>
      <c r="BGA49" s="212"/>
      <c r="BGB49" s="212"/>
      <c r="BGC49" s="212"/>
      <c r="BGD49" s="212"/>
      <c r="BGE49" s="212"/>
      <c r="BGF49" s="212"/>
      <c r="BGG49" s="212"/>
      <c r="BGH49" s="212"/>
      <c r="BGI49" s="212"/>
      <c r="BGJ49" s="212"/>
      <c r="BGK49" s="212"/>
      <c r="BGL49" s="212"/>
      <c r="BGM49" s="212"/>
      <c r="BGN49" s="212"/>
      <c r="BGO49" s="212"/>
      <c r="BGP49" s="212"/>
      <c r="BGQ49" s="212"/>
      <c r="BGR49" s="212"/>
      <c r="BGS49" s="212"/>
      <c r="BGT49" s="212"/>
      <c r="BGU49" s="212"/>
      <c r="BGV49" s="212"/>
      <c r="BGW49" s="212"/>
      <c r="BGX49" s="212"/>
      <c r="BGY49" s="212"/>
      <c r="BGZ49" s="212"/>
      <c r="BHA49" s="212"/>
      <c r="BHB49" s="212"/>
      <c r="BHC49" s="212"/>
      <c r="BHD49" s="212"/>
      <c r="BHE49" s="212"/>
      <c r="BHF49" s="212"/>
      <c r="BHG49" s="212"/>
      <c r="BHH49" s="212"/>
      <c r="BHI49" s="212"/>
      <c r="BHJ49" s="212"/>
      <c r="BHK49" s="212"/>
      <c r="BHL49" s="212"/>
      <c r="BHM49" s="212"/>
      <c r="BHN49" s="212"/>
      <c r="BHO49" s="212"/>
      <c r="BHP49" s="212"/>
      <c r="BHQ49" s="212"/>
      <c r="BHR49" s="212"/>
      <c r="BHS49" s="212"/>
      <c r="BHT49" s="212"/>
      <c r="BHU49" s="212"/>
      <c r="BHV49" s="212"/>
      <c r="BHW49" s="212"/>
      <c r="BHX49" s="212"/>
      <c r="BHY49" s="212"/>
      <c r="BHZ49" s="212"/>
      <c r="BIA49" s="212"/>
      <c r="BIB49" s="212"/>
      <c r="BIC49" s="212"/>
      <c r="BID49" s="212"/>
      <c r="BIE49" s="212"/>
      <c r="BIF49" s="212"/>
      <c r="BIG49" s="212"/>
      <c r="BIH49" s="212"/>
      <c r="BII49" s="212"/>
      <c r="BIJ49" s="212"/>
      <c r="BIK49" s="212"/>
      <c r="BIL49" s="212"/>
      <c r="BIM49" s="212"/>
      <c r="BIN49" s="212"/>
      <c r="BIO49" s="212"/>
      <c r="BIP49" s="212"/>
      <c r="BIQ49" s="212"/>
      <c r="BIR49" s="212"/>
      <c r="BIS49" s="212"/>
      <c r="BIT49" s="212"/>
      <c r="BIU49" s="212"/>
      <c r="BIV49" s="212"/>
      <c r="BIW49" s="212"/>
      <c r="BIX49" s="212"/>
      <c r="BIY49" s="212"/>
      <c r="BIZ49" s="212"/>
      <c r="BJA49" s="212"/>
      <c r="BJB49" s="212"/>
      <c r="BJC49" s="212"/>
      <c r="BJD49" s="212"/>
      <c r="BJE49" s="212"/>
      <c r="BJF49" s="212"/>
      <c r="BJG49" s="212"/>
      <c r="BJH49" s="212"/>
      <c r="BJI49" s="212"/>
      <c r="BJJ49" s="212"/>
      <c r="BJK49" s="212"/>
      <c r="BJL49" s="212"/>
      <c r="BJM49" s="212"/>
      <c r="BJN49" s="212"/>
      <c r="BJO49" s="212"/>
      <c r="BJP49" s="212"/>
      <c r="BJQ49" s="212"/>
      <c r="BJR49" s="212"/>
      <c r="BJS49" s="212"/>
      <c r="BJT49" s="212"/>
      <c r="BJU49" s="212"/>
      <c r="BJV49" s="212"/>
      <c r="BJW49" s="212"/>
      <c r="BJX49" s="212"/>
      <c r="BJY49" s="212"/>
      <c r="BJZ49" s="212"/>
      <c r="BKA49" s="212"/>
      <c r="BKB49" s="212"/>
      <c r="BKC49" s="212"/>
      <c r="BKD49" s="212"/>
      <c r="BKE49" s="212"/>
      <c r="BKF49" s="212"/>
      <c r="BKG49" s="212"/>
      <c r="BKH49" s="212"/>
      <c r="BKI49" s="212"/>
      <c r="BKJ49" s="212"/>
      <c r="BKK49" s="212"/>
      <c r="BKL49" s="212"/>
      <c r="BKM49" s="212"/>
      <c r="BKN49" s="212"/>
      <c r="BKO49" s="212"/>
      <c r="BKP49" s="212"/>
      <c r="BKQ49" s="212"/>
      <c r="BKR49" s="212"/>
      <c r="BKS49" s="212"/>
      <c r="BKT49" s="212"/>
      <c r="BKU49" s="212"/>
      <c r="BKV49" s="212"/>
      <c r="BKW49" s="212"/>
      <c r="BKX49" s="212"/>
      <c r="BKY49" s="212"/>
      <c r="BKZ49" s="212"/>
      <c r="BLA49" s="212"/>
      <c r="BLB49" s="212"/>
      <c r="BLC49" s="212"/>
      <c r="BLD49" s="212"/>
      <c r="BLE49" s="212"/>
      <c r="BLF49" s="212"/>
      <c r="BLG49" s="212"/>
      <c r="BLH49" s="212"/>
      <c r="BLI49" s="212"/>
      <c r="BLJ49" s="212"/>
      <c r="BLK49" s="212"/>
      <c r="BLL49" s="212"/>
      <c r="BLM49" s="212"/>
      <c r="BLN49" s="212"/>
      <c r="BLO49" s="212"/>
      <c r="BLP49" s="212"/>
      <c r="BLQ49" s="212"/>
      <c r="BLR49" s="212"/>
      <c r="BLS49" s="212"/>
      <c r="BLT49" s="212"/>
      <c r="BLU49" s="212"/>
      <c r="BLV49" s="212"/>
      <c r="BLW49" s="212"/>
      <c r="BLX49" s="212"/>
      <c r="BLY49" s="212"/>
      <c r="BLZ49" s="212"/>
      <c r="BMA49" s="212"/>
      <c r="BMB49" s="212"/>
      <c r="BMC49" s="212"/>
      <c r="BMD49" s="212"/>
      <c r="BME49" s="212"/>
      <c r="BMF49" s="212"/>
      <c r="BMG49" s="212"/>
      <c r="BMH49" s="212"/>
      <c r="BMI49" s="212"/>
      <c r="BMJ49" s="212"/>
      <c r="BMK49" s="212"/>
      <c r="BML49" s="212"/>
      <c r="BMM49" s="212"/>
      <c r="BMN49" s="212"/>
      <c r="BMO49" s="212"/>
      <c r="BMP49" s="212"/>
      <c r="BMQ49" s="212"/>
      <c r="BMR49" s="212"/>
      <c r="BMS49" s="212"/>
      <c r="BMT49" s="212"/>
      <c r="BMU49" s="212"/>
      <c r="BMV49" s="212"/>
      <c r="BMW49" s="212"/>
      <c r="BMX49" s="212"/>
      <c r="BMY49" s="212"/>
      <c r="BMZ49" s="212"/>
      <c r="BNA49" s="212"/>
      <c r="BNB49" s="212"/>
      <c r="BNC49" s="212"/>
      <c r="BND49" s="212"/>
      <c r="BNE49" s="212"/>
      <c r="BNF49" s="212"/>
      <c r="BNG49" s="212"/>
      <c r="BNH49" s="212"/>
      <c r="BNI49" s="212"/>
      <c r="BNJ49" s="212"/>
      <c r="BNK49" s="212"/>
      <c r="BNL49" s="212"/>
      <c r="BNM49" s="212"/>
      <c r="BNN49" s="212"/>
      <c r="BNO49" s="212"/>
      <c r="BNP49" s="212"/>
      <c r="BNQ49" s="212"/>
      <c r="BNR49" s="212"/>
      <c r="BNS49" s="212"/>
      <c r="BNT49" s="212"/>
      <c r="BNU49" s="212"/>
      <c r="BNV49" s="212"/>
      <c r="BNW49" s="212"/>
      <c r="BNX49" s="212"/>
      <c r="BNY49" s="212"/>
      <c r="BNZ49" s="212"/>
      <c r="BOA49" s="212"/>
      <c r="BOB49" s="212"/>
      <c r="BOC49" s="212"/>
      <c r="BOD49" s="212"/>
      <c r="BOE49" s="212"/>
      <c r="BOF49" s="212"/>
      <c r="BOG49" s="212"/>
      <c r="BOH49" s="212"/>
      <c r="BOI49" s="212"/>
      <c r="BOJ49" s="212"/>
      <c r="BOK49" s="212"/>
      <c r="BOL49" s="212"/>
      <c r="BOM49" s="212"/>
      <c r="BON49" s="212"/>
      <c r="BOO49" s="212"/>
      <c r="BOP49" s="212"/>
      <c r="BOQ49" s="212"/>
      <c r="BOR49" s="212"/>
      <c r="BOS49" s="212"/>
      <c r="BOT49" s="212"/>
      <c r="BOU49" s="212"/>
      <c r="BOV49" s="212"/>
      <c r="BOW49" s="212"/>
      <c r="BOX49" s="212"/>
      <c r="BOY49" s="212"/>
      <c r="BOZ49" s="212"/>
      <c r="BPA49" s="212"/>
      <c r="BPB49" s="212"/>
      <c r="BPC49" s="212"/>
      <c r="BPD49" s="212"/>
      <c r="BPE49" s="212"/>
      <c r="BPF49" s="212"/>
      <c r="BPG49" s="212"/>
      <c r="BPH49" s="212"/>
      <c r="BPI49" s="212"/>
      <c r="BPJ49" s="212"/>
      <c r="BPK49" s="212"/>
      <c r="BPL49" s="212"/>
      <c r="BPM49" s="212"/>
      <c r="BPN49" s="212"/>
      <c r="BPO49" s="212"/>
      <c r="BPP49" s="212"/>
      <c r="BPQ49" s="212"/>
      <c r="BPR49" s="212"/>
      <c r="BPS49" s="212"/>
      <c r="BPT49" s="212"/>
      <c r="BPU49" s="212"/>
      <c r="BPV49" s="212"/>
      <c r="BPW49" s="212"/>
      <c r="BPX49" s="212"/>
      <c r="BPY49" s="212"/>
      <c r="BPZ49" s="212"/>
      <c r="BQA49" s="212"/>
      <c r="BQB49" s="212"/>
      <c r="BQC49" s="212"/>
      <c r="BQD49" s="212"/>
      <c r="BQE49" s="212"/>
      <c r="BQF49" s="212"/>
      <c r="BQG49" s="212"/>
      <c r="BQH49" s="212"/>
      <c r="BQI49" s="212"/>
      <c r="BQJ49" s="212"/>
      <c r="BQK49" s="212"/>
      <c r="BQL49" s="212"/>
      <c r="BQM49" s="212"/>
      <c r="BQN49" s="212"/>
      <c r="BQO49" s="212"/>
      <c r="BQP49" s="212"/>
      <c r="BQQ49" s="212"/>
      <c r="BQR49" s="212"/>
      <c r="BQS49" s="212"/>
      <c r="BQT49" s="212"/>
      <c r="BQU49" s="212"/>
      <c r="BQV49" s="212"/>
      <c r="BQW49" s="212"/>
      <c r="BQX49" s="212"/>
      <c r="BQY49" s="212"/>
      <c r="BQZ49" s="212"/>
      <c r="BRA49" s="212"/>
      <c r="BRB49" s="212"/>
      <c r="BRC49" s="212"/>
      <c r="BRD49" s="212"/>
      <c r="BRE49" s="212"/>
      <c r="BRF49" s="212"/>
      <c r="BRG49" s="212"/>
      <c r="BRH49" s="212"/>
      <c r="BRI49" s="212"/>
      <c r="BRJ49" s="212"/>
      <c r="BRK49" s="212"/>
      <c r="BRL49" s="212"/>
      <c r="BRM49" s="212"/>
      <c r="BRN49" s="212"/>
      <c r="BRO49" s="212"/>
      <c r="BRP49" s="212"/>
      <c r="BRQ49" s="212"/>
      <c r="BRR49" s="212"/>
      <c r="BRS49" s="212"/>
      <c r="BRT49" s="212"/>
      <c r="BRU49" s="212"/>
      <c r="BRV49" s="212"/>
      <c r="BRW49" s="212"/>
      <c r="BRX49" s="212"/>
      <c r="BRY49" s="212"/>
      <c r="BRZ49" s="212"/>
      <c r="BSA49" s="212"/>
      <c r="BSB49" s="212"/>
      <c r="BSC49" s="212"/>
      <c r="BSD49" s="212"/>
      <c r="BSE49" s="212"/>
      <c r="BSF49" s="212"/>
      <c r="BSG49" s="212"/>
      <c r="BSH49" s="212"/>
      <c r="BSI49" s="212"/>
      <c r="BSJ49" s="212"/>
      <c r="BSK49" s="212"/>
      <c r="BSL49" s="212"/>
      <c r="BSM49" s="212"/>
      <c r="BSN49" s="212"/>
      <c r="BSO49" s="212"/>
      <c r="BSP49" s="212"/>
      <c r="BSQ49" s="212"/>
      <c r="BSR49" s="212"/>
      <c r="BSS49" s="212"/>
      <c r="BST49" s="212"/>
      <c r="BSU49" s="212"/>
      <c r="BSV49" s="212"/>
      <c r="BSW49" s="212"/>
      <c r="BSX49" s="212"/>
      <c r="BSY49" s="212"/>
      <c r="BSZ49" s="212"/>
      <c r="BTA49" s="212"/>
      <c r="BTB49" s="212"/>
      <c r="BTC49" s="212"/>
      <c r="BTD49" s="212"/>
      <c r="BTE49" s="212"/>
      <c r="BTF49" s="212"/>
      <c r="BTG49" s="212"/>
      <c r="BTH49" s="212"/>
      <c r="BTI49" s="212"/>
      <c r="BTJ49" s="212"/>
      <c r="BTK49" s="212"/>
      <c r="BTL49" s="212"/>
      <c r="BTM49" s="212"/>
      <c r="BTN49" s="212"/>
      <c r="BTO49" s="212"/>
      <c r="BTP49" s="212"/>
      <c r="BTQ49" s="212"/>
      <c r="BTR49" s="212"/>
      <c r="BTS49" s="212"/>
      <c r="BTT49" s="212"/>
      <c r="BTU49" s="212"/>
      <c r="BTV49" s="212"/>
      <c r="BTW49" s="212"/>
      <c r="BTX49" s="212"/>
      <c r="BTY49" s="212"/>
      <c r="BTZ49" s="212"/>
      <c r="BUA49" s="212"/>
      <c r="BUB49" s="212"/>
      <c r="BUC49" s="212"/>
      <c r="BUD49" s="212"/>
      <c r="BUE49" s="212"/>
      <c r="BUF49" s="212"/>
      <c r="BUG49" s="212"/>
      <c r="BUH49" s="212"/>
      <c r="BUI49" s="212"/>
      <c r="BUJ49" s="212"/>
      <c r="BUK49" s="212"/>
      <c r="BUL49" s="212"/>
      <c r="BUM49" s="212"/>
      <c r="BUN49" s="212"/>
      <c r="BUO49" s="212"/>
      <c r="BUP49" s="212"/>
      <c r="BUQ49" s="212"/>
      <c r="BUR49" s="212"/>
      <c r="BUS49" s="212"/>
      <c r="BUT49" s="212"/>
      <c r="BUU49" s="212"/>
      <c r="BUV49" s="212"/>
      <c r="BUW49" s="212"/>
      <c r="BUX49" s="212"/>
      <c r="BUY49" s="212"/>
      <c r="BUZ49" s="212"/>
      <c r="BVA49" s="212"/>
      <c r="BVB49" s="212"/>
      <c r="BVC49" s="212"/>
      <c r="BVD49" s="212"/>
      <c r="BVE49" s="212"/>
      <c r="BVF49" s="212"/>
      <c r="BVG49" s="212"/>
      <c r="BVH49" s="212"/>
      <c r="BVI49" s="212"/>
      <c r="BVJ49" s="212"/>
      <c r="BVK49" s="212"/>
      <c r="BVL49" s="212"/>
      <c r="BVM49" s="212"/>
      <c r="BVN49" s="212"/>
      <c r="BVO49" s="212"/>
      <c r="BVP49" s="212"/>
      <c r="BVQ49" s="212"/>
      <c r="BVR49" s="212"/>
      <c r="BVS49" s="212"/>
      <c r="BVT49" s="212"/>
      <c r="BVU49" s="212"/>
      <c r="BVV49" s="212"/>
      <c r="BVW49" s="212"/>
      <c r="BVX49" s="212"/>
      <c r="BVY49" s="212"/>
      <c r="BVZ49" s="212"/>
      <c r="BWA49" s="212"/>
      <c r="BWB49" s="212"/>
      <c r="BWC49" s="212"/>
      <c r="BWD49" s="212"/>
      <c r="BWE49" s="212"/>
      <c r="BWF49" s="212"/>
      <c r="BWG49" s="212"/>
      <c r="BWH49" s="212"/>
      <c r="BWI49" s="212"/>
      <c r="BWJ49" s="212"/>
      <c r="BWK49" s="212"/>
      <c r="BWL49" s="212"/>
      <c r="BWM49" s="212"/>
      <c r="BWN49" s="212"/>
      <c r="BWO49" s="212"/>
      <c r="BWP49" s="212"/>
      <c r="BWQ49" s="212"/>
      <c r="BWR49" s="212"/>
      <c r="BWS49" s="212"/>
      <c r="BWT49" s="212"/>
      <c r="BWU49" s="212"/>
      <c r="BWV49" s="212"/>
      <c r="BWW49" s="212"/>
      <c r="BWX49" s="212"/>
      <c r="BWY49" s="212"/>
      <c r="BWZ49" s="212"/>
      <c r="BXA49" s="212"/>
      <c r="BXB49" s="212"/>
      <c r="BXC49" s="212"/>
      <c r="BXD49" s="212"/>
      <c r="BXE49" s="212"/>
      <c r="BXF49" s="212"/>
      <c r="BXG49" s="212"/>
      <c r="BXH49" s="212"/>
      <c r="BXI49" s="212"/>
      <c r="BXJ49" s="212"/>
      <c r="BXK49" s="212"/>
      <c r="BXL49" s="212"/>
      <c r="BXM49" s="212"/>
      <c r="BXN49" s="212"/>
      <c r="BXO49" s="212"/>
      <c r="BXP49" s="212"/>
      <c r="BXQ49" s="212"/>
      <c r="BXR49" s="212"/>
      <c r="BXS49" s="212"/>
      <c r="BXT49" s="212"/>
      <c r="BXU49" s="212"/>
      <c r="BXV49" s="212"/>
      <c r="BXW49" s="212"/>
      <c r="BXX49" s="212"/>
      <c r="BXY49" s="212"/>
      <c r="BXZ49" s="212"/>
      <c r="BYA49" s="212"/>
      <c r="BYB49" s="212"/>
      <c r="BYC49" s="212"/>
      <c r="BYD49" s="212"/>
      <c r="BYE49" s="212"/>
      <c r="BYF49" s="212"/>
      <c r="BYG49" s="212"/>
    </row>
    <row r="50" spans="1:2009" s="96" customFormat="1" ht="12.75" customHeight="1" thickBot="1" x14ac:dyDescent="0.3">
      <c r="A50" s="119"/>
      <c r="B50" s="120"/>
      <c r="C50" s="175"/>
      <c r="D50" s="175"/>
      <c r="E50" s="175"/>
      <c r="F50" s="175"/>
      <c r="G50" s="175"/>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c r="AML50" s="95"/>
      <c r="AMM50" s="95"/>
      <c r="AMN50" s="95"/>
      <c r="AMO50" s="95"/>
      <c r="AMP50" s="95"/>
      <c r="AMQ50" s="95"/>
      <c r="AMR50" s="95"/>
      <c r="AMS50" s="95"/>
      <c r="AMT50" s="95"/>
      <c r="AMU50" s="95"/>
      <c r="AMV50" s="95"/>
      <c r="AMW50" s="95"/>
      <c r="AMX50" s="95"/>
      <c r="AMY50" s="95"/>
      <c r="AMZ50" s="95"/>
      <c r="ANA50" s="95"/>
      <c r="ANB50" s="95"/>
      <c r="ANC50" s="95"/>
      <c r="AND50" s="95"/>
      <c r="ANE50" s="95"/>
      <c r="ANF50" s="95"/>
      <c r="ANG50" s="95"/>
      <c r="ANH50" s="95"/>
      <c r="ANI50" s="95"/>
      <c r="ANJ50" s="95"/>
      <c r="ANK50" s="95"/>
      <c r="ANL50" s="95"/>
      <c r="ANM50" s="95"/>
      <c r="ANN50" s="95"/>
      <c r="ANO50" s="95"/>
      <c r="ANP50" s="95"/>
      <c r="ANQ50" s="95"/>
      <c r="ANR50" s="95"/>
      <c r="ANS50" s="95"/>
      <c r="ANT50" s="95"/>
      <c r="ANU50" s="95"/>
      <c r="ANV50" s="95"/>
      <c r="ANW50" s="95"/>
      <c r="ANX50" s="95"/>
      <c r="ANY50" s="95"/>
      <c r="ANZ50" s="95"/>
      <c r="AOA50" s="95"/>
      <c r="AOB50" s="95"/>
      <c r="AOC50" s="95"/>
      <c r="AOD50" s="95"/>
      <c r="AOE50" s="95"/>
      <c r="AOF50" s="95"/>
      <c r="AOG50" s="95"/>
      <c r="AOH50" s="95"/>
      <c r="AOI50" s="95"/>
      <c r="AOJ50" s="95"/>
      <c r="AOK50" s="95"/>
      <c r="AOL50" s="95"/>
      <c r="AOM50" s="95"/>
      <c r="AON50" s="95"/>
      <c r="AOO50" s="95"/>
      <c r="AOP50" s="95"/>
      <c r="AOQ50" s="95"/>
      <c r="AOR50" s="95"/>
      <c r="AOS50" s="95"/>
      <c r="AOT50" s="95"/>
      <c r="AOU50" s="95"/>
      <c r="AOV50" s="95"/>
      <c r="AOW50" s="95"/>
      <c r="AOX50" s="95"/>
      <c r="AOY50" s="95"/>
      <c r="AOZ50" s="95"/>
      <c r="APA50" s="95"/>
      <c r="APB50" s="95"/>
      <c r="APC50" s="95"/>
      <c r="APD50" s="95"/>
      <c r="APE50" s="95"/>
      <c r="APF50" s="95"/>
      <c r="APG50" s="95"/>
      <c r="APH50" s="95"/>
      <c r="API50" s="95"/>
      <c r="APJ50" s="95"/>
      <c r="APK50" s="95"/>
      <c r="APL50" s="95"/>
      <c r="APM50" s="95"/>
      <c r="APN50" s="95"/>
      <c r="APO50" s="95"/>
      <c r="APP50" s="95"/>
      <c r="APQ50" s="95"/>
      <c r="APR50" s="95"/>
      <c r="APS50" s="95"/>
      <c r="APT50" s="95"/>
      <c r="APU50" s="95"/>
      <c r="APV50" s="95"/>
      <c r="APW50" s="95"/>
      <c r="APX50" s="95"/>
      <c r="APY50" s="95"/>
      <c r="APZ50" s="95"/>
      <c r="AQA50" s="95"/>
      <c r="AQB50" s="95"/>
      <c r="AQC50" s="95"/>
      <c r="AQD50" s="95"/>
      <c r="AQE50" s="95"/>
      <c r="AQF50" s="95"/>
      <c r="AQG50" s="95"/>
      <c r="AQH50" s="95"/>
      <c r="AQI50" s="95"/>
      <c r="AQJ50" s="95"/>
      <c r="AQK50" s="95"/>
      <c r="AQL50" s="95"/>
      <c r="AQM50" s="95"/>
      <c r="AQN50" s="95"/>
      <c r="AQO50" s="95"/>
      <c r="AQP50" s="95"/>
      <c r="AQQ50" s="95"/>
      <c r="AQR50" s="95"/>
      <c r="AQS50" s="95"/>
      <c r="AQT50" s="95"/>
      <c r="AQU50" s="95"/>
      <c r="AQV50" s="95"/>
      <c r="AQW50" s="95"/>
      <c r="AQX50" s="95"/>
      <c r="AQY50" s="95"/>
      <c r="AQZ50" s="95"/>
      <c r="ARA50" s="95"/>
      <c r="ARB50" s="95"/>
      <c r="ARC50" s="95"/>
      <c r="ARD50" s="95"/>
      <c r="ARE50" s="95"/>
      <c r="ARF50" s="95"/>
      <c r="ARG50" s="95"/>
      <c r="ARH50" s="95"/>
      <c r="ARI50" s="95"/>
      <c r="ARJ50" s="95"/>
      <c r="ARK50" s="95"/>
      <c r="ARL50" s="95"/>
      <c r="ARM50" s="95"/>
      <c r="ARN50" s="95"/>
      <c r="ARO50" s="95"/>
      <c r="ARP50" s="95"/>
      <c r="ARQ50" s="95"/>
      <c r="ARR50" s="95"/>
      <c r="ARS50" s="95"/>
      <c r="ART50" s="95"/>
      <c r="ARU50" s="95"/>
      <c r="ARV50" s="95"/>
      <c r="ARW50" s="95"/>
      <c r="ARX50" s="95"/>
      <c r="ARY50" s="95"/>
      <c r="ARZ50" s="95"/>
      <c r="ASA50" s="95"/>
      <c r="ASB50" s="95"/>
      <c r="ASC50" s="95"/>
      <c r="ASD50" s="95"/>
      <c r="ASE50" s="95"/>
      <c r="ASF50" s="95"/>
      <c r="ASG50" s="95"/>
      <c r="ASH50" s="95"/>
      <c r="ASI50" s="95"/>
      <c r="ASJ50" s="95"/>
      <c r="ASK50" s="95"/>
      <c r="ASL50" s="95"/>
      <c r="ASM50" s="95"/>
      <c r="ASN50" s="95"/>
      <c r="ASO50" s="95"/>
      <c r="ASP50" s="95"/>
      <c r="ASQ50" s="95"/>
      <c r="ASR50" s="95"/>
      <c r="ASS50" s="95"/>
      <c r="AST50" s="95"/>
      <c r="ASU50" s="95"/>
      <c r="ASV50" s="95"/>
      <c r="ASW50" s="95"/>
      <c r="ASX50" s="95"/>
      <c r="ASY50" s="95"/>
      <c r="ASZ50" s="95"/>
      <c r="ATA50" s="95"/>
      <c r="ATB50" s="95"/>
      <c r="ATC50" s="95"/>
      <c r="ATD50" s="95"/>
      <c r="ATE50" s="95"/>
      <c r="ATF50" s="95"/>
      <c r="ATG50" s="95"/>
      <c r="ATH50" s="95"/>
      <c r="ATI50" s="95"/>
      <c r="ATJ50" s="95"/>
      <c r="ATK50" s="95"/>
      <c r="ATL50" s="95"/>
      <c r="ATM50" s="95"/>
      <c r="ATN50" s="95"/>
      <c r="ATO50" s="95"/>
      <c r="ATP50" s="95"/>
      <c r="ATQ50" s="95"/>
      <c r="ATR50" s="95"/>
      <c r="ATS50" s="95"/>
      <c r="ATT50" s="95"/>
      <c r="ATU50" s="95"/>
      <c r="ATV50" s="95"/>
      <c r="ATW50" s="95"/>
      <c r="ATX50" s="95"/>
      <c r="ATY50" s="95"/>
      <c r="ATZ50" s="95"/>
      <c r="AUA50" s="95"/>
      <c r="AUB50" s="95"/>
      <c r="AUC50" s="95"/>
      <c r="AUD50" s="95"/>
      <c r="AUE50" s="95"/>
      <c r="AUF50" s="95"/>
      <c r="AUG50" s="95"/>
      <c r="AUH50" s="95"/>
      <c r="AUI50" s="95"/>
      <c r="AUJ50" s="95"/>
      <c r="AUK50" s="95"/>
      <c r="AUL50" s="95"/>
      <c r="AUM50" s="95"/>
      <c r="AUN50" s="95"/>
      <c r="AUO50" s="95"/>
      <c r="AUP50" s="95"/>
      <c r="AUQ50" s="95"/>
      <c r="AUR50" s="95"/>
      <c r="AUS50" s="95"/>
      <c r="AUT50" s="95"/>
      <c r="AUU50" s="95"/>
      <c r="AUV50" s="95"/>
      <c r="AUW50" s="95"/>
      <c r="AUX50" s="95"/>
      <c r="AUY50" s="95"/>
      <c r="AUZ50" s="95"/>
      <c r="AVA50" s="95"/>
      <c r="AVB50" s="95"/>
      <c r="AVC50" s="95"/>
      <c r="AVD50" s="95"/>
      <c r="AVE50" s="95"/>
      <c r="AVF50" s="95"/>
      <c r="AVG50" s="95"/>
      <c r="AVH50" s="95"/>
      <c r="AVI50" s="95"/>
      <c r="AVJ50" s="95"/>
      <c r="AVK50" s="95"/>
      <c r="AVL50" s="95"/>
      <c r="AVM50" s="95"/>
      <c r="AVN50" s="95"/>
      <c r="AVO50" s="95"/>
      <c r="AVP50" s="95"/>
      <c r="AVQ50" s="95"/>
      <c r="AVR50" s="95"/>
      <c r="AVS50" s="95"/>
      <c r="AVT50" s="95"/>
      <c r="AVU50" s="95"/>
      <c r="AVV50" s="95"/>
      <c r="AVW50" s="95"/>
      <c r="AVX50" s="95"/>
      <c r="AVY50" s="95"/>
      <c r="AVZ50" s="95"/>
      <c r="AWA50" s="95"/>
      <c r="AWB50" s="95"/>
      <c r="AWC50" s="95"/>
      <c r="AWD50" s="95"/>
      <c r="AWE50" s="95"/>
      <c r="AWF50" s="95"/>
      <c r="AWG50" s="95"/>
      <c r="AWH50" s="95"/>
      <c r="AWI50" s="95"/>
      <c r="AWJ50" s="95"/>
      <c r="AWK50" s="95"/>
      <c r="AWL50" s="95"/>
      <c r="AWM50" s="95"/>
      <c r="AWN50" s="95"/>
      <c r="AWO50" s="95"/>
      <c r="AWP50" s="95"/>
      <c r="AWQ50" s="95"/>
      <c r="AWR50" s="95"/>
      <c r="AWS50" s="95"/>
      <c r="AWT50" s="95"/>
      <c r="AWU50" s="95"/>
      <c r="AWV50" s="95"/>
      <c r="AWW50" s="95"/>
      <c r="AWX50" s="95"/>
      <c r="AWY50" s="95"/>
      <c r="AWZ50" s="95"/>
      <c r="AXA50" s="95"/>
      <c r="AXB50" s="95"/>
      <c r="AXC50" s="95"/>
      <c r="AXD50" s="95"/>
      <c r="AXE50" s="95"/>
      <c r="AXF50" s="95"/>
      <c r="AXG50" s="95"/>
      <c r="AXH50" s="95"/>
      <c r="AXI50" s="95"/>
      <c r="AXJ50" s="95"/>
      <c r="AXK50" s="95"/>
      <c r="AXL50" s="95"/>
      <c r="AXM50" s="95"/>
      <c r="AXN50" s="95"/>
      <c r="AXO50" s="95"/>
      <c r="AXP50" s="95"/>
      <c r="AXQ50" s="95"/>
      <c r="AXR50" s="95"/>
      <c r="AXS50" s="95"/>
      <c r="AXT50" s="95"/>
      <c r="AXU50" s="95"/>
      <c r="AXV50" s="95"/>
      <c r="AXW50" s="95"/>
      <c r="AXX50" s="95"/>
      <c r="AXY50" s="95"/>
      <c r="AXZ50" s="95"/>
      <c r="AYA50" s="95"/>
      <c r="AYB50" s="95"/>
      <c r="AYC50" s="95"/>
      <c r="AYD50" s="95"/>
      <c r="AYE50" s="95"/>
      <c r="AYF50" s="95"/>
      <c r="AYG50" s="95"/>
      <c r="AYH50" s="95"/>
      <c r="AYI50" s="95"/>
      <c r="AYJ50" s="95"/>
      <c r="AYK50" s="95"/>
      <c r="AYL50" s="95"/>
      <c r="AYM50" s="95"/>
      <c r="AYN50" s="95"/>
      <c r="AYO50" s="95"/>
      <c r="AYP50" s="95"/>
      <c r="AYQ50" s="95"/>
      <c r="AYR50" s="95"/>
      <c r="AYS50" s="95"/>
      <c r="AYT50" s="95"/>
      <c r="AYU50" s="95"/>
      <c r="AYV50" s="95"/>
      <c r="AYW50" s="95"/>
      <c r="AYX50" s="95"/>
      <c r="AYY50" s="95"/>
      <c r="AYZ50" s="95"/>
      <c r="AZA50" s="95"/>
      <c r="AZB50" s="95"/>
      <c r="AZC50" s="95"/>
      <c r="AZD50" s="95"/>
      <c r="AZE50" s="95"/>
      <c r="AZF50" s="95"/>
      <c r="AZG50" s="95"/>
      <c r="AZH50" s="95"/>
      <c r="AZI50" s="95"/>
      <c r="AZJ50" s="95"/>
      <c r="AZK50" s="95"/>
      <c r="AZL50" s="95"/>
      <c r="AZM50" s="95"/>
      <c r="AZN50" s="95"/>
      <c r="AZO50" s="95"/>
      <c r="AZP50" s="95"/>
      <c r="AZQ50" s="95"/>
      <c r="AZR50" s="95"/>
      <c r="AZS50" s="95"/>
      <c r="AZT50" s="95"/>
      <c r="AZU50" s="95"/>
      <c r="AZV50" s="95"/>
      <c r="AZW50" s="95"/>
      <c r="AZX50" s="95"/>
      <c r="AZY50" s="95"/>
      <c r="AZZ50" s="95"/>
      <c r="BAA50" s="95"/>
      <c r="BAB50" s="95"/>
      <c r="BAC50" s="95"/>
      <c r="BAD50" s="95"/>
      <c r="BAE50" s="95"/>
      <c r="BAF50" s="95"/>
      <c r="BAG50" s="95"/>
      <c r="BAH50" s="95"/>
      <c r="BAI50" s="95"/>
      <c r="BAJ50" s="95"/>
      <c r="BAK50" s="95"/>
      <c r="BAL50" s="95"/>
      <c r="BAM50" s="95"/>
      <c r="BAN50" s="95"/>
      <c r="BAO50" s="95"/>
      <c r="BAP50" s="95"/>
      <c r="BAQ50" s="95"/>
      <c r="BAR50" s="95"/>
      <c r="BAS50" s="95"/>
      <c r="BAT50" s="95"/>
      <c r="BAU50" s="95"/>
      <c r="BAV50" s="95"/>
      <c r="BAW50" s="95"/>
      <c r="BAX50" s="95"/>
      <c r="BAY50" s="95"/>
      <c r="BAZ50" s="95"/>
      <c r="BBA50" s="95"/>
      <c r="BBB50" s="95"/>
      <c r="BBC50" s="95"/>
      <c r="BBD50" s="95"/>
      <c r="BBE50" s="95"/>
      <c r="BBF50" s="95"/>
      <c r="BBG50" s="95"/>
      <c r="BBH50" s="95"/>
      <c r="BBI50" s="95"/>
      <c r="BBJ50" s="95"/>
      <c r="BBK50" s="95"/>
      <c r="BBL50" s="95"/>
      <c r="BBM50" s="95"/>
      <c r="BBN50" s="95"/>
      <c r="BBO50" s="95"/>
      <c r="BBP50" s="95"/>
      <c r="BBQ50" s="95"/>
      <c r="BBR50" s="95"/>
      <c r="BBS50" s="95"/>
      <c r="BBT50" s="95"/>
      <c r="BBU50" s="95"/>
      <c r="BBV50" s="95"/>
      <c r="BBW50" s="95"/>
      <c r="BBX50" s="95"/>
      <c r="BBY50" s="95"/>
      <c r="BBZ50" s="95"/>
      <c r="BCA50" s="95"/>
      <c r="BCB50" s="95"/>
      <c r="BCC50" s="95"/>
      <c r="BCD50" s="95"/>
      <c r="BCE50" s="95"/>
      <c r="BCF50" s="95"/>
      <c r="BCG50" s="95"/>
      <c r="BCH50" s="95"/>
      <c r="BCI50" s="95"/>
      <c r="BCJ50" s="95"/>
      <c r="BCK50" s="95"/>
      <c r="BCL50" s="95"/>
      <c r="BCM50" s="95"/>
      <c r="BCN50" s="95"/>
      <c r="BCO50" s="95"/>
      <c r="BCP50" s="95"/>
      <c r="BCQ50" s="95"/>
      <c r="BCR50" s="95"/>
      <c r="BCS50" s="95"/>
      <c r="BCT50" s="95"/>
      <c r="BCU50" s="95"/>
      <c r="BCV50" s="95"/>
      <c r="BCW50" s="95"/>
      <c r="BCX50" s="95"/>
      <c r="BCY50" s="95"/>
      <c r="BCZ50" s="95"/>
      <c r="BDA50" s="95"/>
      <c r="BDB50" s="95"/>
      <c r="BDC50" s="95"/>
      <c r="BDD50" s="95"/>
      <c r="BDE50" s="95"/>
      <c r="BDF50" s="95"/>
      <c r="BDG50" s="95"/>
      <c r="BDH50" s="95"/>
      <c r="BDI50" s="95"/>
      <c r="BDJ50" s="95"/>
      <c r="BDK50" s="95"/>
      <c r="BDL50" s="95"/>
      <c r="BDM50" s="95"/>
      <c r="BDN50" s="95"/>
      <c r="BDO50" s="95"/>
      <c r="BDP50" s="95"/>
      <c r="BDQ50" s="95"/>
      <c r="BDR50" s="95"/>
      <c r="BDS50" s="95"/>
      <c r="BDT50" s="95"/>
      <c r="BDU50" s="95"/>
      <c r="BDV50" s="95"/>
      <c r="BDW50" s="95"/>
      <c r="BDX50" s="95"/>
      <c r="BDY50" s="95"/>
      <c r="BDZ50" s="95"/>
      <c r="BEA50" s="95"/>
      <c r="BEB50" s="95"/>
      <c r="BEC50" s="95"/>
      <c r="BED50" s="95"/>
      <c r="BEE50" s="95"/>
      <c r="BEF50" s="95"/>
      <c r="BEG50" s="95"/>
      <c r="BEH50" s="95"/>
      <c r="BEI50" s="95"/>
      <c r="BEJ50" s="95"/>
      <c r="BEK50" s="95"/>
      <c r="BEL50" s="95"/>
      <c r="BEM50" s="95"/>
      <c r="BEN50" s="95"/>
      <c r="BEO50" s="95"/>
      <c r="BEP50" s="95"/>
      <c r="BEQ50" s="95"/>
      <c r="BER50" s="95"/>
      <c r="BES50" s="95"/>
      <c r="BET50" s="95"/>
      <c r="BEU50" s="95"/>
      <c r="BEV50" s="95"/>
      <c r="BEW50" s="95"/>
      <c r="BEX50" s="95"/>
      <c r="BEY50" s="95"/>
      <c r="BEZ50" s="95"/>
      <c r="BFA50" s="95"/>
      <c r="BFB50" s="95"/>
      <c r="BFC50" s="95"/>
      <c r="BFD50" s="95"/>
      <c r="BFE50" s="95"/>
      <c r="BFF50" s="95"/>
      <c r="BFG50" s="95"/>
      <c r="BFH50" s="95"/>
      <c r="BFI50" s="95"/>
      <c r="BFJ50" s="95"/>
      <c r="BFK50" s="95"/>
      <c r="BFL50" s="95"/>
      <c r="BFM50" s="95"/>
      <c r="BFN50" s="95"/>
      <c r="BFO50" s="95"/>
      <c r="BFP50" s="95"/>
      <c r="BFQ50" s="95"/>
      <c r="BFR50" s="95"/>
      <c r="BFS50" s="95"/>
      <c r="BFT50" s="95"/>
      <c r="BFU50" s="95"/>
      <c r="BFV50" s="95"/>
      <c r="BFW50" s="95"/>
      <c r="BFX50" s="95"/>
      <c r="BFY50" s="95"/>
      <c r="BFZ50" s="95"/>
      <c r="BGA50" s="95"/>
      <c r="BGB50" s="95"/>
      <c r="BGC50" s="95"/>
      <c r="BGD50" s="95"/>
      <c r="BGE50" s="95"/>
      <c r="BGF50" s="95"/>
      <c r="BGG50" s="95"/>
      <c r="BGH50" s="95"/>
      <c r="BGI50" s="95"/>
      <c r="BGJ50" s="95"/>
      <c r="BGK50" s="95"/>
      <c r="BGL50" s="95"/>
      <c r="BGM50" s="95"/>
      <c r="BGN50" s="95"/>
      <c r="BGO50" s="95"/>
      <c r="BGP50" s="95"/>
      <c r="BGQ50" s="95"/>
      <c r="BGR50" s="95"/>
      <c r="BGS50" s="95"/>
      <c r="BGT50" s="95"/>
      <c r="BGU50" s="95"/>
      <c r="BGV50" s="95"/>
      <c r="BGW50" s="95"/>
      <c r="BGX50" s="95"/>
      <c r="BGY50" s="95"/>
      <c r="BGZ50" s="95"/>
      <c r="BHA50" s="95"/>
      <c r="BHB50" s="95"/>
      <c r="BHC50" s="95"/>
      <c r="BHD50" s="95"/>
      <c r="BHE50" s="95"/>
      <c r="BHF50" s="95"/>
      <c r="BHG50" s="95"/>
      <c r="BHH50" s="95"/>
      <c r="BHI50" s="95"/>
      <c r="BHJ50" s="95"/>
      <c r="BHK50" s="95"/>
      <c r="BHL50" s="95"/>
      <c r="BHM50" s="95"/>
      <c r="BHN50" s="95"/>
      <c r="BHO50" s="95"/>
      <c r="BHP50" s="95"/>
      <c r="BHQ50" s="95"/>
      <c r="BHR50" s="95"/>
      <c r="BHS50" s="95"/>
      <c r="BHT50" s="95"/>
      <c r="BHU50" s="95"/>
      <c r="BHV50" s="95"/>
      <c r="BHW50" s="95"/>
      <c r="BHX50" s="95"/>
      <c r="BHY50" s="95"/>
      <c r="BHZ50" s="95"/>
      <c r="BIA50" s="95"/>
      <c r="BIB50" s="95"/>
      <c r="BIC50" s="95"/>
      <c r="BID50" s="95"/>
      <c r="BIE50" s="95"/>
      <c r="BIF50" s="95"/>
      <c r="BIG50" s="95"/>
      <c r="BIH50" s="95"/>
      <c r="BII50" s="95"/>
      <c r="BIJ50" s="95"/>
      <c r="BIK50" s="95"/>
      <c r="BIL50" s="95"/>
      <c r="BIM50" s="95"/>
      <c r="BIN50" s="95"/>
      <c r="BIO50" s="95"/>
      <c r="BIP50" s="95"/>
      <c r="BIQ50" s="95"/>
      <c r="BIR50" s="95"/>
      <c r="BIS50" s="95"/>
      <c r="BIT50" s="95"/>
      <c r="BIU50" s="95"/>
      <c r="BIV50" s="95"/>
      <c r="BIW50" s="95"/>
      <c r="BIX50" s="95"/>
      <c r="BIY50" s="95"/>
      <c r="BIZ50" s="95"/>
      <c r="BJA50" s="95"/>
      <c r="BJB50" s="95"/>
      <c r="BJC50" s="95"/>
      <c r="BJD50" s="95"/>
      <c r="BJE50" s="95"/>
      <c r="BJF50" s="95"/>
      <c r="BJG50" s="95"/>
      <c r="BJH50" s="95"/>
      <c r="BJI50" s="95"/>
      <c r="BJJ50" s="95"/>
      <c r="BJK50" s="95"/>
      <c r="BJL50" s="95"/>
      <c r="BJM50" s="95"/>
      <c r="BJN50" s="95"/>
      <c r="BJO50" s="95"/>
      <c r="BJP50" s="95"/>
      <c r="BJQ50" s="95"/>
      <c r="BJR50" s="95"/>
      <c r="BJS50" s="95"/>
      <c r="BJT50" s="95"/>
      <c r="BJU50" s="95"/>
      <c r="BJV50" s="95"/>
      <c r="BJW50" s="95"/>
      <c r="BJX50" s="95"/>
      <c r="BJY50" s="95"/>
      <c r="BJZ50" s="95"/>
      <c r="BKA50" s="95"/>
      <c r="BKB50" s="95"/>
      <c r="BKC50" s="95"/>
      <c r="BKD50" s="95"/>
      <c r="BKE50" s="95"/>
      <c r="BKF50" s="95"/>
      <c r="BKG50" s="95"/>
      <c r="BKH50" s="95"/>
      <c r="BKI50" s="95"/>
      <c r="BKJ50" s="95"/>
      <c r="BKK50" s="95"/>
      <c r="BKL50" s="95"/>
      <c r="BKM50" s="95"/>
      <c r="BKN50" s="95"/>
      <c r="BKO50" s="95"/>
      <c r="BKP50" s="95"/>
      <c r="BKQ50" s="95"/>
      <c r="BKR50" s="95"/>
      <c r="BKS50" s="95"/>
      <c r="BKT50" s="95"/>
      <c r="BKU50" s="95"/>
      <c r="BKV50" s="95"/>
      <c r="BKW50" s="95"/>
      <c r="BKX50" s="95"/>
      <c r="BKY50" s="95"/>
      <c r="BKZ50" s="95"/>
      <c r="BLA50" s="95"/>
      <c r="BLB50" s="95"/>
      <c r="BLC50" s="95"/>
      <c r="BLD50" s="95"/>
      <c r="BLE50" s="95"/>
      <c r="BLF50" s="95"/>
      <c r="BLG50" s="95"/>
      <c r="BLH50" s="95"/>
      <c r="BLI50" s="95"/>
      <c r="BLJ50" s="95"/>
      <c r="BLK50" s="95"/>
      <c r="BLL50" s="95"/>
      <c r="BLM50" s="95"/>
      <c r="BLN50" s="95"/>
      <c r="BLO50" s="95"/>
      <c r="BLP50" s="95"/>
      <c r="BLQ50" s="95"/>
      <c r="BLR50" s="95"/>
      <c r="BLS50" s="95"/>
      <c r="BLT50" s="95"/>
      <c r="BLU50" s="95"/>
      <c r="BLV50" s="95"/>
      <c r="BLW50" s="95"/>
      <c r="BLX50" s="95"/>
      <c r="BLY50" s="95"/>
      <c r="BLZ50" s="95"/>
      <c r="BMA50" s="95"/>
      <c r="BMB50" s="95"/>
      <c r="BMC50" s="95"/>
      <c r="BMD50" s="95"/>
      <c r="BME50" s="95"/>
      <c r="BMF50" s="95"/>
      <c r="BMG50" s="95"/>
      <c r="BMH50" s="95"/>
      <c r="BMI50" s="95"/>
      <c r="BMJ50" s="95"/>
      <c r="BMK50" s="95"/>
      <c r="BML50" s="95"/>
      <c r="BMM50" s="95"/>
      <c r="BMN50" s="95"/>
      <c r="BMO50" s="95"/>
      <c r="BMP50" s="95"/>
      <c r="BMQ50" s="95"/>
      <c r="BMR50" s="95"/>
      <c r="BMS50" s="95"/>
      <c r="BMT50" s="95"/>
      <c r="BMU50" s="95"/>
      <c r="BMV50" s="95"/>
      <c r="BMW50" s="95"/>
      <c r="BMX50" s="95"/>
      <c r="BMY50" s="95"/>
      <c r="BMZ50" s="95"/>
      <c r="BNA50" s="95"/>
      <c r="BNB50" s="95"/>
      <c r="BNC50" s="95"/>
      <c r="BND50" s="95"/>
      <c r="BNE50" s="95"/>
      <c r="BNF50" s="95"/>
      <c r="BNG50" s="95"/>
      <c r="BNH50" s="95"/>
      <c r="BNI50" s="95"/>
      <c r="BNJ50" s="95"/>
      <c r="BNK50" s="95"/>
      <c r="BNL50" s="95"/>
      <c r="BNM50" s="95"/>
      <c r="BNN50" s="95"/>
      <c r="BNO50" s="95"/>
      <c r="BNP50" s="95"/>
      <c r="BNQ50" s="95"/>
      <c r="BNR50" s="95"/>
      <c r="BNS50" s="95"/>
      <c r="BNT50" s="95"/>
      <c r="BNU50" s="95"/>
      <c r="BNV50" s="95"/>
      <c r="BNW50" s="95"/>
      <c r="BNX50" s="95"/>
      <c r="BNY50" s="95"/>
      <c r="BNZ50" s="95"/>
      <c r="BOA50" s="95"/>
      <c r="BOB50" s="95"/>
      <c r="BOC50" s="95"/>
      <c r="BOD50" s="95"/>
      <c r="BOE50" s="95"/>
      <c r="BOF50" s="95"/>
      <c r="BOG50" s="95"/>
      <c r="BOH50" s="95"/>
      <c r="BOI50" s="95"/>
      <c r="BOJ50" s="95"/>
      <c r="BOK50" s="95"/>
      <c r="BOL50" s="95"/>
      <c r="BOM50" s="95"/>
      <c r="BON50" s="95"/>
      <c r="BOO50" s="95"/>
      <c r="BOP50" s="95"/>
      <c r="BOQ50" s="95"/>
      <c r="BOR50" s="95"/>
      <c r="BOS50" s="95"/>
      <c r="BOT50" s="95"/>
      <c r="BOU50" s="95"/>
      <c r="BOV50" s="95"/>
      <c r="BOW50" s="95"/>
      <c r="BOX50" s="95"/>
      <c r="BOY50" s="95"/>
      <c r="BOZ50" s="95"/>
      <c r="BPA50" s="95"/>
      <c r="BPB50" s="95"/>
      <c r="BPC50" s="95"/>
      <c r="BPD50" s="95"/>
      <c r="BPE50" s="95"/>
      <c r="BPF50" s="95"/>
      <c r="BPG50" s="95"/>
      <c r="BPH50" s="95"/>
      <c r="BPI50" s="95"/>
      <c r="BPJ50" s="95"/>
      <c r="BPK50" s="95"/>
      <c r="BPL50" s="95"/>
      <c r="BPM50" s="95"/>
      <c r="BPN50" s="95"/>
      <c r="BPO50" s="95"/>
      <c r="BPP50" s="95"/>
      <c r="BPQ50" s="95"/>
      <c r="BPR50" s="95"/>
      <c r="BPS50" s="95"/>
      <c r="BPT50" s="95"/>
      <c r="BPU50" s="95"/>
      <c r="BPV50" s="95"/>
      <c r="BPW50" s="95"/>
      <c r="BPX50" s="95"/>
      <c r="BPY50" s="95"/>
      <c r="BPZ50" s="95"/>
      <c r="BQA50" s="95"/>
      <c r="BQB50" s="95"/>
      <c r="BQC50" s="95"/>
      <c r="BQD50" s="95"/>
      <c r="BQE50" s="95"/>
      <c r="BQF50" s="95"/>
      <c r="BQG50" s="95"/>
      <c r="BQH50" s="95"/>
      <c r="BQI50" s="95"/>
      <c r="BQJ50" s="95"/>
      <c r="BQK50" s="95"/>
      <c r="BQL50" s="95"/>
      <c r="BQM50" s="95"/>
      <c r="BQN50" s="95"/>
      <c r="BQO50" s="95"/>
      <c r="BQP50" s="95"/>
      <c r="BQQ50" s="95"/>
      <c r="BQR50" s="95"/>
      <c r="BQS50" s="95"/>
      <c r="BQT50" s="95"/>
      <c r="BQU50" s="95"/>
      <c r="BQV50" s="95"/>
      <c r="BQW50" s="95"/>
      <c r="BQX50" s="95"/>
      <c r="BQY50" s="95"/>
      <c r="BQZ50" s="95"/>
      <c r="BRA50" s="95"/>
      <c r="BRB50" s="95"/>
      <c r="BRC50" s="95"/>
      <c r="BRD50" s="95"/>
      <c r="BRE50" s="95"/>
      <c r="BRF50" s="95"/>
      <c r="BRG50" s="95"/>
      <c r="BRH50" s="95"/>
      <c r="BRI50" s="95"/>
      <c r="BRJ50" s="95"/>
      <c r="BRK50" s="95"/>
      <c r="BRL50" s="95"/>
      <c r="BRM50" s="95"/>
      <c r="BRN50" s="95"/>
      <c r="BRO50" s="95"/>
      <c r="BRP50" s="95"/>
      <c r="BRQ50" s="95"/>
      <c r="BRR50" s="95"/>
      <c r="BRS50" s="95"/>
      <c r="BRT50" s="95"/>
      <c r="BRU50" s="95"/>
      <c r="BRV50" s="95"/>
      <c r="BRW50" s="95"/>
      <c r="BRX50" s="95"/>
      <c r="BRY50" s="95"/>
      <c r="BRZ50" s="95"/>
      <c r="BSA50" s="95"/>
      <c r="BSB50" s="95"/>
      <c r="BSC50" s="95"/>
      <c r="BSD50" s="95"/>
      <c r="BSE50" s="95"/>
      <c r="BSF50" s="95"/>
      <c r="BSG50" s="95"/>
      <c r="BSH50" s="95"/>
      <c r="BSI50" s="95"/>
      <c r="BSJ50" s="95"/>
      <c r="BSK50" s="95"/>
      <c r="BSL50" s="95"/>
      <c r="BSM50" s="95"/>
      <c r="BSN50" s="95"/>
      <c r="BSO50" s="95"/>
      <c r="BSP50" s="95"/>
      <c r="BSQ50" s="95"/>
      <c r="BSR50" s="95"/>
      <c r="BSS50" s="95"/>
      <c r="BST50" s="95"/>
      <c r="BSU50" s="95"/>
      <c r="BSV50" s="95"/>
      <c r="BSW50" s="95"/>
      <c r="BSX50" s="95"/>
      <c r="BSY50" s="95"/>
      <c r="BSZ50" s="95"/>
      <c r="BTA50" s="95"/>
      <c r="BTB50" s="95"/>
      <c r="BTC50" s="95"/>
      <c r="BTD50" s="95"/>
      <c r="BTE50" s="95"/>
      <c r="BTF50" s="95"/>
      <c r="BTG50" s="95"/>
      <c r="BTH50" s="95"/>
      <c r="BTI50" s="95"/>
      <c r="BTJ50" s="95"/>
      <c r="BTK50" s="95"/>
      <c r="BTL50" s="95"/>
      <c r="BTM50" s="95"/>
      <c r="BTN50" s="95"/>
      <c r="BTO50" s="95"/>
      <c r="BTP50" s="95"/>
      <c r="BTQ50" s="95"/>
      <c r="BTR50" s="95"/>
      <c r="BTS50" s="95"/>
      <c r="BTT50" s="95"/>
      <c r="BTU50" s="95"/>
      <c r="BTV50" s="95"/>
      <c r="BTW50" s="95"/>
      <c r="BTX50" s="95"/>
      <c r="BTY50" s="95"/>
      <c r="BTZ50" s="95"/>
      <c r="BUA50" s="95"/>
      <c r="BUB50" s="95"/>
      <c r="BUC50" s="95"/>
      <c r="BUD50" s="95"/>
      <c r="BUE50" s="95"/>
      <c r="BUF50" s="95"/>
      <c r="BUG50" s="95"/>
      <c r="BUH50" s="95"/>
      <c r="BUI50" s="95"/>
      <c r="BUJ50" s="95"/>
      <c r="BUK50" s="95"/>
      <c r="BUL50" s="95"/>
      <c r="BUM50" s="95"/>
      <c r="BUN50" s="95"/>
      <c r="BUO50" s="95"/>
      <c r="BUP50" s="95"/>
      <c r="BUQ50" s="95"/>
      <c r="BUR50" s="95"/>
      <c r="BUS50" s="95"/>
      <c r="BUT50" s="95"/>
      <c r="BUU50" s="95"/>
      <c r="BUV50" s="95"/>
      <c r="BUW50" s="95"/>
      <c r="BUX50" s="95"/>
      <c r="BUY50" s="95"/>
      <c r="BUZ50" s="95"/>
      <c r="BVA50" s="95"/>
      <c r="BVB50" s="95"/>
      <c r="BVC50" s="95"/>
      <c r="BVD50" s="95"/>
      <c r="BVE50" s="95"/>
      <c r="BVF50" s="95"/>
      <c r="BVG50" s="95"/>
      <c r="BVH50" s="95"/>
      <c r="BVI50" s="95"/>
      <c r="BVJ50" s="95"/>
      <c r="BVK50" s="95"/>
      <c r="BVL50" s="95"/>
      <c r="BVM50" s="95"/>
      <c r="BVN50" s="95"/>
      <c r="BVO50" s="95"/>
      <c r="BVP50" s="95"/>
      <c r="BVQ50" s="95"/>
      <c r="BVR50" s="95"/>
      <c r="BVS50" s="95"/>
      <c r="BVT50" s="95"/>
      <c r="BVU50" s="95"/>
      <c r="BVV50" s="95"/>
      <c r="BVW50" s="95"/>
      <c r="BVX50" s="95"/>
      <c r="BVY50" s="95"/>
      <c r="BVZ50" s="95"/>
      <c r="BWA50" s="95"/>
      <c r="BWB50" s="95"/>
      <c r="BWC50" s="95"/>
      <c r="BWD50" s="95"/>
      <c r="BWE50" s="95"/>
      <c r="BWF50" s="95"/>
      <c r="BWG50" s="95"/>
      <c r="BWH50" s="95"/>
      <c r="BWI50" s="95"/>
      <c r="BWJ50" s="95"/>
      <c r="BWK50" s="95"/>
      <c r="BWL50" s="95"/>
      <c r="BWM50" s="95"/>
      <c r="BWN50" s="95"/>
      <c r="BWO50" s="95"/>
      <c r="BWP50" s="95"/>
      <c r="BWQ50" s="95"/>
      <c r="BWR50" s="95"/>
      <c r="BWS50" s="95"/>
      <c r="BWT50" s="95"/>
      <c r="BWU50" s="95"/>
      <c r="BWV50" s="95"/>
      <c r="BWW50" s="95"/>
      <c r="BWX50" s="95"/>
      <c r="BWY50" s="95"/>
      <c r="BWZ50" s="95"/>
      <c r="BXA50" s="95"/>
      <c r="BXB50" s="95"/>
      <c r="BXC50" s="95"/>
      <c r="BXD50" s="95"/>
      <c r="BXE50" s="95"/>
      <c r="BXF50" s="95"/>
      <c r="BXG50" s="95"/>
      <c r="BXH50" s="95"/>
      <c r="BXI50" s="95"/>
      <c r="BXJ50" s="95"/>
      <c r="BXK50" s="95"/>
      <c r="BXL50" s="95"/>
      <c r="BXM50" s="95"/>
      <c r="BXN50" s="95"/>
      <c r="BXO50" s="95"/>
      <c r="BXP50" s="95"/>
      <c r="BXQ50" s="95"/>
      <c r="BXR50" s="95"/>
      <c r="BXS50" s="95"/>
      <c r="BXT50" s="95"/>
      <c r="BXU50" s="95"/>
      <c r="BXV50" s="95"/>
      <c r="BXW50" s="95"/>
      <c r="BXX50" s="95"/>
      <c r="BXY50" s="95"/>
      <c r="BXZ50" s="95"/>
      <c r="BYA50" s="95"/>
      <c r="BYB50" s="95"/>
      <c r="BYC50" s="95"/>
      <c r="BYD50" s="95"/>
      <c r="BYE50" s="95"/>
      <c r="BYF50" s="95"/>
      <c r="BYG50" s="95"/>
    </row>
    <row r="51" spans="1:2009" s="121" customFormat="1" ht="24.95" customHeight="1" x14ac:dyDescent="0.25">
      <c r="A51" s="381" t="s">
        <v>202</v>
      </c>
      <c r="B51" s="382"/>
      <c r="C51" s="383"/>
      <c r="D51" s="398"/>
      <c r="E51" s="398"/>
      <c r="F51" s="398"/>
      <c r="G51" s="38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c r="AML51" s="95"/>
      <c r="AMM51" s="95"/>
      <c r="AMN51" s="95"/>
      <c r="AMO51" s="95"/>
      <c r="AMP51" s="95"/>
      <c r="AMQ51" s="95"/>
      <c r="AMR51" s="95"/>
      <c r="AMS51" s="95"/>
      <c r="AMT51" s="95"/>
      <c r="AMU51" s="95"/>
      <c r="AMV51" s="95"/>
      <c r="AMW51" s="95"/>
      <c r="AMX51" s="95"/>
      <c r="AMY51" s="95"/>
      <c r="AMZ51" s="95"/>
      <c r="ANA51" s="95"/>
      <c r="ANB51" s="95"/>
      <c r="ANC51" s="95"/>
      <c r="AND51" s="95"/>
      <c r="ANE51" s="95"/>
      <c r="ANF51" s="95"/>
      <c r="ANG51" s="95"/>
      <c r="ANH51" s="95"/>
      <c r="ANI51" s="95"/>
      <c r="ANJ51" s="95"/>
      <c r="ANK51" s="95"/>
      <c r="ANL51" s="95"/>
      <c r="ANM51" s="95"/>
      <c r="ANN51" s="95"/>
      <c r="ANO51" s="95"/>
      <c r="ANP51" s="95"/>
      <c r="ANQ51" s="95"/>
      <c r="ANR51" s="95"/>
      <c r="ANS51" s="95"/>
      <c r="ANT51" s="95"/>
      <c r="ANU51" s="95"/>
      <c r="ANV51" s="95"/>
      <c r="ANW51" s="95"/>
      <c r="ANX51" s="95"/>
      <c r="ANY51" s="95"/>
      <c r="ANZ51" s="95"/>
      <c r="AOA51" s="95"/>
      <c r="AOB51" s="95"/>
      <c r="AOC51" s="95"/>
      <c r="AOD51" s="95"/>
      <c r="AOE51" s="95"/>
      <c r="AOF51" s="95"/>
      <c r="AOG51" s="95"/>
      <c r="AOH51" s="95"/>
      <c r="AOI51" s="95"/>
      <c r="AOJ51" s="95"/>
      <c r="AOK51" s="95"/>
      <c r="AOL51" s="95"/>
      <c r="AOM51" s="95"/>
      <c r="AON51" s="95"/>
      <c r="AOO51" s="95"/>
      <c r="AOP51" s="95"/>
      <c r="AOQ51" s="95"/>
      <c r="AOR51" s="95"/>
      <c r="AOS51" s="95"/>
      <c r="AOT51" s="95"/>
      <c r="AOU51" s="95"/>
      <c r="AOV51" s="95"/>
      <c r="AOW51" s="95"/>
      <c r="AOX51" s="95"/>
      <c r="AOY51" s="95"/>
      <c r="AOZ51" s="95"/>
      <c r="APA51" s="95"/>
      <c r="APB51" s="95"/>
      <c r="APC51" s="95"/>
      <c r="APD51" s="95"/>
      <c r="APE51" s="95"/>
      <c r="APF51" s="95"/>
      <c r="APG51" s="95"/>
      <c r="APH51" s="95"/>
      <c r="API51" s="95"/>
      <c r="APJ51" s="95"/>
      <c r="APK51" s="95"/>
      <c r="APL51" s="95"/>
      <c r="APM51" s="95"/>
      <c r="APN51" s="95"/>
      <c r="APO51" s="95"/>
      <c r="APP51" s="95"/>
      <c r="APQ51" s="95"/>
      <c r="APR51" s="95"/>
      <c r="APS51" s="95"/>
      <c r="APT51" s="95"/>
      <c r="APU51" s="95"/>
      <c r="APV51" s="95"/>
      <c r="APW51" s="95"/>
      <c r="APX51" s="95"/>
      <c r="APY51" s="95"/>
      <c r="APZ51" s="95"/>
      <c r="AQA51" s="95"/>
      <c r="AQB51" s="95"/>
      <c r="AQC51" s="95"/>
      <c r="AQD51" s="95"/>
      <c r="AQE51" s="95"/>
      <c r="AQF51" s="95"/>
      <c r="AQG51" s="95"/>
      <c r="AQH51" s="95"/>
      <c r="AQI51" s="95"/>
      <c r="AQJ51" s="95"/>
      <c r="AQK51" s="95"/>
      <c r="AQL51" s="95"/>
      <c r="AQM51" s="95"/>
      <c r="AQN51" s="95"/>
      <c r="AQO51" s="95"/>
      <c r="AQP51" s="95"/>
      <c r="AQQ51" s="95"/>
      <c r="AQR51" s="95"/>
      <c r="AQS51" s="95"/>
      <c r="AQT51" s="95"/>
      <c r="AQU51" s="95"/>
      <c r="AQV51" s="95"/>
      <c r="AQW51" s="95"/>
      <c r="AQX51" s="95"/>
      <c r="AQY51" s="95"/>
      <c r="AQZ51" s="95"/>
      <c r="ARA51" s="95"/>
      <c r="ARB51" s="95"/>
      <c r="ARC51" s="95"/>
      <c r="ARD51" s="95"/>
      <c r="ARE51" s="95"/>
      <c r="ARF51" s="95"/>
      <c r="ARG51" s="95"/>
      <c r="ARH51" s="95"/>
      <c r="ARI51" s="95"/>
      <c r="ARJ51" s="95"/>
      <c r="ARK51" s="95"/>
      <c r="ARL51" s="95"/>
      <c r="ARM51" s="95"/>
      <c r="ARN51" s="95"/>
      <c r="ARO51" s="95"/>
      <c r="ARP51" s="95"/>
      <c r="ARQ51" s="95"/>
      <c r="ARR51" s="95"/>
      <c r="ARS51" s="95"/>
      <c r="ART51" s="95"/>
      <c r="ARU51" s="95"/>
      <c r="ARV51" s="95"/>
      <c r="ARW51" s="95"/>
      <c r="ARX51" s="95"/>
      <c r="ARY51" s="95"/>
      <c r="ARZ51" s="95"/>
      <c r="ASA51" s="95"/>
      <c r="ASB51" s="95"/>
      <c r="ASC51" s="95"/>
      <c r="ASD51" s="95"/>
      <c r="ASE51" s="95"/>
      <c r="ASF51" s="95"/>
      <c r="ASG51" s="95"/>
      <c r="ASH51" s="95"/>
      <c r="ASI51" s="95"/>
      <c r="ASJ51" s="95"/>
      <c r="ASK51" s="95"/>
      <c r="ASL51" s="95"/>
      <c r="ASM51" s="95"/>
      <c r="ASN51" s="95"/>
      <c r="ASO51" s="95"/>
      <c r="ASP51" s="95"/>
      <c r="ASQ51" s="95"/>
      <c r="ASR51" s="95"/>
      <c r="ASS51" s="95"/>
      <c r="AST51" s="95"/>
      <c r="ASU51" s="95"/>
      <c r="ASV51" s="95"/>
      <c r="ASW51" s="95"/>
      <c r="ASX51" s="95"/>
      <c r="ASY51" s="95"/>
      <c r="ASZ51" s="95"/>
      <c r="ATA51" s="95"/>
      <c r="ATB51" s="95"/>
      <c r="ATC51" s="95"/>
      <c r="ATD51" s="95"/>
      <c r="ATE51" s="95"/>
      <c r="ATF51" s="95"/>
      <c r="ATG51" s="95"/>
      <c r="ATH51" s="95"/>
      <c r="ATI51" s="95"/>
      <c r="ATJ51" s="95"/>
      <c r="ATK51" s="95"/>
      <c r="ATL51" s="95"/>
      <c r="ATM51" s="95"/>
      <c r="ATN51" s="95"/>
      <c r="ATO51" s="95"/>
      <c r="ATP51" s="95"/>
      <c r="ATQ51" s="95"/>
      <c r="ATR51" s="95"/>
      <c r="ATS51" s="95"/>
      <c r="ATT51" s="95"/>
      <c r="ATU51" s="95"/>
      <c r="ATV51" s="95"/>
      <c r="ATW51" s="95"/>
      <c r="ATX51" s="95"/>
      <c r="ATY51" s="95"/>
      <c r="ATZ51" s="95"/>
      <c r="AUA51" s="95"/>
      <c r="AUB51" s="95"/>
      <c r="AUC51" s="95"/>
      <c r="AUD51" s="95"/>
      <c r="AUE51" s="95"/>
      <c r="AUF51" s="95"/>
      <c r="AUG51" s="95"/>
      <c r="AUH51" s="95"/>
      <c r="AUI51" s="95"/>
      <c r="AUJ51" s="95"/>
      <c r="AUK51" s="95"/>
      <c r="AUL51" s="95"/>
      <c r="AUM51" s="95"/>
      <c r="AUN51" s="95"/>
      <c r="AUO51" s="95"/>
      <c r="AUP51" s="95"/>
      <c r="AUQ51" s="95"/>
      <c r="AUR51" s="95"/>
      <c r="AUS51" s="95"/>
      <c r="AUT51" s="95"/>
      <c r="AUU51" s="95"/>
      <c r="AUV51" s="95"/>
      <c r="AUW51" s="95"/>
      <c r="AUX51" s="95"/>
      <c r="AUY51" s="95"/>
      <c r="AUZ51" s="95"/>
      <c r="AVA51" s="95"/>
      <c r="AVB51" s="95"/>
      <c r="AVC51" s="95"/>
      <c r="AVD51" s="95"/>
      <c r="AVE51" s="95"/>
      <c r="AVF51" s="95"/>
      <c r="AVG51" s="95"/>
      <c r="AVH51" s="95"/>
      <c r="AVI51" s="95"/>
      <c r="AVJ51" s="95"/>
      <c r="AVK51" s="95"/>
      <c r="AVL51" s="95"/>
      <c r="AVM51" s="95"/>
      <c r="AVN51" s="95"/>
      <c r="AVO51" s="95"/>
      <c r="AVP51" s="95"/>
      <c r="AVQ51" s="95"/>
      <c r="AVR51" s="95"/>
      <c r="AVS51" s="95"/>
      <c r="AVT51" s="95"/>
      <c r="AVU51" s="95"/>
      <c r="AVV51" s="95"/>
      <c r="AVW51" s="95"/>
      <c r="AVX51" s="95"/>
      <c r="AVY51" s="95"/>
      <c r="AVZ51" s="95"/>
      <c r="AWA51" s="95"/>
      <c r="AWB51" s="95"/>
      <c r="AWC51" s="95"/>
      <c r="AWD51" s="95"/>
      <c r="AWE51" s="95"/>
      <c r="AWF51" s="95"/>
      <c r="AWG51" s="95"/>
      <c r="AWH51" s="95"/>
      <c r="AWI51" s="95"/>
      <c r="AWJ51" s="95"/>
      <c r="AWK51" s="95"/>
      <c r="AWL51" s="95"/>
      <c r="AWM51" s="95"/>
      <c r="AWN51" s="95"/>
      <c r="AWO51" s="95"/>
      <c r="AWP51" s="95"/>
      <c r="AWQ51" s="95"/>
      <c r="AWR51" s="95"/>
      <c r="AWS51" s="95"/>
      <c r="AWT51" s="95"/>
      <c r="AWU51" s="95"/>
      <c r="AWV51" s="95"/>
      <c r="AWW51" s="95"/>
      <c r="AWX51" s="95"/>
      <c r="AWY51" s="95"/>
      <c r="AWZ51" s="95"/>
      <c r="AXA51" s="95"/>
      <c r="AXB51" s="95"/>
      <c r="AXC51" s="95"/>
      <c r="AXD51" s="95"/>
      <c r="AXE51" s="95"/>
      <c r="AXF51" s="95"/>
      <c r="AXG51" s="95"/>
      <c r="AXH51" s="95"/>
      <c r="AXI51" s="95"/>
      <c r="AXJ51" s="95"/>
      <c r="AXK51" s="95"/>
      <c r="AXL51" s="95"/>
      <c r="AXM51" s="95"/>
      <c r="AXN51" s="95"/>
      <c r="AXO51" s="95"/>
      <c r="AXP51" s="95"/>
      <c r="AXQ51" s="95"/>
      <c r="AXR51" s="95"/>
      <c r="AXS51" s="95"/>
      <c r="AXT51" s="95"/>
      <c r="AXU51" s="95"/>
      <c r="AXV51" s="95"/>
      <c r="AXW51" s="95"/>
      <c r="AXX51" s="95"/>
      <c r="AXY51" s="95"/>
      <c r="AXZ51" s="95"/>
      <c r="AYA51" s="95"/>
      <c r="AYB51" s="95"/>
      <c r="AYC51" s="95"/>
      <c r="AYD51" s="95"/>
      <c r="AYE51" s="95"/>
      <c r="AYF51" s="95"/>
      <c r="AYG51" s="95"/>
      <c r="AYH51" s="95"/>
      <c r="AYI51" s="95"/>
      <c r="AYJ51" s="95"/>
      <c r="AYK51" s="95"/>
      <c r="AYL51" s="95"/>
      <c r="AYM51" s="95"/>
      <c r="AYN51" s="95"/>
      <c r="AYO51" s="95"/>
      <c r="AYP51" s="95"/>
      <c r="AYQ51" s="95"/>
      <c r="AYR51" s="95"/>
      <c r="AYS51" s="95"/>
      <c r="AYT51" s="95"/>
      <c r="AYU51" s="95"/>
      <c r="AYV51" s="95"/>
      <c r="AYW51" s="95"/>
      <c r="AYX51" s="95"/>
      <c r="AYY51" s="95"/>
      <c r="AYZ51" s="95"/>
      <c r="AZA51" s="95"/>
      <c r="AZB51" s="95"/>
      <c r="AZC51" s="95"/>
      <c r="AZD51" s="95"/>
      <c r="AZE51" s="95"/>
      <c r="AZF51" s="95"/>
      <c r="AZG51" s="95"/>
      <c r="AZH51" s="95"/>
      <c r="AZI51" s="95"/>
      <c r="AZJ51" s="95"/>
      <c r="AZK51" s="95"/>
      <c r="AZL51" s="95"/>
      <c r="AZM51" s="95"/>
      <c r="AZN51" s="95"/>
      <c r="AZO51" s="95"/>
      <c r="AZP51" s="95"/>
      <c r="AZQ51" s="95"/>
      <c r="AZR51" s="95"/>
      <c r="AZS51" s="95"/>
      <c r="AZT51" s="95"/>
      <c r="AZU51" s="95"/>
      <c r="AZV51" s="95"/>
      <c r="AZW51" s="95"/>
      <c r="AZX51" s="95"/>
      <c r="AZY51" s="95"/>
      <c r="AZZ51" s="95"/>
      <c r="BAA51" s="95"/>
      <c r="BAB51" s="95"/>
      <c r="BAC51" s="95"/>
      <c r="BAD51" s="95"/>
      <c r="BAE51" s="95"/>
      <c r="BAF51" s="95"/>
      <c r="BAG51" s="95"/>
      <c r="BAH51" s="95"/>
      <c r="BAI51" s="95"/>
      <c r="BAJ51" s="95"/>
      <c r="BAK51" s="95"/>
      <c r="BAL51" s="95"/>
      <c r="BAM51" s="95"/>
      <c r="BAN51" s="95"/>
      <c r="BAO51" s="95"/>
      <c r="BAP51" s="95"/>
      <c r="BAQ51" s="95"/>
      <c r="BAR51" s="95"/>
      <c r="BAS51" s="95"/>
      <c r="BAT51" s="95"/>
      <c r="BAU51" s="95"/>
      <c r="BAV51" s="95"/>
      <c r="BAW51" s="95"/>
      <c r="BAX51" s="95"/>
      <c r="BAY51" s="95"/>
      <c r="BAZ51" s="95"/>
      <c r="BBA51" s="95"/>
      <c r="BBB51" s="95"/>
      <c r="BBC51" s="95"/>
      <c r="BBD51" s="95"/>
      <c r="BBE51" s="95"/>
      <c r="BBF51" s="95"/>
      <c r="BBG51" s="95"/>
      <c r="BBH51" s="95"/>
      <c r="BBI51" s="95"/>
      <c r="BBJ51" s="95"/>
      <c r="BBK51" s="95"/>
      <c r="BBL51" s="95"/>
      <c r="BBM51" s="95"/>
      <c r="BBN51" s="95"/>
      <c r="BBO51" s="95"/>
      <c r="BBP51" s="95"/>
      <c r="BBQ51" s="95"/>
      <c r="BBR51" s="95"/>
      <c r="BBS51" s="95"/>
      <c r="BBT51" s="95"/>
      <c r="BBU51" s="95"/>
      <c r="BBV51" s="95"/>
      <c r="BBW51" s="95"/>
      <c r="BBX51" s="95"/>
      <c r="BBY51" s="95"/>
      <c r="BBZ51" s="95"/>
      <c r="BCA51" s="95"/>
      <c r="BCB51" s="95"/>
      <c r="BCC51" s="95"/>
      <c r="BCD51" s="95"/>
      <c r="BCE51" s="95"/>
      <c r="BCF51" s="95"/>
      <c r="BCG51" s="95"/>
      <c r="BCH51" s="95"/>
      <c r="BCI51" s="95"/>
      <c r="BCJ51" s="95"/>
      <c r="BCK51" s="95"/>
      <c r="BCL51" s="95"/>
      <c r="BCM51" s="95"/>
      <c r="BCN51" s="95"/>
      <c r="BCO51" s="95"/>
      <c r="BCP51" s="95"/>
      <c r="BCQ51" s="95"/>
      <c r="BCR51" s="95"/>
      <c r="BCS51" s="95"/>
      <c r="BCT51" s="95"/>
      <c r="BCU51" s="95"/>
      <c r="BCV51" s="95"/>
      <c r="BCW51" s="95"/>
      <c r="BCX51" s="95"/>
      <c r="BCY51" s="95"/>
      <c r="BCZ51" s="95"/>
      <c r="BDA51" s="95"/>
      <c r="BDB51" s="95"/>
      <c r="BDC51" s="95"/>
      <c r="BDD51" s="95"/>
      <c r="BDE51" s="95"/>
      <c r="BDF51" s="95"/>
      <c r="BDG51" s="95"/>
      <c r="BDH51" s="95"/>
      <c r="BDI51" s="95"/>
      <c r="BDJ51" s="95"/>
      <c r="BDK51" s="95"/>
      <c r="BDL51" s="95"/>
      <c r="BDM51" s="95"/>
      <c r="BDN51" s="95"/>
      <c r="BDO51" s="95"/>
      <c r="BDP51" s="95"/>
      <c r="BDQ51" s="95"/>
      <c r="BDR51" s="95"/>
      <c r="BDS51" s="95"/>
      <c r="BDT51" s="95"/>
      <c r="BDU51" s="95"/>
      <c r="BDV51" s="95"/>
      <c r="BDW51" s="95"/>
      <c r="BDX51" s="95"/>
      <c r="BDY51" s="95"/>
      <c r="BDZ51" s="95"/>
      <c r="BEA51" s="95"/>
      <c r="BEB51" s="95"/>
      <c r="BEC51" s="95"/>
      <c r="BED51" s="95"/>
      <c r="BEE51" s="95"/>
      <c r="BEF51" s="95"/>
      <c r="BEG51" s="95"/>
      <c r="BEH51" s="95"/>
      <c r="BEI51" s="95"/>
      <c r="BEJ51" s="95"/>
      <c r="BEK51" s="95"/>
      <c r="BEL51" s="95"/>
      <c r="BEM51" s="95"/>
      <c r="BEN51" s="95"/>
      <c r="BEO51" s="95"/>
      <c r="BEP51" s="95"/>
      <c r="BEQ51" s="95"/>
      <c r="BER51" s="95"/>
      <c r="BES51" s="95"/>
      <c r="BET51" s="95"/>
      <c r="BEU51" s="95"/>
      <c r="BEV51" s="95"/>
      <c r="BEW51" s="95"/>
      <c r="BEX51" s="95"/>
      <c r="BEY51" s="95"/>
      <c r="BEZ51" s="95"/>
      <c r="BFA51" s="95"/>
      <c r="BFB51" s="95"/>
      <c r="BFC51" s="95"/>
      <c r="BFD51" s="95"/>
      <c r="BFE51" s="95"/>
      <c r="BFF51" s="95"/>
      <c r="BFG51" s="95"/>
      <c r="BFH51" s="95"/>
      <c r="BFI51" s="95"/>
      <c r="BFJ51" s="95"/>
      <c r="BFK51" s="95"/>
      <c r="BFL51" s="95"/>
      <c r="BFM51" s="95"/>
      <c r="BFN51" s="95"/>
      <c r="BFO51" s="95"/>
      <c r="BFP51" s="95"/>
      <c r="BFQ51" s="95"/>
      <c r="BFR51" s="95"/>
      <c r="BFS51" s="95"/>
      <c r="BFT51" s="95"/>
      <c r="BFU51" s="95"/>
      <c r="BFV51" s="95"/>
      <c r="BFW51" s="95"/>
      <c r="BFX51" s="95"/>
      <c r="BFY51" s="95"/>
      <c r="BFZ51" s="95"/>
      <c r="BGA51" s="95"/>
      <c r="BGB51" s="95"/>
      <c r="BGC51" s="95"/>
      <c r="BGD51" s="95"/>
      <c r="BGE51" s="95"/>
      <c r="BGF51" s="95"/>
      <c r="BGG51" s="95"/>
      <c r="BGH51" s="95"/>
      <c r="BGI51" s="95"/>
      <c r="BGJ51" s="95"/>
      <c r="BGK51" s="95"/>
      <c r="BGL51" s="95"/>
      <c r="BGM51" s="95"/>
      <c r="BGN51" s="95"/>
      <c r="BGO51" s="95"/>
      <c r="BGP51" s="95"/>
      <c r="BGQ51" s="95"/>
      <c r="BGR51" s="95"/>
      <c r="BGS51" s="95"/>
      <c r="BGT51" s="95"/>
      <c r="BGU51" s="95"/>
      <c r="BGV51" s="95"/>
      <c r="BGW51" s="95"/>
      <c r="BGX51" s="95"/>
      <c r="BGY51" s="95"/>
      <c r="BGZ51" s="95"/>
      <c r="BHA51" s="95"/>
      <c r="BHB51" s="95"/>
      <c r="BHC51" s="95"/>
      <c r="BHD51" s="95"/>
      <c r="BHE51" s="95"/>
      <c r="BHF51" s="95"/>
      <c r="BHG51" s="95"/>
      <c r="BHH51" s="95"/>
      <c r="BHI51" s="95"/>
      <c r="BHJ51" s="95"/>
      <c r="BHK51" s="95"/>
      <c r="BHL51" s="95"/>
      <c r="BHM51" s="95"/>
      <c r="BHN51" s="95"/>
      <c r="BHO51" s="95"/>
      <c r="BHP51" s="95"/>
      <c r="BHQ51" s="95"/>
      <c r="BHR51" s="95"/>
      <c r="BHS51" s="95"/>
      <c r="BHT51" s="95"/>
      <c r="BHU51" s="95"/>
      <c r="BHV51" s="95"/>
      <c r="BHW51" s="95"/>
      <c r="BHX51" s="95"/>
      <c r="BHY51" s="95"/>
      <c r="BHZ51" s="95"/>
      <c r="BIA51" s="95"/>
      <c r="BIB51" s="95"/>
      <c r="BIC51" s="95"/>
      <c r="BID51" s="95"/>
      <c r="BIE51" s="95"/>
      <c r="BIF51" s="95"/>
      <c r="BIG51" s="95"/>
      <c r="BIH51" s="95"/>
      <c r="BII51" s="95"/>
      <c r="BIJ51" s="95"/>
      <c r="BIK51" s="95"/>
      <c r="BIL51" s="95"/>
      <c r="BIM51" s="95"/>
      <c r="BIN51" s="95"/>
      <c r="BIO51" s="95"/>
      <c r="BIP51" s="95"/>
      <c r="BIQ51" s="95"/>
      <c r="BIR51" s="95"/>
      <c r="BIS51" s="95"/>
      <c r="BIT51" s="95"/>
      <c r="BIU51" s="95"/>
      <c r="BIV51" s="95"/>
      <c r="BIW51" s="95"/>
      <c r="BIX51" s="95"/>
      <c r="BIY51" s="95"/>
      <c r="BIZ51" s="95"/>
      <c r="BJA51" s="95"/>
      <c r="BJB51" s="95"/>
      <c r="BJC51" s="95"/>
      <c r="BJD51" s="95"/>
      <c r="BJE51" s="95"/>
      <c r="BJF51" s="95"/>
      <c r="BJG51" s="95"/>
      <c r="BJH51" s="95"/>
      <c r="BJI51" s="95"/>
      <c r="BJJ51" s="95"/>
      <c r="BJK51" s="95"/>
      <c r="BJL51" s="95"/>
      <c r="BJM51" s="95"/>
      <c r="BJN51" s="95"/>
      <c r="BJO51" s="95"/>
      <c r="BJP51" s="95"/>
      <c r="BJQ51" s="95"/>
      <c r="BJR51" s="95"/>
      <c r="BJS51" s="95"/>
      <c r="BJT51" s="95"/>
      <c r="BJU51" s="95"/>
      <c r="BJV51" s="95"/>
      <c r="BJW51" s="95"/>
      <c r="BJX51" s="95"/>
      <c r="BJY51" s="95"/>
      <c r="BJZ51" s="95"/>
      <c r="BKA51" s="95"/>
      <c r="BKB51" s="95"/>
      <c r="BKC51" s="95"/>
      <c r="BKD51" s="95"/>
      <c r="BKE51" s="95"/>
      <c r="BKF51" s="95"/>
      <c r="BKG51" s="95"/>
      <c r="BKH51" s="95"/>
      <c r="BKI51" s="95"/>
      <c r="BKJ51" s="95"/>
      <c r="BKK51" s="95"/>
      <c r="BKL51" s="95"/>
      <c r="BKM51" s="95"/>
      <c r="BKN51" s="95"/>
      <c r="BKO51" s="95"/>
      <c r="BKP51" s="95"/>
      <c r="BKQ51" s="95"/>
      <c r="BKR51" s="95"/>
      <c r="BKS51" s="95"/>
      <c r="BKT51" s="95"/>
      <c r="BKU51" s="95"/>
      <c r="BKV51" s="95"/>
      <c r="BKW51" s="95"/>
      <c r="BKX51" s="95"/>
      <c r="BKY51" s="95"/>
      <c r="BKZ51" s="95"/>
      <c r="BLA51" s="95"/>
      <c r="BLB51" s="95"/>
      <c r="BLC51" s="95"/>
      <c r="BLD51" s="95"/>
      <c r="BLE51" s="95"/>
      <c r="BLF51" s="95"/>
      <c r="BLG51" s="95"/>
      <c r="BLH51" s="95"/>
      <c r="BLI51" s="95"/>
      <c r="BLJ51" s="95"/>
      <c r="BLK51" s="95"/>
      <c r="BLL51" s="95"/>
      <c r="BLM51" s="95"/>
      <c r="BLN51" s="95"/>
      <c r="BLO51" s="95"/>
      <c r="BLP51" s="95"/>
      <c r="BLQ51" s="95"/>
      <c r="BLR51" s="95"/>
      <c r="BLS51" s="95"/>
      <c r="BLT51" s="95"/>
      <c r="BLU51" s="95"/>
      <c r="BLV51" s="95"/>
      <c r="BLW51" s="95"/>
      <c r="BLX51" s="95"/>
      <c r="BLY51" s="95"/>
      <c r="BLZ51" s="95"/>
      <c r="BMA51" s="95"/>
      <c r="BMB51" s="95"/>
      <c r="BMC51" s="95"/>
      <c r="BMD51" s="95"/>
      <c r="BME51" s="95"/>
      <c r="BMF51" s="95"/>
      <c r="BMG51" s="95"/>
      <c r="BMH51" s="95"/>
      <c r="BMI51" s="95"/>
      <c r="BMJ51" s="95"/>
      <c r="BMK51" s="95"/>
      <c r="BML51" s="95"/>
      <c r="BMM51" s="95"/>
      <c r="BMN51" s="95"/>
      <c r="BMO51" s="95"/>
      <c r="BMP51" s="95"/>
      <c r="BMQ51" s="95"/>
      <c r="BMR51" s="95"/>
      <c r="BMS51" s="95"/>
      <c r="BMT51" s="95"/>
      <c r="BMU51" s="95"/>
      <c r="BMV51" s="95"/>
      <c r="BMW51" s="95"/>
      <c r="BMX51" s="95"/>
      <c r="BMY51" s="95"/>
      <c r="BMZ51" s="95"/>
      <c r="BNA51" s="95"/>
      <c r="BNB51" s="95"/>
      <c r="BNC51" s="95"/>
      <c r="BND51" s="95"/>
      <c r="BNE51" s="95"/>
      <c r="BNF51" s="95"/>
      <c r="BNG51" s="95"/>
      <c r="BNH51" s="95"/>
      <c r="BNI51" s="95"/>
      <c r="BNJ51" s="95"/>
      <c r="BNK51" s="95"/>
      <c r="BNL51" s="95"/>
      <c r="BNM51" s="95"/>
      <c r="BNN51" s="95"/>
      <c r="BNO51" s="95"/>
      <c r="BNP51" s="95"/>
      <c r="BNQ51" s="95"/>
      <c r="BNR51" s="95"/>
      <c r="BNS51" s="95"/>
      <c r="BNT51" s="95"/>
      <c r="BNU51" s="95"/>
      <c r="BNV51" s="95"/>
      <c r="BNW51" s="95"/>
      <c r="BNX51" s="95"/>
      <c r="BNY51" s="95"/>
      <c r="BNZ51" s="95"/>
      <c r="BOA51" s="95"/>
      <c r="BOB51" s="95"/>
      <c r="BOC51" s="95"/>
      <c r="BOD51" s="95"/>
      <c r="BOE51" s="95"/>
      <c r="BOF51" s="95"/>
      <c r="BOG51" s="95"/>
      <c r="BOH51" s="95"/>
      <c r="BOI51" s="95"/>
      <c r="BOJ51" s="95"/>
      <c r="BOK51" s="95"/>
      <c r="BOL51" s="95"/>
      <c r="BOM51" s="95"/>
      <c r="BON51" s="95"/>
      <c r="BOO51" s="95"/>
      <c r="BOP51" s="95"/>
      <c r="BOQ51" s="95"/>
      <c r="BOR51" s="95"/>
      <c r="BOS51" s="95"/>
      <c r="BOT51" s="95"/>
      <c r="BOU51" s="95"/>
      <c r="BOV51" s="95"/>
      <c r="BOW51" s="95"/>
      <c r="BOX51" s="95"/>
      <c r="BOY51" s="95"/>
      <c r="BOZ51" s="95"/>
      <c r="BPA51" s="95"/>
      <c r="BPB51" s="95"/>
      <c r="BPC51" s="95"/>
      <c r="BPD51" s="95"/>
      <c r="BPE51" s="95"/>
      <c r="BPF51" s="95"/>
      <c r="BPG51" s="95"/>
      <c r="BPH51" s="95"/>
      <c r="BPI51" s="95"/>
      <c r="BPJ51" s="95"/>
      <c r="BPK51" s="95"/>
      <c r="BPL51" s="95"/>
      <c r="BPM51" s="95"/>
      <c r="BPN51" s="95"/>
      <c r="BPO51" s="95"/>
      <c r="BPP51" s="95"/>
      <c r="BPQ51" s="95"/>
      <c r="BPR51" s="95"/>
      <c r="BPS51" s="95"/>
      <c r="BPT51" s="95"/>
      <c r="BPU51" s="95"/>
      <c r="BPV51" s="95"/>
      <c r="BPW51" s="95"/>
      <c r="BPX51" s="95"/>
      <c r="BPY51" s="95"/>
      <c r="BPZ51" s="95"/>
      <c r="BQA51" s="95"/>
      <c r="BQB51" s="95"/>
      <c r="BQC51" s="95"/>
      <c r="BQD51" s="95"/>
      <c r="BQE51" s="95"/>
      <c r="BQF51" s="95"/>
      <c r="BQG51" s="95"/>
      <c r="BQH51" s="95"/>
      <c r="BQI51" s="95"/>
      <c r="BQJ51" s="95"/>
      <c r="BQK51" s="95"/>
      <c r="BQL51" s="95"/>
      <c r="BQM51" s="95"/>
      <c r="BQN51" s="95"/>
      <c r="BQO51" s="95"/>
      <c r="BQP51" s="95"/>
      <c r="BQQ51" s="95"/>
      <c r="BQR51" s="95"/>
      <c r="BQS51" s="95"/>
      <c r="BQT51" s="95"/>
      <c r="BQU51" s="95"/>
      <c r="BQV51" s="95"/>
      <c r="BQW51" s="95"/>
      <c r="BQX51" s="95"/>
      <c r="BQY51" s="95"/>
      <c r="BQZ51" s="95"/>
      <c r="BRA51" s="95"/>
      <c r="BRB51" s="95"/>
      <c r="BRC51" s="95"/>
      <c r="BRD51" s="95"/>
      <c r="BRE51" s="95"/>
      <c r="BRF51" s="95"/>
      <c r="BRG51" s="95"/>
      <c r="BRH51" s="95"/>
      <c r="BRI51" s="95"/>
      <c r="BRJ51" s="95"/>
      <c r="BRK51" s="95"/>
      <c r="BRL51" s="95"/>
      <c r="BRM51" s="95"/>
      <c r="BRN51" s="95"/>
      <c r="BRO51" s="95"/>
      <c r="BRP51" s="95"/>
      <c r="BRQ51" s="95"/>
      <c r="BRR51" s="95"/>
      <c r="BRS51" s="95"/>
      <c r="BRT51" s="95"/>
      <c r="BRU51" s="95"/>
      <c r="BRV51" s="95"/>
      <c r="BRW51" s="95"/>
      <c r="BRX51" s="95"/>
      <c r="BRY51" s="95"/>
      <c r="BRZ51" s="95"/>
      <c r="BSA51" s="95"/>
      <c r="BSB51" s="95"/>
      <c r="BSC51" s="95"/>
      <c r="BSD51" s="95"/>
      <c r="BSE51" s="95"/>
      <c r="BSF51" s="95"/>
      <c r="BSG51" s="95"/>
      <c r="BSH51" s="95"/>
      <c r="BSI51" s="95"/>
      <c r="BSJ51" s="95"/>
      <c r="BSK51" s="95"/>
      <c r="BSL51" s="95"/>
      <c r="BSM51" s="95"/>
      <c r="BSN51" s="95"/>
      <c r="BSO51" s="95"/>
      <c r="BSP51" s="95"/>
      <c r="BSQ51" s="95"/>
      <c r="BSR51" s="95"/>
      <c r="BSS51" s="95"/>
      <c r="BST51" s="95"/>
      <c r="BSU51" s="95"/>
      <c r="BSV51" s="95"/>
      <c r="BSW51" s="95"/>
      <c r="BSX51" s="95"/>
      <c r="BSY51" s="95"/>
      <c r="BSZ51" s="95"/>
      <c r="BTA51" s="95"/>
      <c r="BTB51" s="95"/>
      <c r="BTC51" s="95"/>
      <c r="BTD51" s="95"/>
      <c r="BTE51" s="95"/>
      <c r="BTF51" s="95"/>
      <c r="BTG51" s="95"/>
      <c r="BTH51" s="95"/>
      <c r="BTI51" s="95"/>
      <c r="BTJ51" s="95"/>
      <c r="BTK51" s="95"/>
      <c r="BTL51" s="95"/>
      <c r="BTM51" s="95"/>
      <c r="BTN51" s="95"/>
      <c r="BTO51" s="95"/>
      <c r="BTP51" s="95"/>
      <c r="BTQ51" s="95"/>
      <c r="BTR51" s="95"/>
      <c r="BTS51" s="95"/>
      <c r="BTT51" s="95"/>
      <c r="BTU51" s="95"/>
      <c r="BTV51" s="95"/>
      <c r="BTW51" s="95"/>
      <c r="BTX51" s="95"/>
      <c r="BTY51" s="95"/>
      <c r="BTZ51" s="95"/>
      <c r="BUA51" s="95"/>
      <c r="BUB51" s="95"/>
      <c r="BUC51" s="95"/>
      <c r="BUD51" s="95"/>
      <c r="BUE51" s="95"/>
      <c r="BUF51" s="95"/>
      <c r="BUG51" s="95"/>
      <c r="BUH51" s="95"/>
      <c r="BUI51" s="95"/>
      <c r="BUJ51" s="95"/>
      <c r="BUK51" s="95"/>
      <c r="BUL51" s="95"/>
      <c r="BUM51" s="95"/>
      <c r="BUN51" s="95"/>
      <c r="BUO51" s="95"/>
      <c r="BUP51" s="95"/>
      <c r="BUQ51" s="95"/>
      <c r="BUR51" s="95"/>
      <c r="BUS51" s="95"/>
      <c r="BUT51" s="95"/>
      <c r="BUU51" s="95"/>
      <c r="BUV51" s="95"/>
      <c r="BUW51" s="95"/>
      <c r="BUX51" s="95"/>
      <c r="BUY51" s="95"/>
      <c r="BUZ51" s="95"/>
      <c r="BVA51" s="95"/>
      <c r="BVB51" s="95"/>
      <c r="BVC51" s="95"/>
      <c r="BVD51" s="95"/>
      <c r="BVE51" s="95"/>
      <c r="BVF51" s="95"/>
      <c r="BVG51" s="95"/>
      <c r="BVH51" s="95"/>
      <c r="BVI51" s="95"/>
      <c r="BVJ51" s="95"/>
      <c r="BVK51" s="95"/>
      <c r="BVL51" s="95"/>
      <c r="BVM51" s="95"/>
      <c r="BVN51" s="95"/>
      <c r="BVO51" s="95"/>
      <c r="BVP51" s="95"/>
      <c r="BVQ51" s="95"/>
      <c r="BVR51" s="95"/>
      <c r="BVS51" s="95"/>
      <c r="BVT51" s="95"/>
      <c r="BVU51" s="95"/>
      <c r="BVV51" s="95"/>
      <c r="BVW51" s="95"/>
      <c r="BVX51" s="95"/>
      <c r="BVY51" s="95"/>
      <c r="BVZ51" s="95"/>
      <c r="BWA51" s="95"/>
      <c r="BWB51" s="95"/>
      <c r="BWC51" s="95"/>
      <c r="BWD51" s="95"/>
      <c r="BWE51" s="95"/>
      <c r="BWF51" s="95"/>
      <c r="BWG51" s="95"/>
      <c r="BWH51" s="95"/>
      <c r="BWI51" s="95"/>
      <c r="BWJ51" s="95"/>
      <c r="BWK51" s="95"/>
      <c r="BWL51" s="95"/>
      <c r="BWM51" s="95"/>
      <c r="BWN51" s="95"/>
      <c r="BWO51" s="95"/>
      <c r="BWP51" s="95"/>
      <c r="BWQ51" s="95"/>
      <c r="BWR51" s="95"/>
      <c r="BWS51" s="95"/>
      <c r="BWT51" s="95"/>
      <c r="BWU51" s="95"/>
      <c r="BWV51" s="95"/>
      <c r="BWW51" s="95"/>
      <c r="BWX51" s="95"/>
      <c r="BWY51" s="95"/>
      <c r="BWZ51" s="95"/>
      <c r="BXA51" s="95"/>
      <c r="BXB51" s="95"/>
      <c r="BXC51" s="95"/>
      <c r="BXD51" s="95"/>
      <c r="BXE51" s="95"/>
      <c r="BXF51" s="95"/>
      <c r="BXG51" s="95"/>
      <c r="BXH51" s="95"/>
      <c r="BXI51" s="95"/>
      <c r="BXJ51" s="95"/>
      <c r="BXK51" s="95"/>
      <c r="BXL51" s="95"/>
      <c r="BXM51" s="95"/>
      <c r="BXN51" s="95"/>
      <c r="BXO51" s="95"/>
      <c r="BXP51" s="95"/>
      <c r="BXQ51" s="95"/>
      <c r="BXR51" s="95"/>
      <c r="BXS51" s="95"/>
      <c r="BXT51" s="95"/>
      <c r="BXU51" s="95"/>
      <c r="BXV51" s="95"/>
      <c r="BXW51" s="95"/>
      <c r="BXX51" s="95"/>
      <c r="BXY51" s="95"/>
      <c r="BXZ51" s="95"/>
      <c r="BYA51" s="95"/>
      <c r="BYB51" s="95"/>
      <c r="BYC51" s="95"/>
      <c r="BYD51" s="95"/>
      <c r="BYE51" s="95"/>
      <c r="BYF51" s="95"/>
      <c r="BYG51" s="95"/>
    </row>
    <row r="52" spans="1:2009" s="121" customFormat="1" ht="24.95" customHeight="1" x14ac:dyDescent="0.25">
      <c r="A52" s="385"/>
      <c r="B52" s="388" t="s">
        <v>258</v>
      </c>
      <c r="C52" s="527">
        <f>750*2</f>
        <v>1500</v>
      </c>
      <c r="D52" s="527"/>
      <c r="E52" s="527"/>
      <c r="F52" s="527"/>
      <c r="G52" s="390">
        <f>SUM(C52:F52)</f>
        <v>1500</v>
      </c>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customHeight="1" x14ac:dyDescent="0.25">
      <c r="A53" s="386"/>
      <c r="B53" s="389" t="s">
        <v>259</v>
      </c>
      <c r="C53" s="528">
        <v>357.5</v>
      </c>
      <c r="D53" s="528"/>
      <c r="E53" s="528"/>
      <c r="F53" s="528"/>
      <c r="G53" s="391">
        <f>SUM(C53:F53)</f>
        <v>357.5</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customHeight="1" thickBot="1" x14ac:dyDescent="0.3">
      <c r="A54" s="708" t="s">
        <v>203</v>
      </c>
      <c r="B54" s="709"/>
      <c r="C54" s="387">
        <f t="shared" ref="C54" si="2">SUM(C51:C53)</f>
        <v>1857.5</v>
      </c>
      <c r="D54" s="387"/>
      <c r="E54" s="387"/>
      <c r="F54" s="387"/>
      <c r="G54" s="387">
        <f t="shared" ref="G54" si="3">SUM(G51:G53)</f>
        <v>1857.5</v>
      </c>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95" customFormat="1" ht="12.75" hidden="1" customHeight="1" thickBot="1" x14ac:dyDescent="0.3">
      <c r="A55" s="111"/>
      <c r="B55" s="111"/>
      <c r="C55" s="182"/>
      <c r="D55" s="182"/>
      <c r="E55" s="182"/>
      <c r="F55" s="182"/>
      <c r="G55" s="182"/>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row>
    <row r="56" spans="1:2009" s="121" customFormat="1" ht="24.95" hidden="1" customHeight="1" thickBot="1" x14ac:dyDescent="0.3">
      <c r="A56" s="536" t="s">
        <v>341</v>
      </c>
      <c r="B56" s="532"/>
      <c r="C56" s="533"/>
      <c r="D56" s="534"/>
      <c r="E56" s="534"/>
      <c r="F56" s="534"/>
      <c r="G56" s="535">
        <f>SUM(C56:F56)</f>
        <v>0</v>
      </c>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95" customFormat="1" ht="12.75" customHeight="1" thickBot="1" x14ac:dyDescent="0.3">
      <c r="A57" s="111"/>
      <c r="B57" s="111"/>
      <c r="C57" s="182"/>
      <c r="D57" s="182"/>
      <c r="E57" s="182"/>
      <c r="F57" s="182"/>
      <c r="G57" s="182"/>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row>
    <row r="58" spans="1:2009" s="121" customFormat="1" ht="24.95" customHeight="1" thickBot="1" x14ac:dyDescent="0.3">
      <c r="A58" s="596" t="s">
        <v>421</v>
      </c>
      <c r="B58" s="421"/>
      <c r="C58" s="422">
        <v>1660.49</v>
      </c>
      <c r="D58" s="423"/>
      <c r="E58" s="422"/>
      <c r="F58" s="423"/>
      <c r="G58" s="424">
        <f>SUM(C58:F58)</f>
        <v>1660.49</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121" customFormat="1" ht="13.5" hidden="1" customHeight="1" thickBot="1" x14ac:dyDescent="0.3">
      <c r="A59" s="111"/>
      <c r="B59" s="111"/>
      <c r="C59" s="502"/>
      <c r="D59" s="182"/>
      <c r="E59" s="182"/>
      <c r="F59" s="182"/>
      <c r="G59" s="502"/>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c r="IW59" s="95"/>
      <c r="IX59" s="95"/>
      <c r="IY59" s="95"/>
      <c r="IZ59" s="95"/>
      <c r="JA59" s="95"/>
      <c r="JB59" s="95"/>
      <c r="JC59" s="95"/>
      <c r="JD59" s="95"/>
      <c r="JE59" s="95"/>
      <c r="JF59" s="95"/>
      <c r="JG59" s="95"/>
      <c r="JH59" s="95"/>
      <c r="JI59" s="95"/>
      <c r="JJ59" s="95"/>
      <c r="JK59" s="95"/>
      <c r="JL59" s="95"/>
      <c r="JM59" s="95"/>
      <c r="JN59" s="95"/>
      <c r="JO59" s="95"/>
      <c r="JP59" s="95"/>
      <c r="JQ59" s="95"/>
      <c r="JR59" s="95"/>
      <c r="JS59" s="95"/>
      <c r="JT59" s="95"/>
      <c r="JU59" s="95"/>
      <c r="JV59" s="95"/>
      <c r="JW59" s="95"/>
      <c r="JX59" s="95"/>
      <c r="JY59" s="95"/>
      <c r="JZ59" s="95"/>
      <c r="KA59" s="95"/>
      <c r="KB59" s="95"/>
      <c r="KC59" s="95"/>
      <c r="KD59" s="95"/>
      <c r="KE59" s="95"/>
      <c r="KF59" s="95"/>
      <c r="KG59" s="95"/>
      <c r="KH59" s="95"/>
      <c r="KI59" s="95"/>
      <c r="KJ59" s="95"/>
      <c r="KK59" s="95"/>
      <c r="KL59" s="95"/>
      <c r="KM59" s="95"/>
      <c r="KN59" s="95"/>
      <c r="KO59" s="95"/>
      <c r="KP59" s="95"/>
      <c r="KQ59" s="95"/>
      <c r="KR59" s="95"/>
      <c r="KS59" s="95"/>
      <c r="KT59" s="95"/>
      <c r="KU59" s="95"/>
      <c r="KV59" s="95"/>
      <c r="KW59" s="95"/>
      <c r="KX59" s="95"/>
      <c r="KY59" s="95"/>
      <c r="KZ59" s="95"/>
      <c r="LA59" s="95"/>
      <c r="LB59" s="95"/>
      <c r="LC59" s="95"/>
      <c r="LD59" s="95"/>
      <c r="LE59" s="95"/>
      <c r="LF59" s="95"/>
      <c r="LG59" s="95"/>
      <c r="LH59" s="95"/>
      <c r="LI59" s="95"/>
      <c r="LJ59" s="95"/>
      <c r="LK59" s="95"/>
      <c r="LL59" s="95"/>
      <c r="LM59" s="95"/>
      <c r="LN59" s="95"/>
      <c r="LO59" s="95"/>
      <c r="LP59" s="95"/>
      <c r="LQ59" s="95"/>
      <c r="LR59" s="95"/>
      <c r="LS59" s="95"/>
      <c r="LT59" s="95"/>
      <c r="LU59" s="95"/>
      <c r="LV59" s="95"/>
      <c r="LW59" s="95"/>
      <c r="LX59" s="95"/>
      <c r="LY59" s="95"/>
      <c r="LZ59" s="95"/>
      <c r="MA59" s="95"/>
      <c r="MB59" s="95"/>
      <c r="MC59" s="95"/>
      <c r="MD59" s="95"/>
      <c r="ME59" s="95"/>
      <c r="MF59" s="95"/>
      <c r="MG59" s="95"/>
      <c r="MH59" s="95"/>
      <c r="MI59" s="95"/>
      <c r="MJ59" s="95"/>
      <c r="MK59" s="95"/>
      <c r="ML59" s="95"/>
      <c r="MM59" s="95"/>
      <c r="MN59" s="95"/>
      <c r="MO59" s="95"/>
      <c r="MP59" s="95"/>
      <c r="MQ59" s="95"/>
      <c r="MR59" s="95"/>
      <c r="MS59" s="95"/>
      <c r="MT59" s="95"/>
      <c r="MU59" s="95"/>
      <c r="MV59" s="95"/>
      <c r="MW59" s="95"/>
      <c r="MX59" s="95"/>
      <c r="MY59" s="95"/>
      <c r="MZ59" s="95"/>
      <c r="NA59" s="95"/>
      <c r="NB59" s="95"/>
      <c r="NC59" s="95"/>
      <c r="ND59" s="95"/>
      <c r="NE59" s="95"/>
      <c r="NF59" s="95"/>
      <c r="NG59" s="95"/>
      <c r="NH59" s="95"/>
      <c r="NI59" s="95"/>
      <c r="NJ59" s="95"/>
      <c r="NK59" s="95"/>
      <c r="NL59" s="95"/>
      <c r="NM59" s="95"/>
      <c r="NN59" s="95"/>
      <c r="NO59" s="95"/>
      <c r="NP59" s="95"/>
      <c r="NQ59" s="95"/>
      <c r="NR59" s="95"/>
      <c r="NS59" s="95"/>
      <c r="NT59" s="95"/>
      <c r="NU59" s="95"/>
      <c r="NV59" s="95"/>
      <c r="NW59" s="95"/>
      <c r="NX59" s="95"/>
      <c r="NY59" s="95"/>
      <c r="NZ59" s="95"/>
      <c r="OA59" s="95"/>
      <c r="OB59" s="95"/>
      <c r="OC59" s="95"/>
      <c r="OD59" s="95"/>
      <c r="OE59" s="95"/>
      <c r="OF59" s="95"/>
      <c r="OG59" s="95"/>
      <c r="OH59" s="95"/>
      <c r="OI59" s="95"/>
      <c r="OJ59" s="95"/>
      <c r="OK59" s="95"/>
      <c r="OL59" s="95"/>
      <c r="OM59" s="95"/>
      <c r="ON59" s="95"/>
      <c r="OO59" s="95"/>
      <c r="OP59" s="95"/>
      <c r="OQ59" s="95"/>
      <c r="OR59" s="95"/>
      <c r="OS59" s="95"/>
      <c r="OT59" s="95"/>
      <c r="OU59" s="95"/>
      <c r="OV59" s="95"/>
      <c r="OW59" s="95"/>
      <c r="OX59" s="95"/>
      <c r="OY59" s="95"/>
      <c r="OZ59" s="95"/>
      <c r="PA59" s="95"/>
      <c r="PB59" s="95"/>
      <c r="PC59" s="95"/>
      <c r="PD59" s="95"/>
      <c r="PE59" s="95"/>
      <c r="PF59" s="95"/>
      <c r="PG59" s="95"/>
      <c r="PH59" s="95"/>
      <c r="PI59" s="95"/>
      <c r="PJ59" s="95"/>
      <c r="PK59" s="95"/>
      <c r="PL59" s="95"/>
      <c r="PM59" s="95"/>
      <c r="PN59" s="95"/>
      <c r="PO59" s="95"/>
      <c r="PP59" s="95"/>
      <c r="PQ59" s="95"/>
      <c r="PR59" s="95"/>
      <c r="PS59" s="95"/>
      <c r="PT59" s="95"/>
      <c r="PU59" s="95"/>
      <c r="PV59" s="95"/>
      <c r="PW59" s="95"/>
      <c r="PX59" s="95"/>
      <c r="PY59" s="95"/>
      <c r="PZ59" s="95"/>
      <c r="QA59" s="95"/>
      <c r="QB59" s="95"/>
      <c r="QC59" s="95"/>
      <c r="QD59" s="95"/>
      <c r="QE59" s="95"/>
      <c r="QF59" s="95"/>
      <c r="QG59" s="95"/>
      <c r="QH59" s="95"/>
      <c r="QI59" s="95"/>
      <c r="QJ59" s="95"/>
      <c r="QK59" s="95"/>
      <c r="QL59" s="95"/>
      <c r="QM59" s="95"/>
      <c r="QN59" s="95"/>
      <c r="QO59" s="95"/>
      <c r="QP59" s="95"/>
      <c r="QQ59" s="95"/>
      <c r="QR59" s="95"/>
      <c r="QS59" s="95"/>
      <c r="QT59" s="95"/>
      <c r="QU59" s="95"/>
      <c r="QV59" s="95"/>
      <c r="QW59" s="95"/>
      <c r="QX59" s="95"/>
      <c r="QY59" s="95"/>
      <c r="QZ59" s="95"/>
      <c r="RA59" s="95"/>
      <c r="RB59" s="95"/>
      <c r="RC59" s="95"/>
      <c r="RD59" s="95"/>
      <c r="RE59" s="95"/>
      <c r="RF59" s="95"/>
      <c r="RG59" s="95"/>
      <c r="RH59" s="95"/>
      <c r="RI59" s="95"/>
      <c r="RJ59" s="95"/>
      <c r="RK59" s="95"/>
      <c r="RL59" s="95"/>
      <c r="RM59" s="95"/>
      <c r="RN59" s="95"/>
      <c r="RO59" s="95"/>
      <c r="RP59" s="95"/>
      <c r="RQ59" s="95"/>
      <c r="RR59" s="95"/>
      <c r="RS59" s="95"/>
      <c r="RT59" s="95"/>
      <c r="RU59" s="95"/>
      <c r="RV59" s="95"/>
      <c r="RW59" s="95"/>
      <c r="RX59" s="95"/>
      <c r="RY59" s="95"/>
      <c r="RZ59" s="95"/>
      <c r="SA59" s="95"/>
      <c r="SB59" s="95"/>
      <c r="SC59" s="95"/>
      <c r="SD59" s="95"/>
      <c r="SE59" s="95"/>
      <c r="SF59" s="95"/>
      <c r="SG59" s="95"/>
      <c r="SH59" s="95"/>
      <c r="SI59" s="95"/>
      <c r="SJ59" s="95"/>
      <c r="SK59" s="95"/>
      <c r="SL59" s="95"/>
      <c r="SM59" s="95"/>
      <c r="SN59" s="95"/>
      <c r="SO59" s="95"/>
      <c r="SP59" s="95"/>
      <c r="SQ59" s="95"/>
      <c r="SR59" s="95"/>
      <c r="SS59" s="95"/>
      <c r="ST59" s="95"/>
      <c r="SU59" s="95"/>
      <c r="SV59" s="95"/>
      <c r="SW59" s="95"/>
      <c r="SX59" s="95"/>
      <c r="SY59" s="95"/>
      <c r="SZ59" s="95"/>
      <c r="TA59" s="95"/>
      <c r="TB59" s="95"/>
      <c r="TC59" s="95"/>
      <c r="TD59" s="95"/>
      <c r="TE59" s="95"/>
      <c r="TF59" s="95"/>
      <c r="TG59" s="95"/>
      <c r="TH59" s="95"/>
      <c r="TI59" s="95"/>
      <c r="TJ59" s="95"/>
      <c r="TK59" s="95"/>
      <c r="TL59" s="95"/>
      <c r="TM59" s="95"/>
      <c r="TN59" s="95"/>
      <c r="TO59" s="95"/>
      <c r="TP59" s="95"/>
      <c r="TQ59" s="95"/>
      <c r="TR59" s="95"/>
      <c r="TS59" s="95"/>
      <c r="TT59" s="95"/>
      <c r="TU59" s="95"/>
      <c r="TV59" s="95"/>
      <c r="TW59" s="95"/>
      <c r="TX59" s="95"/>
      <c r="TY59" s="95"/>
      <c r="TZ59" s="95"/>
      <c r="UA59" s="95"/>
      <c r="UB59" s="95"/>
      <c r="UC59" s="95"/>
      <c r="UD59" s="95"/>
      <c r="UE59" s="95"/>
      <c r="UF59" s="95"/>
      <c r="UG59" s="95"/>
      <c r="UH59" s="95"/>
      <c r="UI59" s="95"/>
      <c r="UJ59" s="95"/>
      <c r="UK59" s="95"/>
      <c r="UL59" s="95"/>
      <c r="UM59" s="95"/>
      <c r="UN59" s="95"/>
      <c r="UO59" s="95"/>
      <c r="UP59" s="95"/>
      <c r="UQ59" s="95"/>
      <c r="UR59" s="95"/>
      <c r="US59" s="95"/>
      <c r="UT59" s="95"/>
      <c r="UU59" s="95"/>
      <c r="UV59" s="95"/>
      <c r="UW59" s="95"/>
      <c r="UX59" s="95"/>
      <c r="UY59" s="95"/>
      <c r="UZ59" s="95"/>
      <c r="VA59" s="95"/>
      <c r="VB59" s="95"/>
      <c r="VC59" s="95"/>
      <c r="VD59" s="95"/>
      <c r="VE59" s="95"/>
      <c r="VF59" s="95"/>
      <c r="VG59" s="95"/>
      <c r="VH59" s="95"/>
      <c r="VI59" s="95"/>
      <c r="VJ59" s="95"/>
      <c r="VK59" s="95"/>
      <c r="VL59" s="95"/>
      <c r="VM59" s="95"/>
      <c r="VN59" s="95"/>
      <c r="VO59" s="95"/>
      <c r="VP59" s="95"/>
      <c r="VQ59" s="95"/>
      <c r="VR59" s="95"/>
      <c r="VS59" s="95"/>
      <c r="VT59" s="95"/>
      <c r="VU59" s="95"/>
      <c r="VV59" s="95"/>
      <c r="VW59" s="95"/>
      <c r="VX59" s="95"/>
      <c r="VY59" s="95"/>
      <c r="VZ59" s="95"/>
      <c r="WA59" s="95"/>
      <c r="WB59" s="95"/>
      <c r="WC59" s="95"/>
      <c r="WD59" s="95"/>
      <c r="WE59" s="95"/>
      <c r="WF59" s="95"/>
      <c r="WG59" s="95"/>
      <c r="WH59" s="95"/>
      <c r="WI59" s="95"/>
      <c r="WJ59" s="95"/>
      <c r="WK59" s="95"/>
      <c r="WL59" s="95"/>
      <c r="WM59" s="95"/>
      <c r="WN59" s="95"/>
      <c r="WO59" s="95"/>
      <c r="WP59" s="95"/>
      <c r="WQ59" s="95"/>
      <c r="WR59" s="95"/>
      <c r="WS59" s="95"/>
      <c r="WT59" s="95"/>
      <c r="WU59" s="95"/>
      <c r="WV59" s="95"/>
      <c r="WW59" s="95"/>
      <c r="WX59" s="95"/>
      <c r="WY59" s="95"/>
      <c r="WZ59" s="95"/>
      <c r="XA59" s="95"/>
      <c r="XB59" s="95"/>
      <c r="XC59" s="95"/>
      <c r="XD59" s="95"/>
      <c r="XE59" s="95"/>
      <c r="XF59" s="95"/>
      <c r="XG59" s="95"/>
      <c r="XH59" s="95"/>
      <c r="XI59" s="95"/>
      <c r="XJ59" s="95"/>
      <c r="XK59" s="95"/>
      <c r="XL59" s="95"/>
      <c r="XM59" s="95"/>
      <c r="XN59" s="95"/>
      <c r="XO59" s="95"/>
      <c r="XP59" s="95"/>
      <c r="XQ59" s="95"/>
      <c r="XR59" s="95"/>
      <c r="XS59" s="95"/>
      <c r="XT59" s="95"/>
      <c r="XU59" s="95"/>
      <c r="XV59" s="95"/>
      <c r="XW59" s="95"/>
      <c r="XX59" s="95"/>
      <c r="XY59" s="95"/>
      <c r="XZ59" s="95"/>
      <c r="YA59" s="95"/>
      <c r="YB59" s="95"/>
      <c r="YC59" s="95"/>
      <c r="YD59" s="95"/>
      <c r="YE59" s="95"/>
      <c r="YF59" s="95"/>
      <c r="YG59" s="95"/>
      <c r="YH59" s="95"/>
      <c r="YI59" s="95"/>
      <c r="YJ59" s="95"/>
      <c r="YK59" s="95"/>
      <c r="YL59" s="95"/>
      <c r="YM59" s="95"/>
      <c r="YN59" s="95"/>
      <c r="YO59" s="95"/>
      <c r="YP59" s="95"/>
      <c r="YQ59" s="95"/>
      <c r="YR59" s="95"/>
      <c r="YS59" s="95"/>
      <c r="YT59" s="95"/>
      <c r="YU59" s="95"/>
      <c r="YV59" s="95"/>
      <c r="YW59" s="95"/>
      <c r="YX59" s="95"/>
      <c r="YY59" s="95"/>
      <c r="YZ59" s="95"/>
      <c r="ZA59" s="95"/>
      <c r="ZB59" s="95"/>
      <c r="ZC59" s="95"/>
      <c r="ZD59" s="95"/>
      <c r="ZE59" s="95"/>
      <c r="ZF59" s="95"/>
      <c r="ZG59" s="95"/>
      <c r="ZH59" s="95"/>
      <c r="ZI59" s="95"/>
      <c r="ZJ59" s="95"/>
      <c r="ZK59" s="95"/>
      <c r="ZL59" s="95"/>
      <c r="ZM59" s="95"/>
      <c r="ZN59" s="95"/>
      <c r="ZO59" s="95"/>
      <c r="ZP59" s="95"/>
      <c r="ZQ59" s="95"/>
      <c r="ZR59" s="95"/>
      <c r="ZS59" s="95"/>
      <c r="ZT59" s="95"/>
      <c r="ZU59" s="95"/>
      <c r="ZV59" s="95"/>
      <c r="ZW59" s="95"/>
      <c r="ZX59" s="95"/>
      <c r="ZY59" s="95"/>
      <c r="ZZ59" s="95"/>
      <c r="AAA59" s="95"/>
      <c r="AAB59" s="95"/>
      <c r="AAC59" s="95"/>
      <c r="AAD59" s="95"/>
      <c r="AAE59" s="95"/>
      <c r="AAF59" s="95"/>
      <c r="AAG59" s="95"/>
      <c r="AAH59" s="95"/>
      <c r="AAI59" s="95"/>
      <c r="AAJ59" s="95"/>
      <c r="AAK59" s="95"/>
      <c r="AAL59" s="95"/>
      <c r="AAM59" s="95"/>
      <c r="AAN59" s="95"/>
      <c r="AAO59" s="95"/>
      <c r="AAP59" s="95"/>
      <c r="AAQ59" s="95"/>
      <c r="AAR59" s="95"/>
      <c r="AAS59" s="95"/>
      <c r="AAT59" s="95"/>
      <c r="AAU59" s="95"/>
      <c r="AAV59" s="95"/>
      <c r="AAW59" s="95"/>
      <c r="AAX59" s="95"/>
      <c r="AAY59" s="95"/>
      <c r="AAZ59" s="95"/>
      <c r="ABA59" s="95"/>
      <c r="ABB59" s="95"/>
      <c r="ABC59" s="95"/>
      <c r="ABD59" s="95"/>
      <c r="ABE59" s="95"/>
      <c r="ABF59" s="95"/>
      <c r="ABG59" s="95"/>
      <c r="ABH59" s="95"/>
      <c r="ABI59" s="95"/>
      <c r="ABJ59" s="95"/>
      <c r="ABK59" s="95"/>
      <c r="ABL59" s="95"/>
      <c r="ABM59" s="95"/>
      <c r="ABN59" s="95"/>
      <c r="ABO59" s="95"/>
      <c r="ABP59" s="95"/>
      <c r="ABQ59" s="95"/>
      <c r="ABR59" s="95"/>
      <c r="ABS59" s="95"/>
      <c r="ABT59" s="95"/>
      <c r="ABU59" s="95"/>
      <c r="ABV59" s="95"/>
      <c r="ABW59" s="95"/>
      <c r="ABX59" s="95"/>
      <c r="ABY59" s="95"/>
      <c r="ABZ59" s="95"/>
      <c r="ACA59" s="95"/>
      <c r="ACB59" s="95"/>
      <c r="ACC59" s="95"/>
      <c r="ACD59" s="95"/>
      <c r="ACE59" s="95"/>
      <c r="ACF59" s="95"/>
      <c r="ACG59" s="95"/>
      <c r="ACH59" s="95"/>
      <c r="ACI59" s="95"/>
      <c r="ACJ59" s="95"/>
      <c r="ACK59" s="95"/>
      <c r="ACL59" s="95"/>
      <c r="ACM59" s="95"/>
      <c r="ACN59" s="95"/>
      <c r="ACO59" s="95"/>
      <c r="ACP59" s="95"/>
      <c r="ACQ59" s="95"/>
      <c r="ACR59" s="95"/>
      <c r="ACS59" s="95"/>
      <c r="ACT59" s="95"/>
      <c r="ACU59" s="95"/>
      <c r="ACV59" s="95"/>
      <c r="ACW59" s="95"/>
      <c r="ACX59" s="95"/>
      <c r="ACY59" s="95"/>
      <c r="ACZ59" s="95"/>
      <c r="ADA59" s="95"/>
      <c r="ADB59" s="95"/>
      <c r="ADC59" s="95"/>
      <c r="ADD59" s="95"/>
      <c r="ADE59" s="95"/>
      <c r="ADF59" s="95"/>
      <c r="ADG59" s="95"/>
      <c r="ADH59" s="95"/>
      <c r="ADI59" s="95"/>
      <c r="ADJ59" s="95"/>
      <c r="ADK59" s="95"/>
      <c r="ADL59" s="95"/>
      <c r="ADM59" s="95"/>
      <c r="ADN59" s="95"/>
      <c r="ADO59" s="95"/>
      <c r="ADP59" s="95"/>
      <c r="ADQ59" s="95"/>
      <c r="ADR59" s="95"/>
      <c r="ADS59" s="95"/>
      <c r="ADT59" s="95"/>
      <c r="ADU59" s="95"/>
      <c r="ADV59" s="95"/>
      <c r="ADW59" s="95"/>
      <c r="ADX59" s="95"/>
      <c r="ADY59" s="95"/>
      <c r="ADZ59" s="95"/>
      <c r="AEA59" s="95"/>
      <c r="AEB59" s="95"/>
      <c r="AEC59" s="95"/>
      <c r="AED59" s="95"/>
      <c r="AEE59" s="95"/>
      <c r="AEF59" s="95"/>
      <c r="AEG59" s="95"/>
      <c r="AEH59" s="95"/>
      <c r="AEI59" s="95"/>
      <c r="AEJ59" s="95"/>
      <c r="AEK59" s="95"/>
      <c r="AEL59" s="95"/>
      <c r="AEM59" s="95"/>
      <c r="AEN59" s="95"/>
      <c r="AEO59" s="95"/>
      <c r="AEP59" s="95"/>
      <c r="AEQ59" s="95"/>
      <c r="AER59" s="95"/>
      <c r="AES59" s="95"/>
      <c r="AET59" s="95"/>
      <c r="AEU59" s="95"/>
      <c r="AEV59" s="95"/>
      <c r="AEW59" s="95"/>
      <c r="AEX59" s="95"/>
      <c r="AEY59" s="95"/>
      <c r="AEZ59" s="95"/>
      <c r="AFA59" s="95"/>
      <c r="AFB59" s="95"/>
      <c r="AFC59" s="95"/>
      <c r="AFD59" s="95"/>
      <c r="AFE59" s="95"/>
      <c r="AFF59" s="95"/>
      <c r="AFG59" s="95"/>
      <c r="AFH59" s="95"/>
      <c r="AFI59" s="95"/>
      <c r="AFJ59" s="95"/>
      <c r="AFK59" s="95"/>
      <c r="AFL59" s="95"/>
      <c r="AFM59" s="95"/>
      <c r="AFN59" s="95"/>
      <c r="AFO59" s="95"/>
      <c r="AFP59" s="95"/>
      <c r="AFQ59" s="95"/>
      <c r="AFR59" s="95"/>
      <c r="AFS59" s="95"/>
      <c r="AFT59" s="95"/>
      <c r="AFU59" s="95"/>
      <c r="AFV59" s="95"/>
      <c r="AFW59" s="95"/>
      <c r="AFX59" s="95"/>
      <c r="AFY59" s="95"/>
      <c r="AFZ59" s="95"/>
      <c r="AGA59" s="95"/>
      <c r="AGB59" s="95"/>
      <c r="AGC59" s="95"/>
      <c r="AGD59" s="95"/>
      <c r="AGE59" s="95"/>
      <c r="AGF59" s="95"/>
      <c r="AGG59" s="95"/>
      <c r="AGH59" s="95"/>
      <c r="AGI59" s="95"/>
      <c r="AGJ59" s="95"/>
      <c r="AGK59" s="95"/>
      <c r="AGL59" s="95"/>
      <c r="AGM59" s="95"/>
      <c r="AGN59" s="95"/>
      <c r="AGO59" s="95"/>
      <c r="AGP59" s="95"/>
      <c r="AGQ59" s="95"/>
      <c r="AGR59" s="95"/>
      <c r="AGS59" s="95"/>
      <c r="AGT59" s="95"/>
      <c r="AGU59" s="95"/>
      <c r="AGV59" s="95"/>
      <c r="AGW59" s="95"/>
      <c r="AGX59" s="95"/>
      <c r="AGY59" s="95"/>
      <c r="AGZ59" s="95"/>
      <c r="AHA59" s="95"/>
      <c r="AHB59" s="95"/>
      <c r="AHC59" s="95"/>
      <c r="AHD59" s="95"/>
      <c r="AHE59" s="95"/>
      <c r="AHF59" s="95"/>
      <c r="AHG59" s="95"/>
      <c r="AHH59" s="95"/>
      <c r="AHI59" s="95"/>
      <c r="AHJ59" s="95"/>
      <c r="AHK59" s="95"/>
      <c r="AHL59" s="95"/>
      <c r="AHM59" s="95"/>
      <c r="AHN59" s="95"/>
      <c r="AHO59" s="95"/>
      <c r="AHP59" s="95"/>
      <c r="AHQ59" s="95"/>
      <c r="AHR59" s="95"/>
      <c r="AHS59" s="95"/>
      <c r="AHT59" s="95"/>
      <c r="AHU59" s="95"/>
      <c r="AHV59" s="95"/>
      <c r="AHW59" s="95"/>
      <c r="AHX59" s="95"/>
      <c r="AHY59" s="95"/>
      <c r="AHZ59" s="95"/>
      <c r="AIA59" s="95"/>
      <c r="AIB59" s="95"/>
      <c r="AIC59" s="95"/>
      <c r="AID59" s="95"/>
      <c r="AIE59" s="95"/>
      <c r="AIF59" s="95"/>
      <c r="AIG59" s="95"/>
      <c r="AIH59" s="95"/>
      <c r="AII59" s="95"/>
      <c r="AIJ59" s="95"/>
      <c r="AIK59" s="95"/>
      <c r="AIL59" s="95"/>
      <c r="AIM59" s="95"/>
      <c r="AIN59" s="95"/>
      <c r="AIO59" s="95"/>
      <c r="AIP59" s="95"/>
      <c r="AIQ59" s="95"/>
      <c r="AIR59" s="95"/>
      <c r="AIS59" s="95"/>
      <c r="AIT59" s="95"/>
      <c r="AIU59" s="95"/>
      <c r="AIV59" s="95"/>
      <c r="AIW59" s="95"/>
      <c r="AIX59" s="95"/>
      <c r="AIY59" s="95"/>
      <c r="AIZ59" s="95"/>
      <c r="AJA59" s="95"/>
      <c r="AJB59" s="95"/>
      <c r="AJC59" s="95"/>
      <c r="AJD59" s="95"/>
      <c r="AJE59" s="95"/>
      <c r="AJF59" s="95"/>
      <c r="AJG59" s="95"/>
      <c r="AJH59" s="95"/>
      <c r="AJI59" s="95"/>
      <c r="AJJ59" s="95"/>
      <c r="AJK59" s="95"/>
      <c r="AJL59" s="95"/>
      <c r="AJM59" s="95"/>
      <c r="AJN59" s="95"/>
      <c r="AJO59" s="95"/>
      <c r="AJP59" s="95"/>
      <c r="AJQ59" s="95"/>
      <c r="AJR59" s="95"/>
      <c r="AJS59" s="95"/>
      <c r="AJT59" s="95"/>
      <c r="AJU59" s="95"/>
      <c r="AJV59" s="95"/>
      <c r="AJW59" s="95"/>
      <c r="AJX59" s="95"/>
      <c r="AJY59" s="95"/>
      <c r="AJZ59" s="95"/>
      <c r="AKA59" s="95"/>
      <c r="AKB59" s="95"/>
      <c r="AKC59" s="95"/>
      <c r="AKD59" s="95"/>
      <c r="AKE59" s="95"/>
      <c r="AKF59" s="95"/>
      <c r="AKG59" s="95"/>
      <c r="AKH59" s="95"/>
      <c r="AKI59" s="95"/>
      <c r="AKJ59" s="95"/>
      <c r="AKK59" s="95"/>
      <c r="AKL59" s="95"/>
      <c r="AKM59" s="95"/>
      <c r="AKN59" s="95"/>
      <c r="AKO59" s="95"/>
      <c r="AKP59" s="95"/>
      <c r="AKQ59" s="95"/>
      <c r="AKR59" s="95"/>
      <c r="AKS59" s="95"/>
      <c r="AKT59" s="95"/>
      <c r="AKU59" s="95"/>
      <c r="AKV59" s="95"/>
      <c r="AKW59" s="95"/>
      <c r="AKX59" s="95"/>
      <c r="AKY59" s="95"/>
      <c r="AKZ59" s="95"/>
      <c r="ALA59" s="95"/>
      <c r="ALB59" s="95"/>
      <c r="ALC59" s="95"/>
      <c r="ALD59" s="95"/>
      <c r="ALE59" s="95"/>
      <c r="ALF59" s="95"/>
      <c r="ALG59" s="95"/>
      <c r="ALH59" s="95"/>
      <c r="ALI59" s="95"/>
      <c r="ALJ59" s="95"/>
      <c r="ALK59" s="95"/>
      <c r="ALL59" s="95"/>
      <c r="ALM59" s="95"/>
      <c r="ALN59" s="95"/>
      <c r="ALO59" s="95"/>
      <c r="ALP59" s="95"/>
      <c r="ALQ59" s="95"/>
      <c r="ALR59" s="95"/>
      <c r="ALS59" s="95"/>
      <c r="ALT59" s="95"/>
      <c r="ALU59" s="95"/>
      <c r="ALV59" s="95"/>
      <c r="ALW59" s="95"/>
      <c r="ALX59" s="95"/>
      <c r="ALY59" s="95"/>
      <c r="ALZ59" s="95"/>
      <c r="AMA59" s="95"/>
      <c r="AMB59" s="95"/>
      <c r="AMC59" s="95"/>
      <c r="AMD59" s="95"/>
      <c r="AME59" s="95"/>
      <c r="AMF59" s="95"/>
      <c r="AMG59" s="95"/>
      <c r="AMH59" s="95"/>
      <c r="AMI59" s="95"/>
      <c r="AMJ59" s="95"/>
      <c r="AMK59" s="95"/>
      <c r="AML59" s="95"/>
      <c r="AMM59" s="95"/>
      <c r="AMN59" s="95"/>
      <c r="AMO59" s="95"/>
      <c r="AMP59" s="95"/>
      <c r="AMQ59" s="95"/>
      <c r="AMR59" s="95"/>
      <c r="AMS59" s="95"/>
      <c r="AMT59" s="95"/>
      <c r="AMU59" s="95"/>
      <c r="AMV59" s="95"/>
      <c r="AMW59" s="95"/>
      <c r="AMX59" s="95"/>
      <c r="AMY59" s="95"/>
      <c r="AMZ59" s="95"/>
      <c r="ANA59" s="95"/>
      <c r="ANB59" s="95"/>
      <c r="ANC59" s="95"/>
      <c r="AND59" s="95"/>
      <c r="ANE59" s="95"/>
      <c r="ANF59" s="95"/>
      <c r="ANG59" s="95"/>
      <c r="ANH59" s="95"/>
      <c r="ANI59" s="95"/>
      <c r="ANJ59" s="95"/>
      <c r="ANK59" s="95"/>
      <c r="ANL59" s="95"/>
      <c r="ANM59" s="95"/>
      <c r="ANN59" s="95"/>
      <c r="ANO59" s="95"/>
      <c r="ANP59" s="95"/>
      <c r="ANQ59" s="95"/>
      <c r="ANR59" s="95"/>
      <c r="ANS59" s="95"/>
      <c r="ANT59" s="95"/>
      <c r="ANU59" s="95"/>
      <c r="ANV59" s="95"/>
      <c r="ANW59" s="95"/>
      <c r="ANX59" s="95"/>
      <c r="ANY59" s="95"/>
      <c r="ANZ59" s="95"/>
      <c r="AOA59" s="95"/>
      <c r="AOB59" s="95"/>
      <c r="AOC59" s="95"/>
      <c r="AOD59" s="95"/>
      <c r="AOE59" s="95"/>
      <c r="AOF59" s="95"/>
      <c r="AOG59" s="95"/>
      <c r="AOH59" s="95"/>
      <c r="AOI59" s="95"/>
      <c r="AOJ59" s="95"/>
      <c r="AOK59" s="95"/>
      <c r="AOL59" s="95"/>
      <c r="AOM59" s="95"/>
      <c r="AON59" s="95"/>
      <c r="AOO59" s="95"/>
      <c r="AOP59" s="95"/>
      <c r="AOQ59" s="95"/>
      <c r="AOR59" s="95"/>
      <c r="AOS59" s="95"/>
      <c r="AOT59" s="95"/>
      <c r="AOU59" s="95"/>
      <c r="AOV59" s="95"/>
      <c r="AOW59" s="95"/>
      <c r="AOX59" s="95"/>
      <c r="AOY59" s="95"/>
      <c r="AOZ59" s="95"/>
      <c r="APA59" s="95"/>
      <c r="APB59" s="95"/>
      <c r="APC59" s="95"/>
      <c r="APD59" s="95"/>
      <c r="APE59" s="95"/>
      <c r="APF59" s="95"/>
      <c r="APG59" s="95"/>
      <c r="APH59" s="95"/>
      <c r="API59" s="95"/>
      <c r="APJ59" s="95"/>
      <c r="APK59" s="95"/>
      <c r="APL59" s="95"/>
      <c r="APM59" s="95"/>
      <c r="APN59" s="95"/>
      <c r="APO59" s="95"/>
      <c r="APP59" s="95"/>
      <c r="APQ59" s="95"/>
      <c r="APR59" s="95"/>
      <c r="APS59" s="95"/>
      <c r="APT59" s="95"/>
      <c r="APU59" s="95"/>
      <c r="APV59" s="95"/>
      <c r="APW59" s="95"/>
      <c r="APX59" s="95"/>
      <c r="APY59" s="95"/>
      <c r="APZ59" s="95"/>
      <c r="AQA59" s="95"/>
      <c r="AQB59" s="95"/>
      <c r="AQC59" s="95"/>
      <c r="AQD59" s="95"/>
      <c r="AQE59" s="95"/>
      <c r="AQF59" s="95"/>
      <c r="AQG59" s="95"/>
      <c r="AQH59" s="95"/>
      <c r="AQI59" s="95"/>
      <c r="AQJ59" s="95"/>
      <c r="AQK59" s="95"/>
      <c r="AQL59" s="95"/>
      <c r="AQM59" s="95"/>
      <c r="AQN59" s="95"/>
      <c r="AQO59" s="95"/>
      <c r="AQP59" s="95"/>
      <c r="AQQ59" s="95"/>
      <c r="AQR59" s="95"/>
      <c r="AQS59" s="95"/>
      <c r="AQT59" s="95"/>
      <c r="AQU59" s="95"/>
      <c r="AQV59" s="95"/>
      <c r="AQW59" s="95"/>
      <c r="AQX59" s="95"/>
      <c r="AQY59" s="95"/>
      <c r="AQZ59" s="95"/>
      <c r="ARA59" s="95"/>
      <c r="ARB59" s="95"/>
      <c r="ARC59" s="95"/>
      <c r="ARD59" s="95"/>
      <c r="ARE59" s="95"/>
      <c r="ARF59" s="95"/>
      <c r="ARG59" s="95"/>
      <c r="ARH59" s="95"/>
      <c r="ARI59" s="95"/>
      <c r="ARJ59" s="95"/>
      <c r="ARK59" s="95"/>
      <c r="ARL59" s="95"/>
      <c r="ARM59" s="95"/>
      <c r="ARN59" s="95"/>
      <c r="ARO59" s="95"/>
      <c r="ARP59" s="95"/>
      <c r="ARQ59" s="95"/>
      <c r="ARR59" s="95"/>
      <c r="ARS59" s="95"/>
      <c r="ART59" s="95"/>
      <c r="ARU59" s="95"/>
      <c r="ARV59" s="95"/>
      <c r="ARW59" s="95"/>
      <c r="ARX59" s="95"/>
      <c r="ARY59" s="95"/>
      <c r="ARZ59" s="95"/>
      <c r="ASA59" s="95"/>
      <c r="ASB59" s="95"/>
      <c r="ASC59" s="95"/>
      <c r="ASD59" s="95"/>
      <c r="ASE59" s="95"/>
      <c r="ASF59" s="95"/>
      <c r="ASG59" s="95"/>
      <c r="ASH59" s="95"/>
      <c r="ASI59" s="95"/>
      <c r="ASJ59" s="95"/>
      <c r="ASK59" s="95"/>
      <c r="ASL59" s="95"/>
      <c r="ASM59" s="95"/>
      <c r="ASN59" s="95"/>
      <c r="ASO59" s="95"/>
      <c r="ASP59" s="95"/>
      <c r="ASQ59" s="95"/>
      <c r="ASR59" s="95"/>
      <c r="ASS59" s="95"/>
      <c r="AST59" s="95"/>
      <c r="ASU59" s="95"/>
      <c r="ASV59" s="95"/>
      <c r="ASW59" s="95"/>
      <c r="ASX59" s="95"/>
      <c r="ASY59" s="95"/>
      <c r="ASZ59" s="95"/>
      <c r="ATA59" s="95"/>
      <c r="ATB59" s="95"/>
      <c r="ATC59" s="95"/>
      <c r="ATD59" s="95"/>
      <c r="ATE59" s="95"/>
      <c r="ATF59" s="95"/>
      <c r="ATG59" s="95"/>
      <c r="ATH59" s="95"/>
      <c r="ATI59" s="95"/>
      <c r="ATJ59" s="95"/>
      <c r="ATK59" s="95"/>
      <c r="ATL59" s="95"/>
      <c r="ATM59" s="95"/>
      <c r="ATN59" s="95"/>
      <c r="ATO59" s="95"/>
      <c r="ATP59" s="95"/>
      <c r="ATQ59" s="95"/>
      <c r="ATR59" s="95"/>
      <c r="ATS59" s="95"/>
      <c r="ATT59" s="95"/>
      <c r="ATU59" s="95"/>
      <c r="ATV59" s="95"/>
      <c r="ATW59" s="95"/>
      <c r="ATX59" s="95"/>
      <c r="ATY59" s="95"/>
      <c r="ATZ59" s="95"/>
      <c r="AUA59" s="95"/>
      <c r="AUB59" s="95"/>
      <c r="AUC59" s="95"/>
      <c r="AUD59" s="95"/>
      <c r="AUE59" s="95"/>
      <c r="AUF59" s="95"/>
      <c r="AUG59" s="95"/>
      <c r="AUH59" s="95"/>
      <c r="AUI59" s="95"/>
      <c r="AUJ59" s="95"/>
      <c r="AUK59" s="95"/>
      <c r="AUL59" s="95"/>
      <c r="AUM59" s="95"/>
      <c r="AUN59" s="95"/>
      <c r="AUO59" s="95"/>
      <c r="AUP59" s="95"/>
      <c r="AUQ59" s="95"/>
      <c r="AUR59" s="95"/>
      <c r="AUS59" s="95"/>
      <c r="AUT59" s="95"/>
      <c r="AUU59" s="95"/>
      <c r="AUV59" s="95"/>
      <c r="AUW59" s="95"/>
      <c r="AUX59" s="95"/>
      <c r="AUY59" s="95"/>
      <c r="AUZ59" s="95"/>
      <c r="AVA59" s="95"/>
      <c r="AVB59" s="95"/>
      <c r="AVC59" s="95"/>
      <c r="AVD59" s="95"/>
      <c r="AVE59" s="95"/>
      <c r="AVF59" s="95"/>
      <c r="AVG59" s="95"/>
      <c r="AVH59" s="95"/>
      <c r="AVI59" s="95"/>
      <c r="AVJ59" s="95"/>
      <c r="AVK59" s="95"/>
      <c r="AVL59" s="95"/>
      <c r="AVM59" s="95"/>
      <c r="AVN59" s="95"/>
      <c r="AVO59" s="95"/>
      <c r="AVP59" s="95"/>
      <c r="AVQ59" s="95"/>
      <c r="AVR59" s="95"/>
      <c r="AVS59" s="95"/>
      <c r="AVT59" s="95"/>
      <c r="AVU59" s="95"/>
      <c r="AVV59" s="95"/>
      <c r="AVW59" s="95"/>
      <c r="AVX59" s="95"/>
      <c r="AVY59" s="95"/>
      <c r="AVZ59" s="95"/>
      <c r="AWA59" s="95"/>
      <c r="AWB59" s="95"/>
      <c r="AWC59" s="95"/>
      <c r="AWD59" s="95"/>
      <c r="AWE59" s="95"/>
      <c r="AWF59" s="95"/>
      <c r="AWG59" s="95"/>
      <c r="AWH59" s="95"/>
      <c r="AWI59" s="95"/>
      <c r="AWJ59" s="95"/>
      <c r="AWK59" s="95"/>
      <c r="AWL59" s="95"/>
      <c r="AWM59" s="95"/>
      <c r="AWN59" s="95"/>
      <c r="AWO59" s="95"/>
      <c r="AWP59" s="95"/>
      <c r="AWQ59" s="95"/>
      <c r="AWR59" s="95"/>
      <c r="AWS59" s="95"/>
      <c r="AWT59" s="95"/>
      <c r="AWU59" s="95"/>
      <c r="AWV59" s="95"/>
      <c r="AWW59" s="95"/>
      <c r="AWX59" s="95"/>
      <c r="AWY59" s="95"/>
      <c r="AWZ59" s="95"/>
      <c r="AXA59" s="95"/>
      <c r="AXB59" s="95"/>
      <c r="AXC59" s="95"/>
      <c r="AXD59" s="95"/>
      <c r="AXE59" s="95"/>
      <c r="AXF59" s="95"/>
      <c r="AXG59" s="95"/>
      <c r="AXH59" s="95"/>
      <c r="AXI59" s="95"/>
      <c r="AXJ59" s="95"/>
      <c r="AXK59" s="95"/>
      <c r="AXL59" s="95"/>
      <c r="AXM59" s="95"/>
      <c r="AXN59" s="95"/>
      <c r="AXO59" s="95"/>
      <c r="AXP59" s="95"/>
      <c r="AXQ59" s="95"/>
      <c r="AXR59" s="95"/>
      <c r="AXS59" s="95"/>
      <c r="AXT59" s="95"/>
      <c r="AXU59" s="95"/>
      <c r="AXV59" s="95"/>
      <c r="AXW59" s="95"/>
      <c r="AXX59" s="95"/>
      <c r="AXY59" s="95"/>
      <c r="AXZ59" s="95"/>
      <c r="AYA59" s="95"/>
      <c r="AYB59" s="95"/>
      <c r="AYC59" s="95"/>
      <c r="AYD59" s="95"/>
      <c r="AYE59" s="95"/>
      <c r="AYF59" s="95"/>
      <c r="AYG59" s="95"/>
      <c r="AYH59" s="95"/>
      <c r="AYI59" s="95"/>
      <c r="AYJ59" s="95"/>
      <c r="AYK59" s="95"/>
      <c r="AYL59" s="95"/>
      <c r="AYM59" s="95"/>
      <c r="AYN59" s="95"/>
      <c r="AYO59" s="95"/>
      <c r="AYP59" s="95"/>
      <c r="AYQ59" s="95"/>
      <c r="AYR59" s="95"/>
      <c r="AYS59" s="95"/>
      <c r="AYT59" s="95"/>
      <c r="AYU59" s="95"/>
      <c r="AYV59" s="95"/>
      <c r="AYW59" s="95"/>
      <c r="AYX59" s="95"/>
      <c r="AYY59" s="95"/>
      <c r="AYZ59" s="95"/>
      <c r="AZA59" s="95"/>
      <c r="AZB59" s="95"/>
      <c r="AZC59" s="95"/>
      <c r="AZD59" s="95"/>
      <c r="AZE59" s="95"/>
      <c r="AZF59" s="95"/>
      <c r="AZG59" s="95"/>
      <c r="AZH59" s="95"/>
      <c r="AZI59" s="95"/>
      <c r="AZJ59" s="95"/>
      <c r="AZK59" s="95"/>
      <c r="AZL59" s="95"/>
      <c r="AZM59" s="95"/>
      <c r="AZN59" s="95"/>
      <c r="AZO59" s="95"/>
      <c r="AZP59" s="95"/>
      <c r="AZQ59" s="95"/>
      <c r="AZR59" s="95"/>
      <c r="AZS59" s="95"/>
      <c r="AZT59" s="95"/>
      <c r="AZU59" s="95"/>
      <c r="AZV59" s="95"/>
      <c r="AZW59" s="95"/>
      <c r="AZX59" s="95"/>
      <c r="AZY59" s="95"/>
      <c r="AZZ59" s="95"/>
      <c r="BAA59" s="95"/>
      <c r="BAB59" s="95"/>
      <c r="BAC59" s="95"/>
      <c r="BAD59" s="95"/>
      <c r="BAE59" s="95"/>
      <c r="BAF59" s="95"/>
      <c r="BAG59" s="95"/>
      <c r="BAH59" s="95"/>
      <c r="BAI59" s="95"/>
      <c r="BAJ59" s="95"/>
      <c r="BAK59" s="95"/>
      <c r="BAL59" s="95"/>
      <c r="BAM59" s="95"/>
      <c r="BAN59" s="95"/>
      <c r="BAO59" s="95"/>
      <c r="BAP59" s="95"/>
      <c r="BAQ59" s="95"/>
      <c r="BAR59" s="95"/>
      <c r="BAS59" s="95"/>
      <c r="BAT59" s="95"/>
      <c r="BAU59" s="95"/>
      <c r="BAV59" s="95"/>
      <c r="BAW59" s="95"/>
      <c r="BAX59" s="95"/>
      <c r="BAY59" s="95"/>
      <c r="BAZ59" s="95"/>
      <c r="BBA59" s="95"/>
      <c r="BBB59" s="95"/>
      <c r="BBC59" s="95"/>
      <c r="BBD59" s="95"/>
      <c r="BBE59" s="95"/>
      <c r="BBF59" s="95"/>
      <c r="BBG59" s="95"/>
      <c r="BBH59" s="95"/>
      <c r="BBI59" s="95"/>
      <c r="BBJ59" s="95"/>
      <c r="BBK59" s="95"/>
      <c r="BBL59" s="95"/>
      <c r="BBM59" s="95"/>
      <c r="BBN59" s="95"/>
      <c r="BBO59" s="95"/>
      <c r="BBP59" s="95"/>
      <c r="BBQ59" s="95"/>
      <c r="BBR59" s="95"/>
      <c r="BBS59" s="95"/>
      <c r="BBT59" s="95"/>
      <c r="BBU59" s="95"/>
      <c r="BBV59" s="95"/>
      <c r="BBW59" s="95"/>
      <c r="BBX59" s="95"/>
      <c r="BBY59" s="95"/>
      <c r="BBZ59" s="95"/>
      <c r="BCA59" s="95"/>
      <c r="BCB59" s="95"/>
      <c r="BCC59" s="95"/>
      <c r="BCD59" s="95"/>
      <c r="BCE59" s="95"/>
      <c r="BCF59" s="95"/>
      <c r="BCG59" s="95"/>
      <c r="BCH59" s="95"/>
      <c r="BCI59" s="95"/>
      <c r="BCJ59" s="95"/>
      <c r="BCK59" s="95"/>
      <c r="BCL59" s="95"/>
      <c r="BCM59" s="95"/>
      <c r="BCN59" s="95"/>
      <c r="BCO59" s="95"/>
      <c r="BCP59" s="95"/>
      <c r="BCQ59" s="95"/>
      <c r="BCR59" s="95"/>
      <c r="BCS59" s="95"/>
      <c r="BCT59" s="95"/>
      <c r="BCU59" s="95"/>
      <c r="BCV59" s="95"/>
      <c r="BCW59" s="95"/>
      <c r="BCX59" s="95"/>
      <c r="BCY59" s="95"/>
      <c r="BCZ59" s="95"/>
      <c r="BDA59" s="95"/>
      <c r="BDB59" s="95"/>
      <c r="BDC59" s="95"/>
      <c r="BDD59" s="95"/>
      <c r="BDE59" s="95"/>
      <c r="BDF59" s="95"/>
      <c r="BDG59" s="95"/>
      <c r="BDH59" s="95"/>
      <c r="BDI59" s="95"/>
      <c r="BDJ59" s="95"/>
      <c r="BDK59" s="95"/>
      <c r="BDL59" s="95"/>
      <c r="BDM59" s="95"/>
      <c r="BDN59" s="95"/>
      <c r="BDO59" s="95"/>
      <c r="BDP59" s="95"/>
      <c r="BDQ59" s="95"/>
      <c r="BDR59" s="95"/>
      <c r="BDS59" s="95"/>
      <c r="BDT59" s="95"/>
      <c r="BDU59" s="95"/>
      <c r="BDV59" s="95"/>
      <c r="BDW59" s="95"/>
      <c r="BDX59" s="95"/>
      <c r="BDY59" s="95"/>
      <c r="BDZ59" s="95"/>
      <c r="BEA59" s="95"/>
      <c r="BEB59" s="95"/>
      <c r="BEC59" s="95"/>
      <c r="BED59" s="95"/>
      <c r="BEE59" s="95"/>
      <c r="BEF59" s="95"/>
      <c r="BEG59" s="95"/>
      <c r="BEH59" s="95"/>
      <c r="BEI59" s="95"/>
      <c r="BEJ59" s="95"/>
      <c r="BEK59" s="95"/>
      <c r="BEL59" s="95"/>
      <c r="BEM59" s="95"/>
      <c r="BEN59" s="95"/>
      <c r="BEO59" s="95"/>
      <c r="BEP59" s="95"/>
      <c r="BEQ59" s="95"/>
      <c r="BER59" s="95"/>
      <c r="BES59" s="95"/>
      <c r="BET59" s="95"/>
      <c r="BEU59" s="95"/>
      <c r="BEV59" s="95"/>
      <c r="BEW59" s="95"/>
      <c r="BEX59" s="95"/>
      <c r="BEY59" s="95"/>
      <c r="BEZ59" s="95"/>
      <c r="BFA59" s="95"/>
      <c r="BFB59" s="95"/>
      <c r="BFC59" s="95"/>
      <c r="BFD59" s="95"/>
      <c r="BFE59" s="95"/>
      <c r="BFF59" s="95"/>
      <c r="BFG59" s="95"/>
      <c r="BFH59" s="95"/>
      <c r="BFI59" s="95"/>
      <c r="BFJ59" s="95"/>
      <c r="BFK59" s="95"/>
      <c r="BFL59" s="95"/>
      <c r="BFM59" s="95"/>
      <c r="BFN59" s="95"/>
      <c r="BFO59" s="95"/>
      <c r="BFP59" s="95"/>
      <c r="BFQ59" s="95"/>
      <c r="BFR59" s="95"/>
      <c r="BFS59" s="95"/>
      <c r="BFT59" s="95"/>
      <c r="BFU59" s="95"/>
      <c r="BFV59" s="95"/>
      <c r="BFW59" s="95"/>
      <c r="BFX59" s="95"/>
      <c r="BFY59" s="95"/>
      <c r="BFZ59" s="95"/>
      <c r="BGA59" s="95"/>
      <c r="BGB59" s="95"/>
      <c r="BGC59" s="95"/>
      <c r="BGD59" s="95"/>
      <c r="BGE59" s="95"/>
      <c r="BGF59" s="95"/>
      <c r="BGG59" s="95"/>
      <c r="BGH59" s="95"/>
      <c r="BGI59" s="95"/>
      <c r="BGJ59" s="95"/>
      <c r="BGK59" s="95"/>
      <c r="BGL59" s="95"/>
      <c r="BGM59" s="95"/>
      <c r="BGN59" s="95"/>
      <c r="BGO59" s="95"/>
      <c r="BGP59" s="95"/>
      <c r="BGQ59" s="95"/>
      <c r="BGR59" s="95"/>
      <c r="BGS59" s="95"/>
      <c r="BGT59" s="95"/>
      <c r="BGU59" s="95"/>
      <c r="BGV59" s="95"/>
      <c r="BGW59" s="95"/>
      <c r="BGX59" s="95"/>
      <c r="BGY59" s="95"/>
      <c r="BGZ59" s="95"/>
      <c r="BHA59" s="95"/>
      <c r="BHB59" s="95"/>
      <c r="BHC59" s="95"/>
      <c r="BHD59" s="95"/>
      <c r="BHE59" s="95"/>
      <c r="BHF59" s="95"/>
      <c r="BHG59" s="95"/>
      <c r="BHH59" s="95"/>
      <c r="BHI59" s="95"/>
      <c r="BHJ59" s="95"/>
      <c r="BHK59" s="95"/>
      <c r="BHL59" s="95"/>
      <c r="BHM59" s="95"/>
      <c r="BHN59" s="95"/>
      <c r="BHO59" s="95"/>
      <c r="BHP59" s="95"/>
      <c r="BHQ59" s="95"/>
      <c r="BHR59" s="95"/>
      <c r="BHS59" s="95"/>
      <c r="BHT59" s="95"/>
      <c r="BHU59" s="95"/>
      <c r="BHV59" s="95"/>
      <c r="BHW59" s="95"/>
      <c r="BHX59" s="95"/>
      <c r="BHY59" s="95"/>
      <c r="BHZ59" s="95"/>
      <c r="BIA59" s="95"/>
      <c r="BIB59" s="95"/>
      <c r="BIC59" s="95"/>
      <c r="BID59" s="95"/>
      <c r="BIE59" s="95"/>
      <c r="BIF59" s="95"/>
      <c r="BIG59" s="95"/>
      <c r="BIH59" s="95"/>
      <c r="BII59" s="95"/>
      <c r="BIJ59" s="95"/>
      <c r="BIK59" s="95"/>
      <c r="BIL59" s="95"/>
      <c r="BIM59" s="95"/>
      <c r="BIN59" s="95"/>
      <c r="BIO59" s="95"/>
      <c r="BIP59" s="95"/>
      <c r="BIQ59" s="95"/>
      <c r="BIR59" s="95"/>
      <c r="BIS59" s="95"/>
      <c r="BIT59" s="95"/>
      <c r="BIU59" s="95"/>
      <c r="BIV59" s="95"/>
      <c r="BIW59" s="95"/>
      <c r="BIX59" s="95"/>
      <c r="BIY59" s="95"/>
      <c r="BIZ59" s="95"/>
      <c r="BJA59" s="95"/>
      <c r="BJB59" s="95"/>
      <c r="BJC59" s="95"/>
      <c r="BJD59" s="95"/>
      <c r="BJE59" s="95"/>
      <c r="BJF59" s="95"/>
      <c r="BJG59" s="95"/>
      <c r="BJH59" s="95"/>
      <c r="BJI59" s="95"/>
      <c r="BJJ59" s="95"/>
      <c r="BJK59" s="95"/>
      <c r="BJL59" s="95"/>
      <c r="BJM59" s="95"/>
      <c r="BJN59" s="95"/>
      <c r="BJO59" s="95"/>
      <c r="BJP59" s="95"/>
      <c r="BJQ59" s="95"/>
      <c r="BJR59" s="95"/>
      <c r="BJS59" s="95"/>
      <c r="BJT59" s="95"/>
      <c r="BJU59" s="95"/>
      <c r="BJV59" s="95"/>
      <c r="BJW59" s="95"/>
      <c r="BJX59" s="95"/>
      <c r="BJY59" s="95"/>
      <c r="BJZ59" s="95"/>
      <c r="BKA59" s="95"/>
      <c r="BKB59" s="95"/>
      <c r="BKC59" s="95"/>
      <c r="BKD59" s="95"/>
      <c r="BKE59" s="95"/>
      <c r="BKF59" s="95"/>
      <c r="BKG59" s="95"/>
      <c r="BKH59" s="95"/>
      <c r="BKI59" s="95"/>
      <c r="BKJ59" s="95"/>
      <c r="BKK59" s="95"/>
      <c r="BKL59" s="95"/>
      <c r="BKM59" s="95"/>
      <c r="BKN59" s="95"/>
      <c r="BKO59" s="95"/>
      <c r="BKP59" s="95"/>
      <c r="BKQ59" s="95"/>
      <c r="BKR59" s="95"/>
      <c r="BKS59" s="95"/>
      <c r="BKT59" s="95"/>
      <c r="BKU59" s="95"/>
      <c r="BKV59" s="95"/>
      <c r="BKW59" s="95"/>
      <c r="BKX59" s="95"/>
      <c r="BKY59" s="95"/>
      <c r="BKZ59" s="95"/>
      <c r="BLA59" s="95"/>
      <c r="BLB59" s="95"/>
      <c r="BLC59" s="95"/>
      <c r="BLD59" s="95"/>
      <c r="BLE59" s="95"/>
      <c r="BLF59" s="95"/>
      <c r="BLG59" s="95"/>
      <c r="BLH59" s="95"/>
      <c r="BLI59" s="95"/>
      <c r="BLJ59" s="95"/>
      <c r="BLK59" s="95"/>
      <c r="BLL59" s="95"/>
      <c r="BLM59" s="95"/>
      <c r="BLN59" s="95"/>
      <c r="BLO59" s="95"/>
      <c r="BLP59" s="95"/>
      <c r="BLQ59" s="95"/>
      <c r="BLR59" s="95"/>
      <c r="BLS59" s="95"/>
      <c r="BLT59" s="95"/>
      <c r="BLU59" s="95"/>
      <c r="BLV59" s="95"/>
      <c r="BLW59" s="95"/>
      <c r="BLX59" s="95"/>
      <c r="BLY59" s="95"/>
      <c r="BLZ59" s="95"/>
      <c r="BMA59" s="95"/>
      <c r="BMB59" s="95"/>
      <c r="BMC59" s="95"/>
      <c r="BMD59" s="95"/>
      <c r="BME59" s="95"/>
      <c r="BMF59" s="95"/>
      <c r="BMG59" s="95"/>
      <c r="BMH59" s="95"/>
      <c r="BMI59" s="95"/>
      <c r="BMJ59" s="95"/>
      <c r="BMK59" s="95"/>
      <c r="BML59" s="95"/>
      <c r="BMM59" s="95"/>
      <c r="BMN59" s="95"/>
      <c r="BMO59" s="95"/>
      <c r="BMP59" s="95"/>
      <c r="BMQ59" s="95"/>
      <c r="BMR59" s="95"/>
      <c r="BMS59" s="95"/>
      <c r="BMT59" s="95"/>
      <c r="BMU59" s="95"/>
      <c r="BMV59" s="95"/>
      <c r="BMW59" s="95"/>
      <c r="BMX59" s="95"/>
      <c r="BMY59" s="95"/>
      <c r="BMZ59" s="95"/>
      <c r="BNA59" s="95"/>
      <c r="BNB59" s="95"/>
      <c r="BNC59" s="95"/>
      <c r="BND59" s="95"/>
      <c r="BNE59" s="95"/>
      <c r="BNF59" s="95"/>
      <c r="BNG59" s="95"/>
      <c r="BNH59" s="95"/>
      <c r="BNI59" s="95"/>
      <c r="BNJ59" s="95"/>
      <c r="BNK59" s="95"/>
      <c r="BNL59" s="95"/>
      <c r="BNM59" s="95"/>
      <c r="BNN59" s="95"/>
      <c r="BNO59" s="95"/>
      <c r="BNP59" s="95"/>
      <c r="BNQ59" s="95"/>
      <c r="BNR59" s="95"/>
      <c r="BNS59" s="95"/>
      <c r="BNT59" s="95"/>
      <c r="BNU59" s="95"/>
      <c r="BNV59" s="95"/>
      <c r="BNW59" s="95"/>
      <c r="BNX59" s="95"/>
      <c r="BNY59" s="95"/>
      <c r="BNZ59" s="95"/>
      <c r="BOA59" s="95"/>
      <c r="BOB59" s="95"/>
      <c r="BOC59" s="95"/>
      <c r="BOD59" s="95"/>
      <c r="BOE59" s="95"/>
      <c r="BOF59" s="95"/>
      <c r="BOG59" s="95"/>
      <c r="BOH59" s="95"/>
      <c r="BOI59" s="95"/>
      <c r="BOJ59" s="95"/>
      <c r="BOK59" s="95"/>
      <c r="BOL59" s="95"/>
      <c r="BOM59" s="95"/>
      <c r="BON59" s="95"/>
      <c r="BOO59" s="95"/>
      <c r="BOP59" s="95"/>
      <c r="BOQ59" s="95"/>
      <c r="BOR59" s="95"/>
      <c r="BOS59" s="95"/>
      <c r="BOT59" s="95"/>
      <c r="BOU59" s="95"/>
      <c r="BOV59" s="95"/>
      <c r="BOW59" s="95"/>
      <c r="BOX59" s="95"/>
      <c r="BOY59" s="95"/>
      <c r="BOZ59" s="95"/>
      <c r="BPA59" s="95"/>
      <c r="BPB59" s="95"/>
      <c r="BPC59" s="95"/>
      <c r="BPD59" s="95"/>
      <c r="BPE59" s="95"/>
      <c r="BPF59" s="95"/>
      <c r="BPG59" s="95"/>
      <c r="BPH59" s="95"/>
      <c r="BPI59" s="95"/>
      <c r="BPJ59" s="95"/>
      <c r="BPK59" s="95"/>
      <c r="BPL59" s="95"/>
      <c r="BPM59" s="95"/>
      <c r="BPN59" s="95"/>
      <c r="BPO59" s="95"/>
      <c r="BPP59" s="95"/>
      <c r="BPQ59" s="95"/>
      <c r="BPR59" s="95"/>
      <c r="BPS59" s="95"/>
      <c r="BPT59" s="95"/>
      <c r="BPU59" s="95"/>
      <c r="BPV59" s="95"/>
      <c r="BPW59" s="95"/>
      <c r="BPX59" s="95"/>
      <c r="BPY59" s="95"/>
      <c r="BPZ59" s="95"/>
      <c r="BQA59" s="95"/>
      <c r="BQB59" s="95"/>
      <c r="BQC59" s="95"/>
      <c r="BQD59" s="95"/>
      <c r="BQE59" s="95"/>
      <c r="BQF59" s="95"/>
      <c r="BQG59" s="95"/>
      <c r="BQH59" s="95"/>
      <c r="BQI59" s="95"/>
      <c r="BQJ59" s="95"/>
      <c r="BQK59" s="95"/>
      <c r="BQL59" s="95"/>
      <c r="BQM59" s="95"/>
      <c r="BQN59" s="95"/>
      <c r="BQO59" s="95"/>
      <c r="BQP59" s="95"/>
      <c r="BQQ59" s="95"/>
      <c r="BQR59" s="95"/>
      <c r="BQS59" s="95"/>
      <c r="BQT59" s="95"/>
      <c r="BQU59" s="95"/>
      <c r="BQV59" s="95"/>
      <c r="BQW59" s="95"/>
      <c r="BQX59" s="95"/>
      <c r="BQY59" s="95"/>
      <c r="BQZ59" s="95"/>
      <c r="BRA59" s="95"/>
      <c r="BRB59" s="95"/>
      <c r="BRC59" s="95"/>
      <c r="BRD59" s="95"/>
      <c r="BRE59" s="95"/>
      <c r="BRF59" s="95"/>
      <c r="BRG59" s="95"/>
      <c r="BRH59" s="95"/>
      <c r="BRI59" s="95"/>
      <c r="BRJ59" s="95"/>
      <c r="BRK59" s="95"/>
      <c r="BRL59" s="95"/>
      <c r="BRM59" s="95"/>
      <c r="BRN59" s="95"/>
      <c r="BRO59" s="95"/>
      <c r="BRP59" s="95"/>
      <c r="BRQ59" s="95"/>
      <c r="BRR59" s="95"/>
      <c r="BRS59" s="95"/>
      <c r="BRT59" s="95"/>
      <c r="BRU59" s="95"/>
      <c r="BRV59" s="95"/>
      <c r="BRW59" s="95"/>
      <c r="BRX59" s="95"/>
      <c r="BRY59" s="95"/>
      <c r="BRZ59" s="95"/>
      <c r="BSA59" s="95"/>
      <c r="BSB59" s="95"/>
      <c r="BSC59" s="95"/>
      <c r="BSD59" s="95"/>
      <c r="BSE59" s="95"/>
      <c r="BSF59" s="95"/>
      <c r="BSG59" s="95"/>
      <c r="BSH59" s="95"/>
      <c r="BSI59" s="95"/>
      <c r="BSJ59" s="95"/>
      <c r="BSK59" s="95"/>
      <c r="BSL59" s="95"/>
      <c r="BSM59" s="95"/>
      <c r="BSN59" s="95"/>
      <c r="BSO59" s="95"/>
      <c r="BSP59" s="95"/>
      <c r="BSQ59" s="95"/>
      <c r="BSR59" s="95"/>
      <c r="BSS59" s="95"/>
      <c r="BST59" s="95"/>
      <c r="BSU59" s="95"/>
      <c r="BSV59" s="95"/>
      <c r="BSW59" s="95"/>
      <c r="BSX59" s="95"/>
      <c r="BSY59" s="95"/>
      <c r="BSZ59" s="95"/>
      <c r="BTA59" s="95"/>
      <c r="BTB59" s="95"/>
      <c r="BTC59" s="95"/>
      <c r="BTD59" s="95"/>
      <c r="BTE59" s="95"/>
      <c r="BTF59" s="95"/>
      <c r="BTG59" s="95"/>
      <c r="BTH59" s="95"/>
      <c r="BTI59" s="95"/>
      <c r="BTJ59" s="95"/>
      <c r="BTK59" s="95"/>
      <c r="BTL59" s="95"/>
      <c r="BTM59" s="95"/>
      <c r="BTN59" s="95"/>
      <c r="BTO59" s="95"/>
      <c r="BTP59" s="95"/>
      <c r="BTQ59" s="95"/>
      <c r="BTR59" s="95"/>
      <c r="BTS59" s="95"/>
      <c r="BTT59" s="95"/>
      <c r="BTU59" s="95"/>
      <c r="BTV59" s="95"/>
      <c r="BTW59" s="95"/>
      <c r="BTX59" s="95"/>
      <c r="BTY59" s="95"/>
      <c r="BTZ59" s="95"/>
      <c r="BUA59" s="95"/>
      <c r="BUB59" s="95"/>
      <c r="BUC59" s="95"/>
      <c r="BUD59" s="95"/>
      <c r="BUE59" s="95"/>
      <c r="BUF59" s="95"/>
      <c r="BUG59" s="95"/>
      <c r="BUH59" s="95"/>
      <c r="BUI59" s="95"/>
      <c r="BUJ59" s="95"/>
      <c r="BUK59" s="95"/>
      <c r="BUL59" s="95"/>
      <c r="BUM59" s="95"/>
      <c r="BUN59" s="95"/>
      <c r="BUO59" s="95"/>
      <c r="BUP59" s="95"/>
      <c r="BUQ59" s="95"/>
      <c r="BUR59" s="95"/>
      <c r="BUS59" s="95"/>
      <c r="BUT59" s="95"/>
      <c r="BUU59" s="95"/>
      <c r="BUV59" s="95"/>
      <c r="BUW59" s="95"/>
      <c r="BUX59" s="95"/>
      <c r="BUY59" s="95"/>
      <c r="BUZ59" s="95"/>
      <c r="BVA59" s="95"/>
      <c r="BVB59" s="95"/>
      <c r="BVC59" s="95"/>
      <c r="BVD59" s="95"/>
      <c r="BVE59" s="95"/>
      <c r="BVF59" s="95"/>
      <c r="BVG59" s="95"/>
      <c r="BVH59" s="95"/>
      <c r="BVI59" s="95"/>
      <c r="BVJ59" s="95"/>
      <c r="BVK59" s="95"/>
      <c r="BVL59" s="95"/>
      <c r="BVM59" s="95"/>
      <c r="BVN59" s="95"/>
      <c r="BVO59" s="95"/>
      <c r="BVP59" s="95"/>
      <c r="BVQ59" s="95"/>
      <c r="BVR59" s="95"/>
      <c r="BVS59" s="95"/>
      <c r="BVT59" s="95"/>
      <c r="BVU59" s="95"/>
      <c r="BVV59" s="95"/>
      <c r="BVW59" s="95"/>
      <c r="BVX59" s="95"/>
      <c r="BVY59" s="95"/>
      <c r="BVZ59" s="95"/>
      <c r="BWA59" s="95"/>
      <c r="BWB59" s="95"/>
      <c r="BWC59" s="95"/>
      <c r="BWD59" s="95"/>
      <c r="BWE59" s="95"/>
      <c r="BWF59" s="95"/>
      <c r="BWG59" s="95"/>
      <c r="BWH59" s="95"/>
      <c r="BWI59" s="95"/>
      <c r="BWJ59" s="95"/>
      <c r="BWK59" s="95"/>
      <c r="BWL59" s="95"/>
      <c r="BWM59" s="95"/>
      <c r="BWN59" s="95"/>
      <c r="BWO59" s="95"/>
      <c r="BWP59" s="95"/>
      <c r="BWQ59" s="95"/>
      <c r="BWR59" s="95"/>
      <c r="BWS59" s="95"/>
      <c r="BWT59" s="95"/>
      <c r="BWU59" s="95"/>
      <c r="BWV59" s="95"/>
      <c r="BWW59" s="95"/>
      <c r="BWX59" s="95"/>
      <c r="BWY59" s="95"/>
      <c r="BWZ59" s="95"/>
      <c r="BXA59" s="95"/>
      <c r="BXB59" s="95"/>
      <c r="BXC59" s="95"/>
      <c r="BXD59" s="95"/>
      <c r="BXE59" s="95"/>
      <c r="BXF59" s="95"/>
      <c r="BXG59" s="95"/>
      <c r="BXH59" s="95"/>
      <c r="BXI59" s="95"/>
      <c r="BXJ59" s="95"/>
      <c r="BXK59" s="95"/>
      <c r="BXL59" s="95"/>
      <c r="BXM59" s="95"/>
      <c r="BXN59" s="95"/>
      <c r="BXO59" s="95"/>
      <c r="BXP59" s="95"/>
      <c r="BXQ59" s="95"/>
      <c r="BXR59" s="95"/>
      <c r="BXS59" s="95"/>
      <c r="BXT59" s="95"/>
      <c r="BXU59" s="95"/>
      <c r="BXV59" s="95"/>
      <c r="BXW59" s="95"/>
      <c r="BXX59" s="95"/>
      <c r="BXY59" s="95"/>
      <c r="BXZ59" s="95"/>
      <c r="BYA59" s="95"/>
      <c r="BYB59" s="95"/>
      <c r="BYC59" s="95"/>
      <c r="BYD59" s="95"/>
      <c r="BYE59" s="95"/>
      <c r="BYF59" s="95"/>
      <c r="BYG59" s="95"/>
    </row>
    <row r="60" spans="1:2009" s="121" customFormat="1" ht="24.95" hidden="1" customHeight="1" thickBot="1" x14ac:dyDescent="0.3">
      <c r="A60" s="531" t="s">
        <v>236</v>
      </c>
      <c r="B60" s="530"/>
      <c r="C60" s="503"/>
      <c r="D60" s="504"/>
      <c r="E60" s="504"/>
      <c r="F60" s="504"/>
      <c r="G60" s="505">
        <f>SUM(C60:F60)</f>
        <v>0</v>
      </c>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96" customFormat="1" ht="12.75" customHeight="1" thickBot="1" x14ac:dyDescent="0.3">
      <c r="A61" s="120"/>
      <c r="B61" s="120"/>
      <c r="C61" s="175"/>
      <c r="D61" s="175"/>
      <c r="E61" s="175"/>
      <c r="F61" s="175"/>
      <c r="G61" s="175"/>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248" customFormat="1" ht="24.95" customHeight="1" thickBot="1" x14ac:dyDescent="0.3">
      <c r="A62" s="247"/>
      <c r="B62" s="529" t="s">
        <v>407</v>
      </c>
      <c r="C62" s="305">
        <f>SUM(C8+C14+C23+C27+C32+C42+C54)+C36+C49+C58+C60+C56</f>
        <v>115071.18999999999</v>
      </c>
      <c r="D62" s="305">
        <f>SUM(D8+D14+D23+D27+D32+D42+D54)+D36+D49+D58+D56</f>
        <v>54745.63</v>
      </c>
      <c r="E62" s="305">
        <f>SUM(E8+E14+E23+E27+E32+E42+E54)+E36+E49+E58</f>
        <v>31066.89</v>
      </c>
      <c r="F62" s="305">
        <f>SUM(F8+F14+F23+F27+F32+F42+F54)+F36+F49+F58</f>
        <v>0</v>
      </c>
      <c r="G62" s="305">
        <f>SUM(G8+G14+G23+G27+G32+G42+G54)+G36+G49+G58+G60+G56</f>
        <v>200883.71</v>
      </c>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c r="EO62" s="212"/>
      <c r="EP62" s="212"/>
      <c r="EQ62" s="212"/>
      <c r="ER62" s="212"/>
      <c r="ES62" s="212"/>
      <c r="ET62" s="212"/>
      <c r="EU62" s="212"/>
      <c r="EV62" s="212"/>
      <c r="EW62" s="212"/>
      <c r="EX62" s="212"/>
      <c r="EY62" s="212"/>
      <c r="EZ62" s="212"/>
      <c r="FA62" s="212"/>
      <c r="FB62" s="212"/>
      <c r="FC62" s="212"/>
      <c r="FD62" s="212"/>
      <c r="FE62" s="212"/>
      <c r="FF62" s="212"/>
      <c r="FG62" s="212"/>
      <c r="FH62" s="212"/>
      <c r="FI62" s="212"/>
      <c r="FJ62" s="212"/>
      <c r="FK62" s="212"/>
      <c r="FL62" s="212"/>
      <c r="FM62" s="212"/>
      <c r="FN62" s="212"/>
      <c r="FO62" s="212"/>
      <c r="FP62" s="212"/>
      <c r="FQ62" s="212"/>
      <c r="FR62" s="212"/>
      <c r="FS62" s="212"/>
      <c r="FT62" s="212"/>
      <c r="FU62" s="212"/>
      <c r="FV62" s="212"/>
      <c r="FW62" s="212"/>
      <c r="FX62" s="212"/>
      <c r="FY62" s="212"/>
      <c r="FZ62" s="212"/>
      <c r="GA62" s="212"/>
      <c r="GB62" s="212"/>
      <c r="GC62" s="212"/>
      <c r="GD62" s="212"/>
      <c r="GE62" s="212"/>
      <c r="GF62" s="212"/>
      <c r="GG62" s="212"/>
      <c r="GH62" s="212"/>
      <c r="GI62" s="212"/>
      <c r="GJ62" s="212"/>
      <c r="GK62" s="212"/>
      <c r="GL62" s="212"/>
      <c r="GM62" s="212"/>
      <c r="GN62" s="212"/>
      <c r="GO62" s="212"/>
      <c r="GP62" s="212"/>
      <c r="GQ62" s="212"/>
      <c r="GR62" s="212"/>
      <c r="GS62" s="212"/>
      <c r="GT62" s="212"/>
      <c r="GU62" s="212"/>
      <c r="GV62" s="212"/>
      <c r="GW62" s="212"/>
      <c r="GX62" s="212"/>
      <c r="GY62" s="212"/>
      <c r="GZ62" s="212"/>
      <c r="HA62" s="212"/>
      <c r="HB62" s="212"/>
      <c r="HC62" s="212"/>
      <c r="HD62" s="212"/>
      <c r="HE62" s="212"/>
      <c r="HF62" s="212"/>
      <c r="HG62" s="212"/>
      <c r="HH62" s="212"/>
      <c r="HI62" s="212"/>
      <c r="HJ62" s="212"/>
      <c r="HK62" s="212"/>
      <c r="HL62" s="212"/>
      <c r="HM62" s="212"/>
      <c r="HN62" s="212"/>
      <c r="HO62" s="212"/>
      <c r="HP62" s="212"/>
      <c r="HQ62" s="212"/>
      <c r="HR62" s="212"/>
      <c r="HS62" s="212"/>
      <c r="HT62" s="212"/>
      <c r="HU62" s="212"/>
      <c r="HV62" s="212"/>
      <c r="HW62" s="212"/>
      <c r="HX62" s="212"/>
      <c r="HY62" s="212"/>
      <c r="HZ62" s="212"/>
      <c r="IA62" s="212"/>
      <c r="IB62" s="212"/>
      <c r="IC62" s="212"/>
      <c r="ID62" s="212"/>
      <c r="IE62" s="212"/>
      <c r="IF62" s="212"/>
      <c r="IG62" s="212"/>
      <c r="IH62" s="212"/>
      <c r="II62" s="212"/>
      <c r="IJ62" s="212"/>
      <c r="IK62" s="212"/>
      <c r="IL62" s="212"/>
      <c r="IM62" s="212"/>
      <c r="IN62" s="212"/>
      <c r="IO62" s="212"/>
      <c r="IP62" s="212"/>
      <c r="IQ62" s="212"/>
      <c r="IR62" s="212"/>
      <c r="IS62" s="212"/>
      <c r="IT62" s="212"/>
      <c r="IU62" s="212"/>
      <c r="IV62" s="212"/>
      <c r="IW62" s="212"/>
      <c r="IX62" s="212"/>
      <c r="IY62" s="212"/>
      <c r="IZ62" s="212"/>
      <c r="JA62" s="212"/>
      <c r="JB62" s="212"/>
      <c r="JC62" s="212"/>
      <c r="JD62" s="212"/>
      <c r="JE62" s="212"/>
      <c r="JF62" s="212"/>
      <c r="JG62" s="212"/>
      <c r="JH62" s="212"/>
      <c r="JI62" s="212"/>
      <c r="JJ62" s="212"/>
      <c r="JK62" s="212"/>
      <c r="JL62" s="212"/>
      <c r="JM62" s="212"/>
      <c r="JN62" s="212"/>
      <c r="JO62" s="212"/>
      <c r="JP62" s="212"/>
      <c r="JQ62" s="212"/>
      <c r="JR62" s="212"/>
      <c r="JS62" s="212"/>
      <c r="JT62" s="212"/>
      <c r="JU62" s="212"/>
      <c r="JV62" s="212"/>
      <c r="JW62" s="212"/>
      <c r="JX62" s="212"/>
      <c r="JY62" s="212"/>
      <c r="JZ62" s="212"/>
      <c r="KA62" s="212"/>
      <c r="KB62" s="212"/>
      <c r="KC62" s="212"/>
      <c r="KD62" s="212"/>
      <c r="KE62" s="212"/>
      <c r="KF62" s="212"/>
      <c r="KG62" s="212"/>
      <c r="KH62" s="212"/>
      <c r="KI62" s="212"/>
      <c r="KJ62" s="212"/>
      <c r="KK62" s="212"/>
      <c r="KL62" s="212"/>
      <c r="KM62" s="212"/>
      <c r="KN62" s="212"/>
      <c r="KO62" s="212"/>
      <c r="KP62" s="212"/>
      <c r="KQ62" s="212"/>
      <c r="KR62" s="212"/>
      <c r="KS62" s="212"/>
      <c r="KT62" s="212"/>
      <c r="KU62" s="212"/>
      <c r="KV62" s="212"/>
      <c r="KW62" s="212"/>
      <c r="KX62" s="212"/>
      <c r="KY62" s="212"/>
      <c r="KZ62" s="212"/>
      <c r="LA62" s="212"/>
      <c r="LB62" s="212"/>
      <c r="LC62" s="212"/>
      <c r="LD62" s="212"/>
      <c r="LE62" s="212"/>
      <c r="LF62" s="212"/>
      <c r="LG62" s="212"/>
      <c r="LH62" s="212"/>
      <c r="LI62" s="212"/>
      <c r="LJ62" s="212"/>
      <c r="LK62" s="212"/>
      <c r="LL62" s="212"/>
      <c r="LM62" s="212"/>
      <c r="LN62" s="212"/>
      <c r="LO62" s="212"/>
      <c r="LP62" s="212"/>
      <c r="LQ62" s="212"/>
      <c r="LR62" s="212"/>
      <c r="LS62" s="212"/>
      <c r="LT62" s="212"/>
      <c r="LU62" s="212"/>
      <c r="LV62" s="212"/>
      <c r="LW62" s="212"/>
      <c r="LX62" s="212"/>
      <c r="LY62" s="212"/>
      <c r="LZ62" s="212"/>
      <c r="MA62" s="212"/>
      <c r="MB62" s="212"/>
      <c r="MC62" s="212"/>
      <c r="MD62" s="212"/>
      <c r="ME62" s="212"/>
      <c r="MF62" s="212"/>
      <c r="MG62" s="212"/>
      <c r="MH62" s="212"/>
      <c r="MI62" s="212"/>
      <c r="MJ62" s="212"/>
      <c r="MK62" s="212"/>
      <c r="ML62" s="212"/>
      <c r="MM62" s="212"/>
      <c r="MN62" s="212"/>
      <c r="MO62" s="212"/>
      <c r="MP62" s="212"/>
      <c r="MQ62" s="212"/>
      <c r="MR62" s="212"/>
      <c r="MS62" s="212"/>
      <c r="MT62" s="212"/>
      <c r="MU62" s="212"/>
      <c r="MV62" s="212"/>
      <c r="MW62" s="212"/>
      <c r="MX62" s="212"/>
      <c r="MY62" s="212"/>
      <c r="MZ62" s="212"/>
      <c r="NA62" s="212"/>
      <c r="NB62" s="212"/>
      <c r="NC62" s="212"/>
      <c r="ND62" s="212"/>
      <c r="NE62" s="212"/>
      <c r="NF62" s="212"/>
      <c r="NG62" s="212"/>
      <c r="NH62" s="212"/>
      <c r="NI62" s="212"/>
      <c r="NJ62" s="212"/>
      <c r="NK62" s="212"/>
      <c r="NL62" s="212"/>
      <c r="NM62" s="212"/>
      <c r="NN62" s="212"/>
      <c r="NO62" s="212"/>
      <c r="NP62" s="212"/>
      <c r="NQ62" s="212"/>
      <c r="NR62" s="212"/>
      <c r="NS62" s="212"/>
      <c r="NT62" s="212"/>
      <c r="NU62" s="212"/>
      <c r="NV62" s="212"/>
      <c r="NW62" s="212"/>
      <c r="NX62" s="212"/>
      <c r="NY62" s="212"/>
      <c r="NZ62" s="212"/>
      <c r="OA62" s="212"/>
      <c r="OB62" s="212"/>
      <c r="OC62" s="212"/>
      <c r="OD62" s="212"/>
      <c r="OE62" s="212"/>
      <c r="OF62" s="212"/>
      <c r="OG62" s="212"/>
      <c r="OH62" s="212"/>
      <c r="OI62" s="212"/>
      <c r="OJ62" s="212"/>
      <c r="OK62" s="212"/>
      <c r="OL62" s="212"/>
      <c r="OM62" s="212"/>
      <c r="ON62" s="212"/>
      <c r="OO62" s="212"/>
      <c r="OP62" s="212"/>
      <c r="OQ62" s="212"/>
      <c r="OR62" s="212"/>
      <c r="OS62" s="212"/>
      <c r="OT62" s="212"/>
      <c r="OU62" s="212"/>
      <c r="OV62" s="212"/>
      <c r="OW62" s="212"/>
      <c r="OX62" s="212"/>
      <c r="OY62" s="212"/>
      <c r="OZ62" s="212"/>
      <c r="PA62" s="212"/>
      <c r="PB62" s="212"/>
      <c r="PC62" s="212"/>
      <c r="PD62" s="212"/>
      <c r="PE62" s="212"/>
      <c r="PF62" s="212"/>
      <c r="PG62" s="212"/>
      <c r="PH62" s="212"/>
      <c r="PI62" s="212"/>
      <c r="PJ62" s="212"/>
      <c r="PK62" s="212"/>
      <c r="PL62" s="212"/>
      <c r="PM62" s="212"/>
      <c r="PN62" s="212"/>
      <c r="PO62" s="212"/>
      <c r="PP62" s="212"/>
      <c r="PQ62" s="212"/>
      <c r="PR62" s="212"/>
      <c r="PS62" s="212"/>
      <c r="PT62" s="212"/>
      <c r="PU62" s="212"/>
      <c r="PV62" s="212"/>
      <c r="PW62" s="212"/>
      <c r="PX62" s="212"/>
      <c r="PY62" s="212"/>
      <c r="PZ62" s="212"/>
      <c r="QA62" s="212"/>
      <c r="QB62" s="212"/>
      <c r="QC62" s="212"/>
      <c r="QD62" s="212"/>
      <c r="QE62" s="212"/>
      <c r="QF62" s="212"/>
      <c r="QG62" s="212"/>
      <c r="QH62" s="212"/>
      <c r="QI62" s="212"/>
      <c r="QJ62" s="212"/>
      <c r="QK62" s="212"/>
      <c r="QL62" s="212"/>
      <c r="QM62" s="212"/>
      <c r="QN62" s="212"/>
      <c r="QO62" s="212"/>
      <c r="QP62" s="212"/>
      <c r="QQ62" s="212"/>
      <c r="QR62" s="212"/>
      <c r="QS62" s="212"/>
      <c r="QT62" s="212"/>
      <c r="QU62" s="212"/>
      <c r="QV62" s="212"/>
      <c r="QW62" s="212"/>
      <c r="QX62" s="212"/>
      <c r="QY62" s="212"/>
      <c r="QZ62" s="212"/>
      <c r="RA62" s="212"/>
      <c r="RB62" s="212"/>
      <c r="RC62" s="212"/>
      <c r="RD62" s="212"/>
      <c r="RE62" s="212"/>
      <c r="RF62" s="212"/>
      <c r="RG62" s="212"/>
      <c r="RH62" s="212"/>
      <c r="RI62" s="212"/>
      <c r="RJ62" s="212"/>
      <c r="RK62" s="212"/>
      <c r="RL62" s="212"/>
      <c r="RM62" s="212"/>
      <c r="RN62" s="212"/>
      <c r="RO62" s="212"/>
      <c r="RP62" s="212"/>
      <c r="RQ62" s="212"/>
      <c r="RR62" s="212"/>
      <c r="RS62" s="212"/>
      <c r="RT62" s="212"/>
      <c r="RU62" s="212"/>
      <c r="RV62" s="212"/>
      <c r="RW62" s="212"/>
      <c r="RX62" s="212"/>
      <c r="RY62" s="212"/>
      <c r="RZ62" s="212"/>
      <c r="SA62" s="212"/>
      <c r="SB62" s="212"/>
      <c r="SC62" s="212"/>
      <c r="SD62" s="212"/>
      <c r="SE62" s="212"/>
      <c r="SF62" s="212"/>
      <c r="SG62" s="212"/>
      <c r="SH62" s="212"/>
      <c r="SI62" s="212"/>
      <c r="SJ62" s="212"/>
      <c r="SK62" s="212"/>
      <c r="SL62" s="212"/>
      <c r="SM62" s="212"/>
      <c r="SN62" s="212"/>
      <c r="SO62" s="212"/>
      <c r="SP62" s="212"/>
      <c r="SQ62" s="212"/>
      <c r="SR62" s="212"/>
      <c r="SS62" s="212"/>
      <c r="ST62" s="212"/>
      <c r="SU62" s="212"/>
      <c r="SV62" s="212"/>
      <c r="SW62" s="212"/>
      <c r="SX62" s="212"/>
      <c r="SY62" s="212"/>
      <c r="SZ62" s="212"/>
      <c r="TA62" s="212"/>
      <c r="TB62" s="212"/>
      <c r="TC62" s="212"/>
      <c r="TD62" s="212"/>
      <c r="TE62" s="212"/>
      <c r="TF62" s="212"/>
      <c r="TG62" s="212"/>
      <c r="TH62" s="212"/>
      <c r="TI62" s="212"/>
      <c r="TJ62" s="212"/>
      <c r="TK62" s="212"/>
      <c r="TL62" s="212"/>
      <c r="TM62" s="212"/>
      <c r="TN62" s="212"/>
      <c r="TO62" s="212"/>
      <c r="TP62" s="212"/>
      <c r="TQ62" s="212"/>
      <c r="TR62" s="212"/>
      <c r="TS62" s="212"/>
      <c r="TT62" s="212"/>
      <c r="TU62" s="212"/>
      <c r="TV62" s="212"/>
      <c r="TW62" s="212"/>
      <c r="TX62" s="212"/>
      <c r="TY62" s="212"/>
      <c r="TZ62" s="212"/>
      <c r="UA62" s="212"/>
      <c r="UB62" s="212"/>
      <c r="UC62" s="212"/>
      <c r="UD62" s="212"/>
      <c r="UE62" s="212"/>
      <c r="UF62" s="212"/>
      <c r="UG62" s="212"/>
      <c r="UH62" s="212"/>
      <c r="UI62" s="212"/>
      <c r="UJ62" s="212"/>
      <c r="UK62" s="212"/>
      <c r="UL62" s="212"/>
      <c r="UM62" s="212"/>
      <c r="UN62" s="212"/>
      <c r="UO62" s="212"/>
      <c r="UP62" s="212"/>
      <c r="UQ62" s="212"/>
      <c r="UR62" s="212"/>
      <c r="US62" s="212"/>
      <c r="UT62" s="212"/>
      <c r="UU62" s="212"/>
      <c r="UV62" s="212"/>
      <c r="UW62" s="212"/>
      <c r="UX62" s="212"/>
      <c r="UY62" s="212"/>
      <c r="UZ62" s="212"/>
      <c r="VA62" s="212"/>
      <c r="VB62" s="212"/>
      <c r="VC62" s="212"/>
      <c r="VD62" s="212"/>
      <c r="VE62" s="212"/>
      <c r="VF62" s="212"/>
      <c r="VG62" s="212"/>
      <c r="VH62" s="212"/>
      <c r="VI62" s="212"/>
      <c r="VJ62" s="212"/>
      <c r="VK62" s="212"/>
      <c r="VL62" s="212"/>
      <c r="VM62" s="212"/>
      <c r="VN62" s="212"/>
      <c r="VO62" s="212"/>
      <c r="VP62" s="212"/>
      <c r="VQ62" s="212"/>
      <c r="VR62" s="212"/>
      <c r="VS62" s="212"/>
      <c r="VT62" s="212"/>
      <c r="VU62" s="212"/>
      <c r="VV62" s="212"/>
      <c r="VW62" s="212"/>
      <c r="VX62" s="212"/>
      <c r="VY62" s="212"/>
      <c r="VZ62" s="212"/>
      <c r="WA62" s="212"/>
      <c r="WB62" s="212"/>
      <c r="WC62" s="212"/>
      <c r="WD62" s="212"/>
      <c r="WE62" s="212"/>
      <c r="WF62" s="212"/>
      <c r="WG62" s="212"/>
      <c r="WH62" s="212"/>
      <c r="WI62" s="212"/>
      <c r="WJ62" s="212"/>
      <c r="WK62" s="212"/>
      <c r="WL62" s="212"/>
      <c r="WM62" s="212"/>
      <c r="WN62" s="212"/>
      <c r="WO62" s="212"/>
      <c r="WP62" s="212"/>
      <c r="WQ62" s="212"/>
      <c r="WR62" s="212"/>
      <c r="WS62" s="212"/>
      <c r="WT62" s="212"/>
      <c r="WU62" s="212"/>
      <c r="WV62" s="212"/>
      <c r="WW62" s="212"/>
      <c r="WX62" s="212"/>
      <c r="WY62" s="212"/>
      <c r="WZ62" s="212"/>
      <c r="XA62" s="212"/>
      <c r="XB62" s="212"/>
      <c r="XC62" s="212"/>
      <c r="XD62" s="212"/>
      <c r="XE62" s="212"/>
      <c r="XF62" s="212"/>
      <c r="XG62" s="212"/>
      <c r="XH62" s="212"/>
      <c r="XI62" s="212"/>
      <c r="XJ62" s="212"/>
      <c r="XK62" s="212"/>
      <c r="XL62" s="212"/>
      <c r="XM62" s="212"/>
      <c r="XN62" s="212"/>
      <c r="XO62" s="212"/>
      <c r="XP62" s="212"/>
      <c r="XQ62" s="212"/>
      <c r="XR62" s="212"/>
      <c r="XS62" s="212"/>
      <c r="XT62" s="212"/>
      <c r="XU62" s="212"/>
      <c r="XV62" s="212"/>
      <c r="XW62" s="212"/>
      <c r="XX62" s="212"/>
      <c r="XY62" s="212"/>
      <c r="XZ62" s="212"/>
      <c r="YA62" s="212"/>
      <c r="YB62" s="212"/>
      <c r="YC62" s="212"/>
      <c r="YD62" s="212"/>
      <c r="YE62" s="212"/>
      <c r="YF62" s="212"/>
      <c r="YG62" s="212"/>
      <c r="YH62" s="212"/>
      <c r="YI62" s="212"/>
      <c r="YJ62" s="212"/>
      <c r="YK62" s="212"/>
      <c r="YL62" s="212"/>
      <c r="YM62" s="212"/>
      <c r="YN62" s="212"/>
      <c r="YO62" s="212"/>
      <c r="YP62" s="212"/>
      <c r="YQ62" s="212"/>
      <c r="YR62" s="212"/>
      <c r="YS62" s="212"/>
      <c r="YT62" s="212"/>
      <c r="YU62" s="212"/>
      <c r="YV62" s="212"/>
      <c r="YW62" s="212"/>
      <c r="YX62" s="212"/>
      <c r="YY62" s="212"/>
      <c r="YZ62" s="212"/>
      <c r="ZA62" s="212"/>
      <c r="ZB62" s="212"/>
      <c r="ZC62" s="212"/>
      <c r="ZD62" s="212"/>
      <c r="ZE62" s="212"/>
      <c r="ZF62" s="212"/>
      <c r="ZG62" s="212"/>
      <c r="ZH62" s="212"/>
      <c r="ZI62" s="212"/>
      <c r="ZJ62" s="212"/>
      <c r="ZK62" s="212"/>
      <c r="ZL62" s="212"/>
      <c r="ZM62" s="212"/>
      <c r="ZN62" s="212"/>
      <c r="ZO62" s="212"/>
      <c r="ZP62" s="212"/>
      <c r="ZQ62" s="212"/>
      <c r="ZR62" s="212"/>
      <c r="ZS62" s="212"/>
      <c r="ZT62" s="212"/>
      <c r="ZU62" s="212"/>
      <c r="ZV62" s="212"/>
      <c r="ZW62" s="212"/>
      <c r="ZX62" s="212"/>
      <c r="ZY62" s="212"/>
      <c r="ZZ62" s="212"/>
      <c r="AAA62" s="212"/>
      <c r="AAB62" s="212"/>
      <c r="AAC62" s="212"/>
      <c r="AAD62" s="212"/>
      <c r="AAE62" s="212"/>
      <c r="AAF62" s="212"/>
      <c r="AAG62" s="212"/>
      <c r="AAH62" s="212"/>
      <c r="AAI62" s="212"/>
      <c r="AAJ62" s="212"/>
      <c r="AAK62" s="212"/>
      <c r="AAL62" s="212"/>
      <c r="AAM62" s="212"/>
      <c r="AAN62" s="212"/>
      <c r="AAO62" s="212"/>
      <c r="AAP62" s="212"/>
      <c r="AAQ62" s="212"/>
      <c r="AAR62" s="212"/>
      <c r="AAS62" s="212"/>
      <c r="AAT62" s="212"/>
      <c r="AAU62" s="212"/>
      <c r="AAV62" s="212"/>
      <c r="AAW62" s="212"/>
      <c r="AAX62" s="212"/>
      <c r="AAY62" s="212"/>
      <c r="AAZ62" s="212"/>
      <c r="ABA62" s="212"/>
      <c r="ABB62" s="212"/>
      <c r="ABC62" s="212"/>
      <c r="ABD62" s="212"/>
      <c r="ABE62" s="212"/>
      <c r="ABF62" s="212"/>
      <c r="ABG62" s="212"/>
      <c r="ABH62" s="212"/>
      <c r="ABI62" s="212"/>
      <c r="ABJ62" s="212"/>
      <c r="ABK62" s="212"/>
      <c r="ABL62" s="212"/>
      <c r="ABM62" s="212"/>
      <c r="ABN62" s="212"/>
      <c r="ABO62" s="212"/>
      <c r="ABP62" s="212"/>
      <c r="ABQ62" s="212"/>
      <c r="ABR62" s="212"/>
      <c r="ABS62" s="212"/>
      <c r="ABT62" s="212"/>
      <c r="ABU62" s="212"/>
      <c r="ABV62" s="212"/>
      <c r="ABW62" s="212"/>
      <c r="ABX62" s="212"/>
      <c r="ABY62" s="212"/>
      <c r="ABZ62" s="212"/>
      <c r="ACA62" s="212"/>
      <c r="ACB62" s="212"/>
      <c r="ACC62" s="212"/>
      <c r="ACD62" s="212"/>
      <c r="ACE62" s="212"/>
      <c r="ACF62" s="212"/>
      <c r="ACG62" s="212"/>
      <c r="ACH62" s="212"/>
      <c r="ACI62" s="212"/>
      <c r="ACJ62" s="212"/>
      <c r="ACK62" s="212"/>
      <c r="ACL62" s="212"/>
      <c r="ACM62" s="212"/>
      <c r="ACN62" s="212"/>
      <c r="ACO62" s="212"/>
      <c r="ACP62" s="212"/>
      <c r="ACQ62" s="212"/>
      <c r="ACR62" s="212"/>
      <c r="ACS62" s="212"/>
      <c r="ACT62" s="212"/>
      <c r="ACU62" s="212"/>
      <c r="ACV62" s="212"/>
      <c r="ACW62" s="212"/>
      <c r="ACX62" s="212"/>
      <c r="ACY62" s="212"/>
      <c r="ACZ62" s="212"/>
      <c r="ADA62" s="212"/>
      <c r="ADB62" s="212"/>
      <c r="ADC62" s="212"/>
      <c r="ADD62" s="212"/>
      <c r="ADE62" s="212"/>
      <c r="ADF62" s="212"/>
      <c r="ADG62" s="212"/>
      <c r="ADH62" s="212"/>
      <c r="ADI62" s="212"/>
      <c r="ADJ62" s="212"/>
      <c r="ADK62" s="212"/>
      <c r="ADL62" s="212"/>
      <c r="ADM62" s="212"/>
      <c r="ADN62" s="212"/>
      <c r="ADO62" s="212"/>
      <c r="ADP62" s="212"/>
      <c r="ADQ62" s="212"/>
      <c r="ADR62" s="212"/>
      <c r="ADS62" s="212"/>
      <c r="ADT62" s="212"/>
      <c r="ADU62" s="212"/>
      <c r="ADV62" s="212"/>
      <c r="ADW62" s="212"/>
      <c r="ADX62" s="212"/>
      <c r="ADY62" s="212"/>
      <c r="ADZ62" s="212"/>
      <c r="AEA62" s="212"/>
      <c r="AEB62" s="212"/>
      <c r="AEC62" s="212"/>
      <c r="AED62" s="212"/>
      <c r="AEE62" s="212"/>
      <c r="AEF62" s="212"/>
      <c r="AEG62" s="212"/>
      <c r="AEH62" s="212"/>
      <c r="AEI62" s="212"/>
      <c r="AEJ62" s="212"/>
      <c r="AEK62" s="212"/>
      <c r="AEL62" s="212"/>
      <c r="AEM62" s="212"/>
      <c r="AEN62" s="212"/>
      <c r="AEO62" s="212"/>
      <c r="AEP62" s="212"/>
      <c r="AEQ62" s="212"/>
      <c r="AER62" s="212"/>
      <c r="AES62" s="212"/>
      <c r="AET62" s="212"/>
      <c r="AEU62" s="212"/>
      <c r="AEV62" s="212"/>
      <c r="AEW62" s="212"/>
      <c r="AEX62" s="212"/>
      <c r="AEY62" s="212"/>
      <c r="AEZ62" s="212"/>
      <c r="AFA62" s="212"/>
      <c r="AFB62" s="212"/>
      <c r="AFC62" s="212"/>
      <c r="AFD62" s="212"/>
      <c r="AFE62" s="212"/>
      <c r="AFF62" s="212"/>
      <c r="AFG62" s="212"/>
      <c r="AFH62" s="212"/>
      <c r="AFI62" s="212"/>
      <c r="AFJ62" s="212"/>
      <c r="AFK62" s="212"/>
      <c r="AFL62" s="212"/>
      <c r="AFM62" s="212"/>
      <c r="AFN62" s="212"/>
      <c r="AFO62" s="212"/>
      <c r="AFP62" s="212"/>
      <c r="AFQ62" s="212"/>
      <c r="AFR62" s="212"/>
      <c r="AFS62" s="212"/>
      <c r="AFT62" s="212"/>
      <c r="AFU62" s="212"/>
      <c r="AFV62" s="212"/>
      <c r="AFW62" s="212"/>
      <c r="AFX62" s="212"/>
      <c r="AFY62" s="212"/>
      <c r="AFZ62" s="212"/>
      <c r="AGA62" s="212"/>
      <c r="AGB62" s="212"/>
      <c r="AGC62" s="212"/>
      <c r="AGD62" s="212"/>
      <c r="AGE62" s="212"/>
      <c r="AGF62" s="212"/>
      <c r="AGG62" s="212"/>
      <c r="AGH62" s="212"/>
      <c r="AGI62" s="212"/>
      <c r="AGJ62" s="212"/>
      <c r="AGK62" s="212"/>
      <c r="AGL62" s="212"/>
      <c r="AGM62" s="212"/>
      <c r="AGN62" s="212"/>
      <c r="AGO62" s="212"/>
      <c r="AGP62" s="212"/>
      <c r="AGQ62" s="212"/>
      <c r="AGR62" s="212"/>
      <c r="AGS62" s="212"/>
      <c r="AGT62" s="212"/>
      <c r="AGU62" s="212"/>
      <c r="AGV62" s="212"/>
      <c r="AGW62" s="212"/>
      <c r="AGX62" s="212"/>
      <c r="AGY62" s="212"/>
      <c r="AGZ62" s="212"/>
      <c r="AHA62" s="212"/>
      <c r="AHB62" s="212"/>
      <c r="AHC62" s="212"/>
      <c r="AHD62" s="212"/>
      <c r="AHE62" s="212"/>
      <c r="AHF62" s="212"/>
      <c r="AHG62" s="212"/>
      <c r="AHH62" s="212"/>
      <c r="AHI62" s="212"/>
      <c r="AHJ62" s="212"/>
      <c r="AHK62" s="212"/>
      <c r="AHL62" s="212"/>
      <c r="AHM62" s="212"/>
      <c r="AHN62" s="212"/>
      <c r="AHO62" s="212"/>
      <c r="AHP62" s="212"/>
      <c r="AHQ62" s="212"/>
      <c r="AHR62" s="212"/>
      <c r="AHS62" s="212"/>
      <c r="AHT62" s="212"/>
      <c r="AHU62" s="212"/>
      <c r="AHV62" s="212"/>
      <c r="AHW62" s="212"/>
      <c r="AHX62" s="212"/>
      <c r="AHY62" s="212"/>
      <c r="AHZ62" s="212"/>
      <c r="AIA62" s="212"/>
      <c r="AIB62" s="212"/>
      <c r="AIC62" s="212"/>
      <c r="AID62" s="212"/>
      <c r="AIE62" s="212"/>
      <c r="AIF62" s="212"/>
      <c r="AIG62" s="212"/>
      <c r="AIH62" s="212"/>
      <c r="AII62" s="212"/>
      <c r="AIJ62" s="212"/>
      <c r="AIK62" s="212"/>
      <c r="AIL62" s="212"/>
      <c r="AIM62" s="212"/>
      <c r="AIN62" s="212"/>
      <c r="AIO62" s="212"/>
      <c r="AIP62" s="212"/>
      <c r="AIQ62" s="212"/>
      <c r="AIR62" s="212"/>
      <c r="AIS62" s="212"/>
      <c r="AIT62" s="212"/>
      <c r="AIU62" s="212"/>
      <c r="AIV62" s="212"/>
      <c r="AIW62" s="212"/>
      <c r="AIX62" s="212"/>
      <c r="AIY62" s="212"/>
      <c r="AIZ62" s="212"/>
      <c r="AJA62" s="212"/>
      <c r="AJB62" s="212"/>
      <c r="AJC62" s="212"/>
      <c r="AJD62" s="212"/>
      <c r="AJE62" s="212"/>
      <c r="AJF62" s="212"/>
      <c r="AJG62" s="212"/>
      <c r="AJH62" s="212"/>
      <c r="AJI62" s="212"/>
      <c r="AJJ62" s="212"/>
      <c r="AJK62" s="212"/>
      <c r="AJL62" s="212"/>
      <c r="AJM62" s="212"/>
      <c r="AJN62" s="212"/>
      <c r="AJO62" s="212"/>
      <c r="AJP62" s="212"/>
      <c r="AJQ62" s="212"/>
      <c r="AJR62" s="212"/>
      <c r="AJS62" s="212"/>
      <c r="AJT62" s="212"/>
      <c r="AJU62" s="212"/>
      <c r="AJV62" s="212"/>
      <c r="AJW62" s="212"/>
      <c r="AJX62" s="212"/>
      <c r="AJY62" s="212"/>
      <c r="AJZ62" s="212"/>
      <c r="AKA62" s="212"/>
      <c r="AKB62" s="212"/>
      <c r="AKC62" s="212"/>
      <c r="AKD62" s="212"/>
      <c r="AKE62" s="212"/>
      <c r="AKF62" s="212"/>
      <c r="AKG62" s="212"/>
      <c r="AKH62" s="212"/>
      <c r="AKI62" s="212"/>
      <c r="AKJ62" s="212"/>
      <c r="AKK62" s="212"/>
      <c r="AKL62" s="212"/>
      <c r="AKM62" s="212"/>
      <c r="AKN62" s="212"/>
      <c r="AKO62" s="212"/>
      <c r="AKP62" s="212"/>
      <c r="AKQ62" s="212"/>
      <c r="AKR62" s="212"/>
      <c r="AKS62" s="212"/>
      <c r="AKT62" s="212"/>
      <c r="AKU62" s="212"/>
      <c r="AKV62" s="212"/>
      <c r="AKW62" s="212"/>
      <c r="AKX62" s="212"/>
      <c r="AKY62" s="212"/>
      <c r="AKZ62" s="212"/>
      <c r="ALA62" s="212"/>
      <c r="ALB62" s="212"/>
      <c r="ALC62" s="212"/>
      <c r="ALD62" s="212"/>
      <c r="ALE62" s="212"/>
      <c r="ALF62" s="212"/>
      <c r="ALG62" s="212"/>
      <c r="ALH62" s="212"/>
      <c r="ALI62" s="212"/>
      <c r="ALJ62" s="212"/>
      <c r="ALK62" s="212"/>
      <c r="ALL62" s="212"/>
      <c r="ALM62" s="212"/>
      <c r="ALN62" s="212"/>
      <c r="ALO62" s="212"/>
      <c r="ALP62" s="212"/>
      <c r="ALQ62" s="212"/>
      <c r="ALR62" s="212"/>
      <c r="ALS62" s="212"/>
      <c r="ALT62" s="212"/>
      <c r="ALU62" s="212"/>
      <c r="ALV62" s="212"/>
      <c r="ALW62" s="212"/>
      <c r="ALX62" s="212"/>
      <c r="ALY62" s="212"/>
      <c r="ALZ62" s="212"/>
      <c r="AMA62" s="212"/>
      <c r="AMB62" s="212"/>
      <c r="AMC62" s="212"/>
      <c r="AMD62" s="212"/>
      <c r="AME62" s="212"/>
      <c r="AMF62" s="212"/>
      <c r="AMG62" s="212"/>
      <c r="AMH62" s="212"/>
      <c r="AMI62" s="212"/>
      <c r="AMJ62" s="212"/>
      <c r="AMK62" s="212"/>
      <c r="AML62" s="212"/>
      <c r="AMM62" s="212"/>
      <c r="AMN62" s="212"/>
      <c r="AMO62" s="212"/>
      <c r="AMP62" s="212"/>
      <c r="AMQ62" s="212"/>
      <c r="AMR62" s="212"/>
      <c r="AMS62" s="212"/>
      <c r="AMT62" s="212"/>
      <c r="AMU62" s="212"/>
      <c r="AMV62" s="212"/>
      <c r="AMW62" s="212"/>
      <c r="AMX62" s="212"/>
      <c r="AMY62" s="212"/>
      <c r="AMZ62" s="212"/>
      <c r="ANA62" s="212"/>
      <c r="ANB62" s="212"/>
      <c r="ANC62" s="212"/>
      <c r="AND62" s="212"/>
      <c r="ANE62" s="212"/>
      <c r="ANF62" s="212"/>
      <c r="ANG62" s="212"/>
      <c r="ANH62" s="212"/>
      <c r="ANI62" s="212"/>
      <c r="ANJ62" s="212"/>
      <c r="ANK62" s="212"/>
      <c r="ANL62" s="212"/>
      <c r="ANM62" s="212"/>
      <c r="ANN62" s="212"/>
      <c r="ANO62" s="212"/>
      <c r="ANP62" s="212"/>
      <c r="ANQ62" s="212"/>
      <c r="ANR62" s="212"/>
      <c r="ANS62" s="212"/>
      <c r="ANT62" s="212"/>
      <c r="ANU62" s="212"/>
      <c r="ANV62" s="212"/>
      <c r="ANW62" s="212"/>
      <c r="ANX62" s="212"/>
      <c r="ANY62" s="212"/>
      <c r="ANZ62" s="212"/>
      <c r="AOA62" s="212"/>
      <c r="AOB62" s="212"/>
      <c r="AOC62" s="212"/>
      <c r="AOD62" s="212"/>
      <c r="AOE62" s="212"/>
      <c r="AOF62" s="212"/>
      <c r="AOG62" s="212"/>
      <c r="AOH62" s="212"/>
      <c r="AOI62" s="212"/>
      <c r="AOJ62" s="212"/>
      <c r="AOK62" s="212"/>
      <c r="AOL62" s="212"/>
      <c r="AOM62" s="212"/>
      <c r="AON62" s="212"/>
      <c r="AOO62" s="212"/>
      <c r="AOP62" s="212"/>
      <c r="AOQ62" s="212"/>
      <c r="AOR62" s="212"/>
      <c r="AOS62" s="212"/>
      <c r="AOT62" s="212"/>
      <c r="AOU62" s="212"/>
      <c r="AOV62" s="212"/>
      <c r="AOW62" s="212"/>
      <c r="AOX62" s="212"/>
      <c r="AOY62" s="212"/>
      <c r="AOZ62" s="212"/>
      <c r="APA62" s="212"/>
      <c r="APB62" s="212"/>
      <c r="APC62" s="212"/>
      <c r="APD62" s="212"/>
      <c r="APE62" s="212"/>
      <c r="APF62" s="212"/>
      <c r="APG62" s="212"/>
      <c r="APH62" s="212"/>
      <c r="API62" s="212"/>
      <c r="APJ62" s="212"/>
      <c r="APK62" s="212"/>
      <c r="APL62" s="212"/>
      <c r="APM62" s="212"/>
      <c r="APN62" s="212"/>
      <c r="APO62" s="212"/>
      <c r="APP62" s="212"/>
      <c r="APQ62" s="212"/>
      <c r="APR62" s="212"/>
      <c r="APS62" s="212"/>
      <c r="APT62" s="212"/>
      <c r="APU62" s="212"/>
      <c r="APV62" s="212"/>
      <c r="APW62" s="212"/>
      <c r="APX62" s="212"/>
      <c r="APY62" s="212"/>
      <c r="APZ62" s="212"/>
      <c r="AQA62" s="212"/>
      <c r="AQB62" s="212"/>
      <c r="AQC62" s="212"/>
      <c r="AQD62" s="212"/>
      <c r="AQE62" s="212"/>
      <c r="AQF62" s="212"/>
      <c r="AQG62" s="212"/>
      <c r="AQH62" s="212"/>
      <c r="AQI62" s="212"/>
      <c r="AQJ62" s="212"/>
      <c r="AQK62" s="212"/>
      <c r="AQL62" s="212"/>
      <c r="AQM62" s="212"/>
      <c r="AQN62" s="212"/>
      <c r="AQO62" s="212"/>
      <c r="AQP62" s="212"/>
      <c r="AQQ62" s="212"/>
      <c r="AQR62" s="212"/>
      <c r="AQS62" s="212"/>
      <c r="AQT62" s="212"/>
      <c r="AQU62" s="212"/>
      <c r="AQV62" s="212"/>
      <c r="AQW62" s="212"/>
      <c r="AQX62" s="212"/>
      <c r="AQY62" s="212"/>
      <c r="AQZ62" s="212"/>
      <c r="ARA62" s="212"/>
      <c r="ARB62" s="212"/>
      <c r="ARC62" s="212"/>
      <c r="ARD62" s="212"/>
      <c r="ARE62" s="212"/>
      <c r="ARF62" s="212"/>
      <c r="ARG62" s="212"/>
      <c r="ARH62" s="212"/>
      <c r="ARI62" s="212"/>
      <c r="ARJ62" s="212"/>
      <c r="ARK62" s="212"/>
      <c r="ARL62" s="212"/>
      <c r="ARM62" s="212"/>
      <c r="ARN62" s="212"/>
      <c r="ARO62" s="212"/>
      <c r="ARP62" s="212"/>
      <c r="ARQ62" s="212"/>
      <c r="ARR62" s="212"/>
      <c r="ARS62" s="212"/>
      <c r="ART62" s="212"/>
      <c r="ARU62" s="212"/>
      <c r="ARV62" s="212"/>
      <c r="ARW62" s="212"/>
      <c r="ARX62" s="212"/>
      <c r="ARY62" s="212"/>
      <c r="ARZ62" s="212"/>
      <c r="ASA62" s="212"/>
      <c r="ASB62" s="212"/>
      <c r="ASC62" s="212"/>
      <c r="ASD62" s="212"/>
      <c r="ASE62" s="212"/>
      <c r="ASF62" s="212"/>
      <c r="ASG62" s="212"/>
      <c r="ASH62" s="212"/>
      <c r="ASI62" s="212"/>
      <c r="ASJ62" s="212"/>
      <c r="ASK62" s="212"/>
      <c r="ASL62" s="212"/>
      <c r="ASM62" s="212"/>
      <c r="ASN62" s="212"/>
      <c r="ASO62" s="212"/>
      <c r="ASP62" s="212"/>
      <c r="ASQ62" s="212"/>
      <c r="ASR62" s="212"/>
      <c r="ASS62" s="212"/>
      <c r="AST62" s="212"/>
      <c r="ASU62" s="212"/>
      <c r="ASV62" s="212"/>
      <c r="ASW62" s="212"/>
      <c r="ASX62" s="212"/>
      <c r="ASY62" s="212"/>
      <c r="ASZ62" s="212"/>
      <c r="ATA62" s="212"/>
      <c r="ATB62" s="212"/>
      <c r="ATC62" s="212"/>
      <c r="ATD62" s="212"/>
      <c r="ATE62" s="212"/>
      <c r="ATF62" s="212"/>
      <c r="ATG62" s="212"/>
      <c r="ATH62" s="212"/>
      <c r="ATI62" s="212"/>
      <c r="ATJ62" s="212"/>
      <c r="ATK62" s="212"/>
      <c r="ATL62" s="212"/>
      <c r="ATM62" s="212"/>
      <c r="ATN62" s="212"/>
      <c r="ATO62" s="212"/>
      <c r="ATP62" s="212"/>
      <c r="ATQ62" s="212"/>
      <c r="ATR62" s="212"/>
      <c r="ATS62" s="212"/>
      <c r="ATT62" s="212"/>
      <c r="ATU62" s="212"/>
      <c r="ATV62" s="212"/>
      <c r="ATW62" s="212"/>
      <c r="ATX62" s="212"/>
      <c r="ATY62" s="212"/>
      <c r="ATZ62" s="212"/>
      <c r="AUA62" s="212"/>
      <c r="AUB62" s="212"/>
      <c r="AUC62" s="212"/>
      <c r="AUD62" s="212"/>
      <c r="AUE62" s="212"/>
      <c r="AUF62" s="212"/>
      <c r="AUG62" s="212"/>
      <c r="AUH62" s="212"/>
      <c r="AUI62" s="212"/>
      <c r="AUJ62" s="212"/>
      <c r="AUK62" s="212"/>
      <c r="AUL62" s="212"/>
      <c r="AUM62" s="212"/>
      <c r="AUN62" s="212"/>
      <c r="AUO62" s="212"/>
      <c r="AUP62" s="212"/>
      <c r="AUQ62" s="212"/>
      <c r="AUR62" s="212"/>
      <c r="AUS62" s="212"/>
      <c r="AUT62" s="212"/>
      <c r="AUU62" s="212"/>
      <c r="AUV62" s="212"/>
      <c r="AUW62" s="212"/>
      <c r="AUX62" s="212"/>
      <c r="AUY62" s="212"/>
      <c r="AUZ62" s="212"/>
      <c r="AVA62" s="212"/>
      <c r="AVB62" s="212"/>
      <c r="AVC62" s="212"/>
      <c r="AVD62" s="212"/>
      <c r="AVE62" s="212"/>
      <c r="AVF62" s="212"/>
      <c r="AVG62" s="212"/>
      <c r="AVH62" s="212"/>
      <c r="AVI62" s="212"/>
      <c r="AVJ62" s="212"/>
      <c r="AVK62" s="212"/>
      <c r="AVL62" s="212"/>
      <c r="AVM62" s="212"/>
      <c r="AVN62" s="212"/>
      <c r="AVO62" s="212"/>
      <c r="AVP62" s="212"/>
      <c r="AVQ62" s="212"/>
      <c r="AVR62" s="212"/>
      <c r="AVS62" s="212"/>
      <c r="AVT62" s="212"/>
      <c r="AVU62" s="212"/>
      <c r="AVV62" s="212"/>
      <c r="AVW62" s="212"/>
      <c r="AVX62" s="212"/>
      <c r="AVY62" s="212"/>
      <c r="AVZ62" s="212"/>
      <c r="AWA62" s="212"/>
      <c r="AWB62" s="212"/>
      <c r="AWC62" s="212"/>
      <c r="AWD62" s="212"/>
      <c r="AWE62" s="212"/>
      <c r="AWF62" s="212"/>
      <c r="AWG62" s="212"/>
      <c r="AWH62" s="212"/>
      <c r="AWI62" s="212"/>
      <c r="AWJ62" s="212"/>
      <c r="AWK62" s="212"/>
      <c r="AWL62" s="212"/>
      <c r="AWM62" s="212"/>
      <c r="AWN62" s="212"/>
      <c r="AWO62" s="212"/>
      <c r="AWP62" s="212"/>
      <c r="AWQ62" s="212"/>
      <c r="AWR62" s="212"/>
      <c r="AWS62" s="212"/>
      <c r="AWT62" s="212"/>
      <c r="AWU62" s="212"/>
      <c r="AWV62" s="212"/>
      <c r="AWW62" s="212"/>
      <c r="AWX62" s="212"/>
      <c r="AWY62" s="212"/>
      <c r="AWZ62" s="212"/>
      <c r="AXA62" s="212"/>
      <c r="AXB62" s="212"/>
      <c r="AXC62" s="212"/>
      <c r="AXD62" s="212"/>
      <c r="AXE62" s="212"/>
      <c r="AXF62" s="212"/>
      <c r="AXG62" s="212"/>
      <c r="AXH62" s="212"/>
      <c r="AXI62" s="212"/>
      <c r="AXJ62" s="212"/>
      <c r="AXK62" s="212"/>
      <c r="AXL62" s="212"/>
      <c r="AXM62" s="212"/>
      <c r="AXN62" s="212"/>
      <c r="AXO62" s="212"/>
      <c r="AXP62" s="212"/>
      <c r="AXQ62" s="212"/>
      <c r="AXR62" s="212"/>
      <c r="AXS62" s="212"/>
      <c r="AXT62" s="212"/>
      <c r="AXU62" s="212"/>
      <c r="AXV62" s="212"/>
      <c r="AXW62" s="212"/>
      <c r="AXX62" s="212"/>
      <c r="AXY62" s="212"/>
      <c r="AXZ62" s="212"/>
      <c r="AYA62" s="212"/>
      <c r="AYB62" s="212"/>
      <c r="AYC62" s="212"/>
      <c r="AYD62" s="212"/>
      <c r="AYE62" s="212"/>
      <c r="AYF62" s="212"/>
      <c r="AYG62" s="212"/>
      <c r="AYH62" s="212"/>
      <c r="AYI62" s="212"/>
      <c r="AYJ62" s="212"/>
      <c r="AYK62" s="212"/>
      <c r="AYL62" s="212"/>
      <c r="AYM62" s="212"/>
      <c r="AYN62" s="212"/>
      <c r="AYO62" s="212"/>
      <c r="AYP62" s="212"/>
      <c r="AYQ62" s="212"/>
      <c r="AYR62" s="212"/>
      <c r="AYS62" s="212"/>
      <c r="AYT62" s="212"/>
      <c r="AYU62" s="212"/>
      <c r="AYV62" s="212"/>
      <c r="AYW62" s="212"/>
      <c r="AYX62" s="212"/>
      <c r="AYY62" s="212"/>
      <c r="AYZ62" s="212"/>
      <c r="AZA62" s="212"/>
      <c r="AZB62" s="212"/>
      <c r="AZC62" s="212"/>
      <c r="AZD62" s="212"/>
      <c r="AZE62" s="212"/>
      <c r="AZF62" s="212"/>
      <c r="AZG62" s="212"/>
      <c r="AZH62" s="212"/>
      <c r="AZI62" s="212"/>
      <c r="AZJ62" s="212"/>
      <c r="AZK62" s="212"/>
      <c r="AZL62" s="212"/>
      <c r="AZM62" s="212"/>
      <c r="AZN62" s="212"/>
      <c r="AZO62" s="212"/>
      <c r="AZP62" s="212"/>
      <c r="AZQ62" s="212"/>
      <c r="AZR62" s="212"/>
      <c r="AZS62" s="212"/>
      <c r="AZT62" s="212"/>
      <c r="AZU62" s="212"/>
      <c r="AZV62" s="212"/>
      <c r="AZW62" s="212"/>
      <c r="AZX62" s="212"/>
      <c r="AZY62" s="212"/>
      <c r="AZZ62" s="212"/>
      <c r="BAA62" s="212"/>
      <c r="BAB62" s="212"/>
      <c r="BAC62" s="212"/>
      <c r="BAD62" s="212"/>
      <c r="BAE62" s="212"/>
      <c r="BAF62" s="212"/>
      <c r="BAG62" s="212"/>
      <c r="BAH62" s="212"/>
      <c r="BAI62" s="212"/>
      <c r="BAJ62" s="212"/>
      <c r="BAK62" s="212"/>
      <c r="BAL62" s="212"/>
      <c r="BAM62" s="212"/>
      <c r="BAN62" s="212"/>
      <c r="BAO62" s="212"/>
      <c r="BAP62" s="212"/>
      <c r="BAQ62" s="212"/>
      <c r="BAR62" s="212"/>
      <c r="BAS62" s="212"/>
      <c r="BAT62" s="212"/>
      <c r="BAU62" s="212"/>
      <c r="BAV62" s="212"/>
      <c r="BAW62" s="212"/>
      <c r="BAX62" s="212"/>
      <c r="BAY62" s="212"/>
      <c r="BAZ62" s="212"/>
      <c r="BBA62" s="212"/>
      <c r="BBB62" s="212"/>
      <c r="BBC62" s="212"/>
      <c r="BBD62" s="212"/>
      <c r="BBE62" s="212"/>
      <c r="BBF62" s="212"/>
      <c r="BBG62" s="212"/>
      <c r="BBH62" s="212"/>
      <c r="BBI62" s="212"/>
      <c r="BBJ62" s="212"/>
      <c r="BBK62" s="212"/>
      <c r="BBL62" s="212"/>
      <c r="BBM62" s="212"/>
      <c r="BBN62" s="212"/>
      <c r="BBO62" s="212"/>
      <c r="BBP62" s="212"/>
      <c r="BBQ62" s="212"/>
      <c r="BBR62" s="212"/>
      <c r="BBS62" s="212"/>
      <c r="BBT62" s="212"/>
      <c r="BBU62" s="212"/>
      <c r="BBV62" s="212"/>
      <c r="BBW62" s="212"/>
      <c r="BBX62" s="212"/>
      <c r="BBY62" s="212"/>
      <c r="BBZ62" s="212"/>
      <c r="BCA62" s="212"/>
      <c r="BCB62" s="212"/>
      <c r="BCC62" s="212"/>
      <c r="BCD62" s="212"/>
      <c r="BCE62" s="212"/>
      <c r="BCF62" s="212"/>
      <c r="BCG62" s="212"/>
      <c r="BCH62" s="212"/>
      <c r="BCI62" s="212"/>
      <c r="BCJ62" s="212"/>
      <c r="BCK62" s="212"/>
      <c r="BCL62" s="212"/>
      <c r="BCM62" s="212"/>
      <c r="BCN62" s="212"/>
      <c r="BCO62" s="212"/>
      <c r="BCP62" s="212"/>
      <c r="BCQ62" s="212"/>
      <c r="BCR62" s="212"/>
      <c r="BCS62" s="212"/>
      <c r="BCT62" s="212"/>
      <c r="BCU62" s="212"/>
      <c r="BCV62" s="212"/>
      <c r="BCW62" s="212"/>
      <c r="BCX62" s="212"/>
      <c r="BCY62" s="212"/>
      <c r="BCZ62" s="212"/>
      <c r="BDA62" s="212"/>
      <c r="BDB62" s="212"/>
      <c r="BDC62" s="212"/>
      <c r="BDD62" s="212"/>
      <c r="BDE62" s="212"/>
      <c r="BDF62" s="212"/>
      <c r="BDG62" s="212"/>
      <c r="BDH62" s="212"/>
      <c r="BDI62" s="212"/>
      <c r="BDJ62" s="212"/>
      <c r="BDK62" s="212"/>
      <c r="BDL62" s="212"/>
      <c r="BDM62" s="212"/>
      <c r="BDN62" s="212"/>
      <c r="BDO62" s="212"/>
      <c r="BDP62" s="212"/>
      <c r="BDQ62" s="212"/>
      <c r="BDR62" s="212"/>
      <c r="BDS62" s="212"/>
      <c r="BDT62" s="212"/>
      <c r="BDU62" s="212"/>
      <c r="BDV62" s="212"/>
      <c r="BDW62" s="212"/>
      <c r="BDX62" s="212"/>
      <c r="BDY62" s="212"/>
      <c r="BDZ62" s="212"/>
      <c r="BEA62" s="212"/>
      <c r="BEB62" s="212"/>
      <c r="BEC62" s="212"/>
      <c r="BED62" s="212"/>
      <c r="BEE62" s="212"/>
      <c r="BEF62" s="212"/>
      <c r="BEG62" s="212"/>
      <c r="BEH62" s="212"/>
      <c r="BEI62" s="212"/>
      <c r="BEJ62" s="212"/>
      <c r="BEK62" s="212"/>
      <c r="BEL62" s="212"/>
      <c r="BEM62" s="212"/>
      <c r="BEN62" s="212"/>
      <c r="BEO62" s="212"/>
      <c r="BEP62" s="212"/>
      <c r="BEQ62" s="212"/>
      <c r="BER62" s="212"/>
      <c r="BES62" s="212"/>
      <c r="BET62" s="212"/>
      <c r="BEU62" s="212"/>
      <c r="BEV62" s="212"/>
      <c r="BEW62" s="212"/>
      <c r="BEX62" s="212"/>
      <c r="BEY62" s="212"/>
      <c r="BEZ62" s="212"/>
      <c r="BFA62" s="212"/>
      <c r="BFB62" s="212"/>
      <c r="BFC62" s="212"/>
      <c r="BFD62" s="212"/>
      <c r="BFE62" s="212"/>
      <c r="BFF62" s="212"/>
      <c r="BFG62" s="212"/>
      <c r="BFH62" s="212"/>
      <c r="BFI62" s="212"/>
      <c r="BFJ62" s="212"/>
      <c r="BFK62" s="212"/>
      <c r="BFL62" s="212"/>
      <c r="BFM62" s="212"/>
      <c r="BFN62" s="212"/>
      <c r="BFO62" s="212"/>
      <c r="BFP62" s="212"/>
      <c r="BFQ62" s="212"/>
      <c r="BFR62" s="212"/>
      <c r="BFS62" s="212"/>
      <c r="BFT62" s="212"/>
      <c r="BFU62" s="212"/>
      <c r="BFV62" s="212"/>
      <c r="BFW62" s="212"/>
      <c r="BFX62" s="212"/>
      <c r="BFY62" s="212"/>
      <c r="BFZ62" s="212"/>
      <c r="BGA62" s="212"/>
      <c r="BGB62" s="212"/>
      <c r="BGC62" s="212"/>
      <c r="BGD62" s="212"/>
      <c r="BGE62" s="212"/>
      <c r="BGF62" s="212"/>
      <c r="BGG62" s="212"/>
      <c r="BGH62" s="212"/>
      <c r="BGI62" s="212"/>
      <c r="BGJ62" s="212"/>
      <c r="BGK62" s="212"/>
      <c r="BGL62" s="212"/>
      <c r="BGM62" s="212"/>
      <c r="BGN62" s="212"/>
      <c r="BGO62" s="212"/>
      <c r="BGP62" s="212"/>
      <c r="BGQ62" s="212"/>
      <c r="BGR62" s="212"/>
      <c r="BGS62" s="212"/>
      <c r="BGT62" s="212"/>
      <c r="BGU62" s="212"/>
      <c r="BGV62" s="212"/>
      <c r="BGW62" s="212"/>
      <c r="BGX62" s="212"/>
      <c r="BGY62" s="212"/>
      <c r="BGZ62" s="212"/>
      <c r="BHA62" s="212"/>
      <c r="BHB62" s="212"/>
      <c r="BHC62" s="212"/>
      <c r="BHD62" s="212"/>
      <c r="BHE62" s="212"/>
      <c r="BHF62" s="212"/>
      <c r="BHG62" s="212"/>
      <c r="BHH62" s="212"/>
      <c r="BHI62" s="212"/>
      <c r="BHJ62" s="212"/>
      <c r="BHK62" s="212"/>
      <c r="BHL62" s="212"/>
      <c r="BHM62" s="212"/>
      <c r="BHN62" s="212"/>
      <c r="BHO62" s="212"/>
      <c r="BHP62" s="212"/>
      <c r="BHQ62" s="212"/>
      <c r="BHR62" s="212"/>
      <c r="BHS62" s="212"/>
      <c r="BHT62" s="212"/>
      <c r="BHU62" s="212"/>
      <c r="BHV62" s="212"/>
      <c r="BHW62" s="212"/>
      <c r="BHX62" s="212"/>
      <c r="BHY62" s="212"/>
      <c r="BHZ62" s="212"/>
      <c r="BIA62" s="212"/>
      <c r="BIB62" s="212"/>
      <c r="BIC62" s="212"/>
      <c r="BID62" s="212"/>
      <c r="BIE62" s="212"/>
      <c r="BIF62" s="212"/>
      <c r="BIG62" s="212"/>
      <c r="BIH62" s="212"/>
      <c r="BII62" s="212"/>
      <c r="BIJ62" s="212"/>
      <c r="BIK62" s="212"/>
      <c r="BIL62" s="212"/>
      <c r="BIM62" s="212"/>
      <c r="BIN62" s="212"/>
      <c r="BIO62" s="212"/>
      <c r="BIP62" s="212"/>
      <c r="BIQ62" s="212"/>
      <c r="BIR62" s="212"/>
      <c r="BIS62" s="212"/>
      <c r="BIT62" s="212"/>
      <c r="BIU62" s="212"/>
      <c r="BIV62" s="212"/>
      <c r="BIW62" s="212"/>
      <c r="BIX62" s="212"/>
      <c r="BIY62" s="212"/>
      <c r="BIZ62" s="212"/>
      <c r="BJA62" s="212"/>
      <c r="BJB62" s="212"/>
      <c r="BJC62" s="212"/>
      <c r="BJD62" s="212"/>
      <c r="BJE62" s="212"/>
      <c r="BJF62" s="212"/>
      <c r="BJG62" s="212"/>
      <c r="BJH62" s="212"/>
      <c r="BJI62" s="212"/>
      <c r="BJJ62" s="212"/>
      <c r="BJK62" s="212"/>
      <c r="BJL62" s="212"/>
      <c r="BJM62" s="212"/>
      <c r="BJN62" s="212"/>
      <c r="BJO62" s="212"/>
      <c r="BJP62" s="212"/>
      <c r="BJQ62" s="212"/>
      <c r="BJR62" s="212"/>
      <c r="BJS62" s="212"/>
      <c r="BJT62" s="212"/>
      <c r="BJU62" s="212"/>
      <c r="BJV62" s="212"/>
      <c r="BJW62" s="212"/>
      <c r="BJX62" s="212"/>
      <c r="BJY62" s="212"/>
      <c r="BJZ62" s="212"/>
      <c r="BKA62" s="212"/>
      <c r="BKB62" s="212"/>
      <c r="BKC62" s="212"/>
      <c r="BKD62" s="212"/>
      <c r="BKE62" s="212"/>
      <c r="BKF62" s="212"/>
      <c r="BKG62" s="212"/>
      <c r="BKH62" s="212"/>
      <c r="BKI62" s="212"/>
      <c r="BKJ62" s="212"/>
      <c r="BKK62" s="212"/>
      <c r="BKL62" s="212"/>
      <c r="BKM62" s="212"/>
      <c r="BKN62" s="212"/>
      <c r="BKO62" s="212"/>
      <c r="BKP62" s="212"/>
      <c r="BKQ62" s="212"/>
      <c r="BKR62" s="212"/>
      <c r="BKS62" s="212"/>
      <c r="BKT62" s="212"/>
      <c r="BKU62" s="212"/>
      <c r="BKV62" s="212"/>
      <c r="BKW62" s="212"/>
      <c r="BKX62" s="212"/>
      <c r="BKY62" s="212"/>
      <c r="BKZ62" s="212"/>
      <c r="BLA62" s="212"/>
      <c r="BLB62" s="212"/>
      <c r="BLC62" s="212"/>
      <c r="BLD62" s="212"/>
      <c r="BLE62" s="212"/>
      <c r="BLF62" s="212"/>
      <c r="BLG62" s="212"/>
      <c r="BLH62" s="212"/>
      <c r="BLI62" s="212"/>
      <c r="BLJ62" s="212"/>
      <c r="BLK62" s="212"/>
      <c r="BLL62" s="212"/>
      <c r="BLM62" s="212"/>
      <c r="BLN62" s="212"/>
      <c r="BLO62" s="212"/>
      <c r="BLP62" s="212"/>
      <c r="BLQ62" s="212"/>
      <c r="BLR62" s="212"/>
      <c r="BLS62" s="212"/>
      <c r="BLT62" s="212"/>
      <c r="BLU62" s="212"/>
      <c r="BLV62" s="212"/>
      <c r="BLW62" s="212"/>
      <c r="BLX62" s="212"/>
      <c r="BLY62" s="212"/>
      <c r="BLZ62" s="212"/>
      <c r="BMA62" s="212"/>
      <c r="BMB62" s="212"/>
      <c r="BMC62" s="212"/>
      <c r="BMD62" s="212"/>
      <c r="BME62" s="212"/>
      <c r="BMF62" s="212"/>
      <c r="BMG62" s="212"/>
      <c r="BMH62" s="212"/>
      <c r="BMI62" s="212"/>
      <c r="BMJ62" s="212"/>
      <c r="BMK62" s="212"/>
      <c r="BML62" s="212"/>
      <c r="BMM62" s="212"/>
      <c r="BMN62" s="212"/>
      <c r="BMO62" s="212"/>
      <c r="BMP62" s="212"/>
      <c r="BMQ62" s="212"/>
      <c r="BMR62" s="212"/>
      <c r="BMS62" s="212"/>
      <c r="BMT62" s="212"/>
      <c r="BMU62" s="212"/>
      <c r="BMV62" s="212"/>
      <c r="BMW62" s="212"/>
      <c r="BMX62" s="212"/>
      <c r="BMY62" s="212"/>
      <c r="BMZ62" s="212"/>
      <c r="BNA62" s="212"/>
      <c r="BNB62" s="212"/>
      <c r="BNC62" s="212"/>
      <c r="BND62" s="212"/>
      <c r="BNE62" s="212"/>
      <c r="BNF62" s="212"/>
      <c r="BNG62" s="212"/>
      <c r="BNH62" s="212"/>
      <c r="BNI62" s="212"/>
      <c r="BNJ62" s="212"/>
      <c r="BNK62" s="212"/>
      <c r="BNL62" s="212"/>
      <c r="BNM62" s="212"/>
      <c r="BNN62" s="212"/>
      <c r="BNO62" s="212"/>
      <c r="BNP62" s="212"/>
      <c r="BNQ62" s="212"/>
      <c r="BNR62" s="212"/>
      <c r="BNS62" s="212"/>
      <c r="BNT62" s="212"/>
      <c r="BNU62" s="212"/>
      <c r="BNV62" s="212"/>
      <c r="BNW62" s="212"/>
      <c r="BNX62" s="212"/>
      <c r="BNY62" s="212"/>
      <c r="BNZ62" s="212"/>
      <c r="BOA62" s="212"/>
      <c r="BOB62" s="212"/>
      <c r="BOC62" s="212"/>
      <c r="BOD62" s="212"/>
      <c r="BOE62" s="212"/>
      <c r="BOF62" s="212"/>
      <c r="BOG62" s="212"/>
      <c r="BOH62" s="212"/>
      <c r="BOI62" s="212"/>
      <c r="BOJ62" s="212"/>
      <c r="BOK62" s="212"/>
      <c r="BOL62" s="212"/>
      <c r="BOM62" s="212"/>
      <c r="BON62" s="212"/>
      <c r="BOO62" s="212"/>
      <c r="BOP62" s="212"/>
      <c r="BOQ62" s="212"/>
      <c r="BOR62" s="212"/>
      <c r="BOS62" s="212"/>
      <c r="BOT62" s="212"/>
      <c r="BOU62" s="212"/>
      <c r="BOV62" s="212"/>
      <c r="BOW62" s="212"/>
      <c r="BOX62" s="212"/>
      <c r="BOY62" s="212"/>
      <c r="BOZ62" s="212"/>
      <c r="BPA62" s="212"/>
      <c r="BPB62" s="212"/>
      <c r="BPC62" s="212"/>
      <c r="BPD62" s="212"/>
      <c r="BPE62" s="212"/>
      <c r="BPF62" s="212"/>
      <c r="BPG62" s="212"/>
      <c r="BPH62" s="212"/>
      <c r="BPI62" s="212"/>
      <c r="BPJ62" s="212"/>
      <c r="BPK62" s="212"/>
      <c r="BPL62" s="212"/>
      <c r="BPM62" s="212"/>
      <c r="BPN62" s="212"/>
      <c r="BPO62" s="212"/>
      <c r="BPP62" s="212"/>
      <c r="BPQ62" s="212"/>
      <c r="BPR62" s="212"/>
      <c r="BPS62" s="212"/>
      <c r="BPT62" s="212"/>
      <c r="BPU62" s="212"/>
      <c r="BPV62" s="212"/>
      <c r="BPW62" s="212"/>
      <c r="BPX62" s="212"/>
      <c r="BPY62" s="212"/>
      <c r="BPZ62" s="212"/>
      <c r="BQA62" s="212"/>
      <c r="BQB62" s="212"/>
      <c r="BQC62" s="212"/>
      <c r="BQD62" s="212"/>
      <c r="BQE62" s="212"/>
      <c r="BQF62" s="212"/>
      <c r="BQG62" s="212"/>
      <c r="BQH62" s="212"/>
      <c r="BQI62" s="212"/>
      <c r="BQJ62" s="212"/>
      <c r="BQK62" s="212"/>
      <c r="BQL62" s="212"/>
      <c r="BQM62" s="212"/>
      <c r="BQN62" s="212"/>
      <c r="BQO62" s="212"/>
      <c r="BQP62" s="212"/>
      <c r="BQQ62" s="212"/>
      <c r="BQR62" s="212"/>
      <c r="BQS62" s="212"/>
      <c r="BQT62" s="212"/>
      <c r="BQU62" s="212"/>
      <c r="BQV62" s="212"/>
      <c r="BQW62" s="212"/>
      <c r="BQX62" s="212"/>
      <c r="BQY62" s="212"/>
      <c r="BQZ62" s="212"/>
      <c r="BRA62" s="212"/>
      <c r="BRB62" s="212"/>
      <c r="BRC62" s="212"/>
      <c r="BRD62" s="212"/>
      <c r="BRE62" s="212"/>
      <c r="BRF62" s="212"/>
      <c r="BRG62" s="212"/>
      <c r="BRH62" s="212"/>
      <c r="BRI62" s="212"/>
      <c r="BRJ62" s="212"/>
      <c r="BRK62" s="212"/>
      <c r="BRL62" s="212"/>
      <c r="BRM62" s="212"/>
      <c r="BRN62" s="212"/>
      <c r="BRO62" s="212"/>
      <c r="BRP62" s="212"/>
      <c r="BRQ62" s="212"/>
      <c r="BRR62" s="212"/>
      <c r="BRS62" s="212"/>
      <c r="BRT62" s="212"/>
      <c r="BRU62" s="212"/>
      <c r="BRV62" s="212"/>
      <c r="BRW62" s="212"/>
      <c r="BRX62" s="212"/>
      <c r="BRY62" s="212"/>
      <c r="BRZ62" s="212"/>
      <c r="BSA62" s="212"/>
      <c r="BSB62" s="212"/>
      <c r="BSC62" s="212"/>
      <c r="BSD62" s="212"/>
      <c r="BSE62" s="212"/>
      <c r="BSF62" s="212"/>
      <c r="BSG62" s="212"/>
      <c r="BSH62" s="212"/>
      <c r="BSI62" s="212"/>
      <c r="BSJ62" s="212"/>
      <c r="BSK62" s="212"/>
      <c r="BSL62" s="212"/>
      <c r="BSM62" s="212"/>
      <c r="BSN62" s="212"/>
      <c r="BSO62" s="212"/>
      <c r="BSP62" s="212"/>
      <c r="BSQ62" s="212"/>
      <c r="BSR62" s="212"/>
      <c r="BSS62" s="212"/>
      <c r="BST62" s="212"/>
      <c r="BSU62" s="212"/>
      <c r="BSV62" s="212"/>
      <c r="BSW62" s="212"/>
      <c r="BSX62" s="212"/>
      <c r="BSY62" s="212"/>
      <c r="BSZ62" s="212"/>
      <c r="BTA62" s="212"/>
      <c r="BTB62" s="212"/>
      <c r="BTC62" s="212"/>
      <c r="BTD62" s="212"/>
      <c r="BTE62" s="212"/>
      <c r="BTF62" s="212"/>
      <c r="BTG62" s="212"/>
      <c r="BTH62" s="212"/>
      <c r="BTI62" s="212"/>
      <c r="BTJ62" s="212"/>
      <c r="BTK62" s="212"/>
      <c r="BTL62" s="212"/>
      <c r="BTM62" s="212"/>
      <c r="BTN62" s="212"/>
      <c r="BTO62" s="212"/>
      <c r="BTP62" s="212"/>
      <c r="BTQ62" s="212"/>
      <c r="BTR62" s="212"/>
      <c r="BTS62" s="212"/>
      <c r="BTT62" s="212"/>
      <c r="BTU62" s="212"/>
      <c r="BTV62" s="212"/>
      <c r="BTW62" s="212"/>
      <c r="BTX62" s="212"/>
      <c r="BTY62" s="212"/>
      <c r="BTZ62" s="212"/>
      <c r="BUA62" s="212"/>
      <c r="BUB62" s="212"/>
      <c r="BUC62" s="212"/>
      <c r="BUD62" s="212"/>
      <c r="BUE62" s="212"/>
      <c r="BUF62" s="212"/>
      <c r="BUG62" s="212"/>
      <c r="BUH62" s="212"/>
      <c r="BUI62" s="212"/>
      <c r="BUJ62" s="212"/>
      <c r="BUK62" s="212"/>
      <c r="BUL62" s="212"/>
      <c r="BUM62" s="212"/>
      <c r="BUN62" s="212"/>
      <c r="BUO62" s="212"/>
      <c r="BUP62" s="212"/>
      <c r="BUQ62" s="212"/>
      <c r="BUR62" s="212"/>
      <c r="BUS62" s="212"/>
      <c r="BUT62" s="212"/>
      <c r="BUU62" s="212"/>
      <c r="BUV62" s="212"/>
      <c r="BUW62" s="212"/>
      <c r="BUX62" s="212"/>
      <c r="BUY62" s="212"/>
      <c r="BUZ62" s="212"/>
      <c r="BVA62" s="212"/>
      <c r="BVB62" s="212"/>
      <c r="BVC62" s="212"/>
      <c r="BVD62" s="212"/>
      <c r="BVE62" s="212"/>
      <c r="BVF62" s="212"/>
      <c r="BVG62" s="212"/>
      <c r="BVH62" s="212"/>
      <c r="BVI62" s="212"/>
      <c r="BVJ62" s="212"/>
      <c r="BVK62" s="212"/>
      <c r="BVL62" s="212"/>
      <c r="BVM62" s="212"/>
      <c r="BVN62" s="212"/>
      <c r="BVO62" s="212"/>
      <c r="BVP62" s="212"/>
      <c r="BVQ62" s="212"/>
      <c r="BVR62" s="212"/>
      <c r="BVS62" s="212"/>
      <c r="BVT62" s="212"/>
      <c r="BVU62" s="212"/>
      <c r="BVV62" s="212"/>
      <c r="BVW62" s="212"/>
      <c r="BVX62" s="212"/>
      <c r="BVY62" s="212"/>
      <c r="BVZ62" s="212"/>
      <c r="BWA62" s="212"/>
      <c r="BWB62" s="212"/>
      <c r="BWC62" s="212"/>
      <c r="BWD62" s="212"/>
      <c r="BWE62" s="212"/>
      <c r="BWF62" s="212"/>
      <c r="BWG62" s="212"/>
      <c r="BWH62" s="212"/>
      <c r="BWI62" s="212"/>
      <c r="BWJ62" s="212"/>
      <c r="BWK62" s="212"/>
      <c r="BWL62" s="212"/>
      <c r="BWM62" s="212"/>
      <c r="BWN62" s="212"/>
      <c r="BWO62" s="212"/>
      <c r="BWP62" s="212"/>
      <c r="BWQ62" s="212"/>
      <c r="BWR62" s="212"/>
      <c r="BWS62" s="212"/>
      <c r="BWT62" s="212"/>
      <c r="BWU62" s="212"/>
      <c r="BWV62" s="212"/>
      <c r="BWW62" s="212"/>
      <c r="BWX62" s="212"/>
      <c r="BWY62" s="212"/>
      <c r="BWZ62" s="212"/>
      <c r="BXA62" s="212"/>
      <c r="BXB62" s="212"/>
      <c r="BXC62" s="212"/>
      <c r="BXD62" s="212"/>
      <c r="BXE62" s="212"/>
      <c r="BXF62" s="212"/>
      <c r="BXG62" s="212"/>
      <c r="BXH62" s="212"/>
      <c r="BXI62" s="212"/>
      <c r="BXJ62" s="212"/>
      <c r="BXK62" s="212"/>
      <c r="BXL62" s="212"/>
      <c r="BXM62" s="212"/>
      <c r="BXN62" s="212"/>
      <c r="BXO62" s="212"/>
      <c r="BXP62" s="212"/>
      <c r="BXQ62" s="212"/>
      <c r="BXR62" s="212"/>
      <c r="BXS62" s="212"/>
      <c r="BXT62" s="212"/>
      <c r="BXU62" s="212"/>
      <c r="BXV62" s="212"/>
      <c r="BXW62" s="212"/>
      <c r="BXX62" s="212"/>
      <c r="BXY62" s="212"/>
      <c r="BXZ62" s="212"/>
      <c r="BYA62" s="212"/>
      <c r="BYB62" s="212"/>
      <c r="BYC62" s="212"/>
      <c r="BYD62" s="212"/>
      <c r="BYE62" s="212"/>
      <c r="BYF62" s="212"/>
      <c r="BYG62" s="212"/>
    </row>
    <row r="63" spans="1:2009" s="96" customFormat="1" ht="10.5" customHeight="1" x14ac:dyDescent="0.25">
      <c r="A63" s="122"/>
      <c r="B63" s="122"/>
      <c r="C63" s="204"/>
      <c r="D63" s="204"/>
      <c r="E63" s="204"/>
      <c r="F63" s="204"/>
      <c r="G63" s="20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96" customFormat="1" ht="10.5" customHeight="1" x14ac:dyDescent="0.25">
      <c r="A64" s="122"/>
      <c r="B64" s="122"/>
      <c r="C64" s="204"/>
      <c r="D64" s="204"/>
      <c r="E64" s="204"/>
      <c r="F64" s="204"/>
      <c r="G64" s="20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96" customFormat="1" ht="10.5" customHeight="1" x14ac:dyDescent="0.25">
      <c r="A65" s="122"/>
      <c r="B65" s="122"/>
      <c r="C65" s="204"/>
      <c r="D65" s="204"/>
      <c r="E65" s="204"/>
      <c r="F65" s="204"/>
      <c r="G65" s="20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c r="AHA65" s="95"/>
      <c r="AHB65" s="95"/>
      <c r="AHC65" s="95"/>
      <c r="AHD65" s="95"/>
      <c r="AHE65" s="95"/>
      <c r="AHF65" s="95"/>
      <c r="AHG65" s="95"/>
      <c r="AHH65" s="95"/>
      <c r="AHI65" s="95"/>
      <c r="AHJ65" s="95"/>
      <c r="AHK65" s="95"/>
      <c r="AHL65" s="95"/>
      <c r="AHM65" s="95"/>
      <c r="AHN65" s="95"/>
      <c r="AHO65" s="95"/>
      <c r="AHP65" s="95"/>
      <c r="AHQ65" s="95"/>
      <c r="AHR65" s="95"/>
      <c r="AHS65" s="95"/>
      <c r="AHT65" s="95"/>
      <c r="AHU65" s="95"/>
      <c r="AHV65" s="95"/>
      <c r="AHW65" s="95"/>
      <c r="AHX65" s="95"/>
      <c r="AHY65" s="95"/>
      <c r="AHZ65" s="95"/>
      <c r="AIA65" s="95"/>
      <c r="AIB65" s="95"/>
      <c r="AIC65" s="95"/>
      <c r="AID65" s="95"/>
      <c r="AIE65" s="95"/>
      <c r="AIF65" s="95"/>
      <c r="AIG65" s="95"/>
      <c r="AIH65" s="95"/>
      <c r="AII65" s="95"/>
      <c r="AIJ65" s="95"/>
      <c r="AIK65" s="95"/>
      <c r="AIL65" s="95"/>
      <c r="AIM65" s="95"/>
      <c r="AIN65" s="95"/>
      <c r="AIO65" s="95"/>
      <c r="AIP65" s="95"/>
      <c r="AIQ65" s="95"/>
      <c r="AIR65" s="95"/>
      <c r="AIS65" s="95"/>
      <c r="AIT65" s="95"/>
      <c r="AIU65" s="95"/>
      <c r="AIV65" s="95"/>
      <c r="AIW65" s="95"/>
      <c r="AIX65" s="95"/>
      <c r="AIY65" s="95"/>
      <c r="AIZ65" s="95"/>
      <c r="AJA65" s="95"/>
      <c r="AJB65" s="95"/>
      <c r="AJC65" s="95"/>
      <c r="AJD65" s="95"/>
      <c r="AJE65" s="95"/>
      <c r="AJF65" s="95"/>
      <c r="AJG65" s="95"/>
      <c r="AJH65" s="95"/>
      <c r="AJI65" s="95"/>
      <c r="AJJ65" s="95"/>
      <c r="AJK65" s="95"/>
      <c r="AJL65" s="95"/>
      <c r="AJM65" s="95"/>
      <c r="AJN65" s="95"/>
      <c r="AJO65" s="95"/>
      <c r="AJP65" s="95"/>
      <c r="AJQ65" s="95"/>
      <c r="AJR65" s="95"/>
      <c r="AJS65" s="95"/>
      <c r="AJT65" s="95"/>
      <c r="AJU65" s="95"/>
      <c r="AJV65" s="95"/>
      <c r="AJW65" s="95"/>
      <c r="AJX65" s="95"/>
      <c r="AJY65" s="95"/>
      <c r="AJZ65" s="95"/>
      <c r="AKA65" s="95"/>
      <c r="AKB65" s="95"/>
      <c r="AKC65" s="95"/>
      <c r="AKD65" s="95"/>
      <c r="AKE65" s="95"/>
      <c r="AKF65" s="95"/>
      <c r="AKG65" s="95"/>
      <c r="AKH65" s="95"/>
      <c r="AKI65" s="95"/>
      <c r="AKJ65" s="95"/>
      <c r="AKK65" s="95"/>
      <c r="AKL65" s="95"/>
      <c r="AKM65" s="95"/>
      <c r="AKN65" s="95"/>
      <c r="AKO65" s="95"/>
      <c r="AKP65" s="95"/>
      <c r="AKQ65" s="95"/>
      <c r="AKR65" s="95"/>
      <c r="AKS65" s="95"/>
      <c r="AKT65" s="95"/>
      <c r="AKU65" s="95"/>
      <c r="AKV65" s="95"/>
      <c r="AKW65" s="95"/>
      <c r="AKX65" s="95"/>
      <c r="AKY65" s="95"/>
      <c r="AKZ65" s="95"/>
      <c r="ALA65" s="95"/>
      <c r="ALB65" s="95"/>
      <c r="ALC65" s="95"/>
      <c r="ALD65" s="95"/>
      <c r="ALE65" s="95"/>
      <c r="ALF65" s="95"/>
      <c r="ALG65" s="95"/>
      <c r="ALH65" s="95"/>
      <c r="ALI65" s="95"/>
      <c r="ALJ65" s="95"/>
      <c r="ALK65" s="95"/>
      <c r="ALL65" s="95"/>
      <c r="ALM65" s="95"/>
      <c r="ALN65" s="95"/>
      <c r="ALO65" s="95"/>
      <c r="ALP65" s="95"/>
      <c r="ALQ65" s="95"/>
      <c r="ALR65" s="95"/>
      <c r="ALS65" s="95"/>
      <c r="ALT65" s="95"/>
      <c r="ALU65" s="95"/>
      <c r="ALV65" s="95"/>
      <c r="ALW65" s="95"/>
      <c r="ALX65" s="95"/>
      <c r="ALY65" s="95"/>
      <c r="ALZ65" s="95"/>
      <c r="AMA65" s="95"/>
      <c r="AMB65" s="95"/>
      <c r="AMC65" s="95"/>
      <c r="AMD65" s="95"/>
      <c r="AME65" s="95"/>
      <c r="AMF65" s="95"/>
      <c r="AMG65" s="95"/>
      <c r="AMH65" s="95"/>
      <c r="AMI65" s="95"/>
      <c r="AMJ65" s="95"/>
      <c r="AMK65" s="95"/>
      <c r="AML65" s="95"/>
      <c r="AMM65" s="95"/>
      <c r="AMN65" s="95"/>
      <c r="AMO65" s="95"/>
      <c r="AMP65" s="95"/>
      <c r="AMQ65" s="95"/>
      <c r="AMR65" s="95"/>
      <c r="AMS65" s="95"/>
      <c r="AMT65" s="95"/>
      <c r="AMU65" s="95"/>
      <c r="AMV65" s="95"/>
      <c r="AMW65" s="95"/>
      <c r="AMX65" s="95"/>
      <c r="AMY65" s="95"/>
      <c r="AMZ65" s="95"/>
      <c r="ANA65" s="95"/>
      <c r="ANB65" s="95"/>
      <c r="ANC65" s="95"/>
      <c r="AND65" s="95"/>
      <c r="ANE65" s="95"/>
      <c r="ANF65" s="95"/>
      <c r="ANG65" s="95"/>
      <c r="ANH65" s="95"/>
      <c r="ANI65" s="95"/>
      <c r="ANJ65" s="95"/>
      <c r="ANK65" s="95"/>
      <c r="ANL65" s="95"/>
      <c r="ANM65" s="95"/>
      <c r="ANN65" s="95"/>
      <c r="ANO65" s="95"/>
      <c r="ANP65" s="95"/>
      <c r="ANQ65" s="95"/>
      <c r="ANR65" s="95"/>
      <c r="ANS65" s="95"/>
      <c r="ANT65" s="95"/>
      <c r="ANU65" s="95"/>
      <c r="ANV65" s="95"/>
      <c r="ANW65" s="95"/>
      <c r="ANX65" s="95"/>
      <c r="ANY65" s="95"/>
      <c r="ANZ65" s="95"/>
      <c r="AOA65" s="95"/>
      <c r="AOB65" s="95"/>
      <c r="AOC65" s="95"/>
      <c r="AOD65" s="95"/>
      <c r="AOE65" s="95"/>
      <c r="AOF65" s="95"/>
      <c r="AOG65" s="95"/>
      <c r="AOH65" s="95"/>
      <c r="AOI65" s="95"/>
      <c r="AOJ65" s="95"/>
      <c r="AOK65" s="95"/>
      <c r="AOL65" s="95"/>
      <c r="AOM65" s="95"/>
      <c r="AON65" s="95"/>
      <c r="AOO65" s="95"/>
      <c r="AOP65" s="95"/>
      <c r="AOQ65" s="95"/>
      <c r="AOR65" s="95"/>
      <c r="AOS65" s="95"/>
      <c r="AOT65" s="95"/>
      <c r="AOU65" s="95"/>
      <c r="AOV65" s="95"/>
      <c r="AOW65" s="95"/>
      <c r="AOX65" s="95"/>
      <c r="AOY65" s="95"/>
      <c r="AOZ65" s="95"/>
      <c r="APA65" s="95"/>
      <c r="APB65" s="95"/>
      <c r="APC65" s="95"/>
      <c r="APD65" s="95"/>
      <c r="APE65" s="95"/>
      <c r="APF65" s="95"/>
      <c r="APG65" s="95"/>
      <c r="APH65" s="95"/>
      <c r="API65" s="95"/>
      <c r="APJ65" s="95"/>
      <c r="APK65" s="95"/>
      <c r="APL65" s="95"/>
      <c r="APM65" s="95"/>
      <c r="APN65" s="95"/>
      <c r="APO65" s="95"/>
      <c r="APP65" s="95"/>
      <c r="APQ65" s="95"/>
      <c r="APR65" s="95"/>
      <c r="APS65" s="95"/>
      <c r="APT65" s="95"/>
      <c r="APU65" s="95"/>
      <c r="APV65" s="95"/>
      <c r="APW65" s="95"/>
      <c r="APX65" s="95"/>
      <c r="APY65" s="95"/>
      <c r="APZ65" s="95"/>
      <c r="AQA65" s="95"/>
      <c r="AQB65" s="95"/>
      <c r="AQC65" s="95"/>
      <c r="AQD65" s="95"/>
      <c r="AQE65" s="95"/>
      <c r="AQF65" s="95"/>
      <c r="AQG65" s="95"/>
      <c r="AQH65" s="95"/>
      <c r="AQI65" s="95"/>
      <c r="AQJ65" s="95"/>
      <c r="AQK65" s="95"/>
      <c r="AQL65" s="95"/>
      <c r="AQM65" s="95"/>
      <c r="AQN65" s="95"/>
      <c r="AQO65" s="95"/>
      <c r="AQP65" s="95"/>
      <c r="AQQ65" s="95"/>
      <c r="AQR65" s="95"/>
      <c r="AQS65" s="95"/>
      <c r="AQT65" s="95"/>
      <c r="AQU65" s="95"/>
      <c r="AQV65" s="95"/>
      <c r="AQW65" s="95"/>
      <c r="AQX65" s="95"/>
      <c r="AQY65" s="95"/>
      <c r="AQZ65" s="95"/>
      <c r="ARA65" s="95"/>
      <c r="ARB65" s="95"/>
      <c r="ARC65" s="95"/>
      <c r="ARD65" s="95"/>
      <c r="ARE65" s="95"/>
      <c r="ARF65" s="95"/>
      <c r="ARG65" s="95"/>
      <c r="ARH65" s="95"/>
      <c r="ARI65" s="95"/>
      <c r="ARJ65" s="95"/>
      <c r="ARK65" s="95"/>
      <c r="ARL65" s="95"/>
      <c r="ARM65" s="95"/>
      <c r="ARN65" s="95"/>
      <c r="ARO65" s="95"/>
      <c r="ARP65" s="95"/>
      <c r="ARQ65" s="95"/>
      <c r="ARR65" s="95"/>
      <c r="ARS65" s="95"/>
      <c r="ART65" s="95"/>
      <c r="ARU65" s="95"/>
      <c r="ARV65" s="95"/>
      <c r="ARW65" s="95"/>
      <c r="ARX65" s="95"/>
      <c r="ARY65" s="95"/>
      <c r="ARZ65" s="95"/>
      <c r="ASA65" s="95"/>
      <c r="ASB65" s="95"/>
      <c r="ASC65" s="95"/>
      <c r="ASD65" s="95"/>
      <c r="ASE65" s="95"/>
      <c r="ASF65" s="95"/>
      <c r="ASG65" s="95"/>
      <c r="ASH65" s="95"/>
      <c r="ASI65" s="95"/>
      <c r="ASJ65" s="95"/>
      <c r="ASK65" s="95"/>
      <c r="ASL65" s="95"/>
      <c r="ASM65" s="95"/>
      <c r="ASN65" s="95"/>
      <c r="ASO65" s="95"/>
      <c r="ASP65" s="95"/>
      <c r="ASQ65" s="95"/>
      <c r="ASR65" s="95"/>
      <c r="ASS65" s="95"/>
      <c r="AST65" s="95"/>
      <c r="ASU65" s="95"/>
      <c r="ASV65" s="95"/>
      <c r="ASW65" s="95"/>
      <c r="ASX65" s="95"/>
      <c r="ASY65" s="95"/>
      <c r="ASZ65" s="95"/>
      <c r="ATA65" s="95"/>
      <c r="ATB65" s="95"/>
      <c r="ATC65" s="95"/>
      <c r="ATD65" s="95"/>
      <c r="ATE65" s="95"/>
      <c r="ATF65" s="95"/>
      <c r="ATG65" s="95"/>
      <c r="ATH65" s="95"/>
      <c r="ATI65" s="95"/>
      <c r="ATJ65" s="95"/>
      <c r="ATK65" s="95"/>
      <c r="ATL65" s="95"/>
      <c r="ATM65" s="95"/>
      <c r="ATN65" s="95"/>
      <c r="ATO65" s="95"/>
      <c r="ATP65" s="95"/>
      <c r="ATQ65" s="95"/>
      <c r="ATR65" s="95"/>
      <c r="ATS65" s="95"/>
      <c r="ATT65" s="95"/>
      <c r="ATU65" s="95"/>
      <c r="ATV65" s="95"/>
      <c r="ATW65" s="95"/>
      <c r="ATX65" s="95"/>
      <c r="ATY65" s="95"/>
      <c r="ATZ65" s="95"/>
      <c r="AUA65" s="95"/>
      <c r="AUB65" s="95"/>
      <c r="AUC65" s="95"/>
      <c r="AUD65" s="95"/>
      <c r="AUE65" s="95"/>
      <c r="AUF65" s="95"/>
      <c r="AUG65" s="95"/>
      <c r="AUH65" s="95"/>
      <c r="AUI65" s="95"/>
      <c r="AUJ65" s="95"/>
      <c r="AUK65" s="95"/>
      <c r="AUL65" s="95"/>
      <c r="AUM65" s="95"/>
      <c r="AUN65" s="95"/>
      <c r="AUO65" s="95"/>
      <c r="AUP65" s="95"/>
      <c r="AUQ65" s="95"/>
      <c r="AUR65" s="95"/>
      <c r="AUS65" s="95"/>
      <c r="AUT65" s="95"/>
      <c r="AUU65" s="95"/>
      <c r="AUV65" s="95"/>
      <c r="AUW65" s="95"/>
      <c r="AUX65" s="95"/>
      <c r="AUY65" s="95"/>
      <c r="AUZ65" s="95"/>
      <c r="AVA65" s="95"/>
      <c r="AVB65" s="95"/>
      <c r="AVC65" s="95"/>
      <c r="AVD65" s="95"/>
      <c r="AVE65" s="95"/>
      <c r="AVF65" s="95"/>
      <c r="AVG65" s="95"/>
      <c r="AVH65" s="95"/>
      <c r="AVI65" s="95"/>
      <c r="AVJ65" s="95"/>
      <c r="AVK65" s="95"/>
      <c r="AVL65" s="95"/>
      <c r="AVM65" s="95"/>
      <c r="AVN65" s="95"/>
      <c r="AVO65" s="95"/>
      <c r="AVP65" s="95"/>
      <c r="AVQ65" s="95"/>
      <c r="AVR65" s="95"/>
      <c r="AVS65" s="95"/>
      <c r="AVT65" s="95"/>
      <c r="AVU65" s="95"/>
      <c r="AVV65" s="95"/>
      <c r="AVW65" s="95"/>
      <c r="AVX65" s="95"/>
      <c r="AVY65" s="95"/>
      <c r="AVZ65" s="95"/>
      <c r="AWA65" s="95"/>
      <c r="AWB65" s="95"/>
      <c r="AWC65" s="95"/>
      <c r="AWD65" s="95"/>
      <c r="AWE65" s="95"/>
      <c r="AWF65" s="95"/>
      <c r="AWG65" s="95"/>
      <c r="AWH65" s="95"/>
      <c r="AWI65" s="95"/>
      <c r="AWJ65" s="95"/>
      <c r="AWK65" s="95"/>
      <c r="AWL65" s="95"/>
      <c r="AWM65" s="95"/>
      <c r="AWN65" s="95"/>
      <c r="AWO65" s="95"/>
      <c r="AWP65" s="95"/>
      <c r="AWQ65" s="95"/>
      <c r="AWR65" s="95"/>
      <c r="AWS65" s="95"/>
      <c r="AWT65" s="95"/>
      <c r="AWU65" s="95"/>
      <c r="AWV65" s="95"/>
      <c r="AWW65" s="95"/>
      <c r="AWX65" s="95"/>
      <c r="AWY65" s="95"/>
      <c r="AWZ65" s="95"/>
      <c r="AXA65" s="95"/>
      <c r="AXB65" s="95"/>
      <c r="AXC65" s="95"/>
      <c r="AXD65" s="95"/>
      <c r="AXE65" s="95"/>
      <c r="AXF65" s="95"/>
      <c r="AXG65" s="95"/>
      <c r="AXH65" s="95"/>
      <c r="AXI65" s="95"/>
      <c r="AXJ65" s="95"/>
      <c r="AXK65" s="95"/>
      <c r="AXL65" s="95"/>
      <c r="AXM65" s="95"/>
      <c r="AXN65" s="95"/>
      <c r="AXO65" s="95"/>
      <c r="AXP65" s="95"/>
      <c r="AXQ65" s="95"/>
      <c r="AXR65" s="95"/>
      <c r="AXS65" s="95"/>
      <c r="AXT65" s="95"/>
      <c r="AXU65" s="95"/>
      <c r="AXV65" s="95"/>
      <c r="AXW65" s="95"/>
      <c r="AXX65" s="95"/>
      <c r="AXY65" s="95"/>
      <c r="AXZ65" s="95"/>
      <c r="AYA65" s="95"/>
      <c r="AYB65" s="95"/>
      <c r="AYC65" s="95"/>
      <c r="AYD65" s="95"/>
      <c r="AYE65" s="95"/>
      <c r="AYF65" s="95"/>
      <c r="AYG65" s="95"/>
      <c r="AYH65" s="95"/>
      <c r="AYI65" s="95"/>
      <c r="AYJ65" s="95"/>
      <c r="AYK65" s="95"/>
      <c r="AYL65" s="95"/>
      <c r="AYM65" s="95"/>
      <c r="AYN65" s="95"/>
      <c r="AYO65" s="95"/>
      <c r="AYP65" s="95"/>
      <c r="AYQ65" s="95"/>
      <c r="AYR65" s="95"/>
      <c r="AYS65" s="95"/>
      <c r="AYT65" s="95"/>
      <c r="AYU65" s="95"/>
      <c r="AYV65" s="95"/>
      <c r="AYW65" s="95"/>
      <c r="AYX65" s="95"/>
      <c r="AYY65" s="95"/>
      <c r="AYZ65" s="95"/>
      <c r="AZA65" s="95"/>
      <c r="AZB65" s="95"/>
      <c r="AZC65" s="95"/>
      <c r="AZD65" s="95"/>
      <c r="AZE65" s="95"/>
      <c r="AZF65" s="95"/>
      <c r="AZG65" s="95"/>
      <c r="AZH65" s="95"/>
      <c r="AZI65" s="95"/>
      <c r="AZJ65" s="95"/>
      <c r="AZK65" s="95"/>
      <c r="AZL65" s="95"/>
      <c r="AZM65" s="95"/>
      <c r="AZN65" s="95"/>
      <c r="AZO65" s="95"/>
      <c r="AZP65" s="95"/>
      <c r="AZQ65" s="95"/>
      <c r="AZR65" s="95"/>
      <c r="AZS65" s="95"/>
      <c r="AZT65" s="95"/>
      <c r="AZU65" s="95"/>
      <c r="AZV65" s="95"/>
      <c r="AZW65" s="95"/>
      <c r="AZX65" s="95"/>
      <c r="AZY65" s="95"/>
      <c r="AZZ65" s="95"/>
      <c r="BAA65" s="95"/>
      <c r="BAB65" s="95"/>
      <c r="BAC65" s="95"/>
      <c r="BAD65" s="95"/>
      <c r="BAE65" s="95"/>
      <c r="BAF65" s="95"/>
      <c r="BAG65" s="95"/>
      <c r="BAH65" s="95"/>
      <c r="BAI65" s="95"/>
      <c r="BAJ65" s="95"/>
      <c r="BAK65" s="95"/>
      <c r="BAL65" s="95"/>
      <c r="BAM65" s="95"/>
      <c r="BAN65" s="95"/>
      <c r="BAO65" s="95"/>
      <c r="BAP65" s="95"/>
      <c r="BAQ65" s="95"/>
      <c r="BAR65" s="95"/>
      <c r="BAS65" s="95"/>
      <c r="BAT65" s="95"/>
      <c r="BAU65" s="95"/>
      <c r="BAV65" s="95"/>
      <c r="BAW65" s="95"/>
      <c r="BAX65" s="95"/>
      <c r="BAY65" s="95"/>
      <c r="BAZ65" s="95"/>
      <c r="BBA65" s="95"/>
      <c r="BBB65" s="95"/>
      <c r="BBC65" s="95"/>
      <c r="BBD65" s="95"/>
      <c r="BBE65" s="95"/>
      <c r="BBF65" s="95"/>
      <c r="BBG65" s="95"/>
      <c r="BBH65" s="95"/>
      <c r="BBI65" s="95"/>
      <c r="BBJ65" s="95"/>
      <c r="BBK65" s="95"/>
      <c r="BBL65" s="95"/>
      <c r="BBM65" s="95"/>
      <c r="BBN65" s="95"/>
      <c r="BBO65" s="95"/>
      <c r="BBP65" s="95"/>
      <c r="BBQ65" s="95"/>
      <c r="BBR65" s="95"/>
      <c r="BBS65" s="95"/>
      <c r="BBT65" s="95"/>
      <c r="BBU65" s="95"/>
      <c r="BBV65" s="95"/>
      <c r="BBW65" s="95"/>
      <c r="BBX65" s="95"/>
      <c r="BBY65" s="95"/>
      <c r="BBZ65" s="95"/>
      <c r="BCA65" s="95"/>
      <c r="BCB65" s="95"/>
      <c r="BCC65" s="95"/>
      <c r="BCD65" s="95"/>
      <c r="BCE65" s="95"/>
      <c r="BCF65" s="95"/>
      <c r="BCG65" s="95"/>
      <c r="BCH65" s="95"/>
      <c r="BCI65" s="95"/>
      <c r="BCJ65" s="95"/>
      <c r="BCK65" s="95"/>
      <c r="BCL65" s="95"/>
      <c r="BCM65" s="95"/>
      <c r="BCN65" s="95"/>
      <c r="BCO65" s="95"/>
      <c r="BCP65" s="95"/>
      <c r="BCQ65" s="95"/>
      <c r="BCR65" s="95"/>
      <c r="BCS65" s="95"/>
      <c r="BCT65" s="95"/>
      <c r="BCU65" s="95"/>
      <c r="BCV65" s="95"/>
      <c r="BCW65" s="95"/>
      <c r="BCX65" s="95"/>
      <c r="BCY65" s="95"/>
      <c r="BCZ65" s="95"/>
      <c r="BDA65" s="95"/>
      <c r="BDB65" s="95"/>
      <c r="BDC65" s="95"/>
      <c r="BDD65" s="95"/>
      <c r="BDE65" s="95"/>
      <c r="BDF65" s="95"/>
      <c r="BDG65" s="95"/>
      <c r="BDH65" s="95"/>
      <c r="BDI65" s="95"/>
      <c r="BDJ65" s="95"/>
      <c r="BDK65" s="95"/>
      <c r="BDL65" s="95"/>
      <c r="BDM65" s="95"/>
      <c r="BDN65" s="95"/>
      <c r="BDO65" s="95"/>
      <c r="BDP65" s="95"/>
      <c r="BDQ65" s="95"/>
      <c r="BDR65" s="95"/>
      <c r="BDS65" s="95"/>
      <c r="BDT65" s="95"/>
      <c r="BDU65" s="95"/>
      <c r="BDV65" s="95"/>
      <c r="BDW65" s="95"/>
      <c r="BDX65" s="95"/>
      <c r="BDY65" s="95"/>
      <c r="BDZ65" s="95"/>
      <c r="BEA65" s="95"/>
      <c r="BEB65" s="95"/>
      <c r="BEC65" s="95"/>
      <c r="BED65" s="95"/>
      <c r="BEE65" s="95"/>
      <c r="BEF65" s="95"/>
      <c r="BEG65" s="95"/>
      <c r="BEH65" s="95"/>
      <c r="BEI65" s="95"/>
      <c r="BEJ65" s="95"/>
      <c r="BEK65" s="95"/>
      <c r="BEL65" s="95"/>
      <c r="BEM65" s="95"/>
      <c r="BEN65" s="95"/>
      <c r="BEO65" s="95"/>
      <c r="BEP65" s="95"/>
      <c r="BEQ65" s="95"/>
      <c r="BER65" s="95"/>
      <c r="BES65" s="95"/>
      <c r="BET65" s="95"/>
      <c r="BEU65" s="95"/>
      <c r="BEV65" s="95"/>
      <c r="BEW65" s="95"/>
      <c r="BEX65" s="95"/>
      <c r="BEY65" s="95"/>
      <c r="BEZ65" s="95"/>
      <c r="BFA65" s="95"/>
      <c r="BFB65" s="95"/>
      <c r="BFC65" s="95"/>
      <c r="BFD65" s="95"/>
      <c r="BFE65" s="95"/>
      <c r="BFF65" s="95"/>
      <c r="BFG65" s="95"/>
      <c r="BFH65" s="95"/>
      <c r="BFI65" s="95"/>
      <c r="BFJ65" s="95"/>
      <c r="BFK65" s="95"/>
      <c r="BFL65" s="95"/>
      <c r="BFM65" s="95"/>
      <c r="BFN65" s="95"/>
      <c r="BFO65" s="95"/>
      <c r="BFP65" s="95"/>
      <c r="BFQ65" s="95"/>
      <c r="BFR65" s="95"/>
      <c r="BFS65" s="95"/>
      <c r="BFT65" s="95"/>
      <c r="BFU65" s="95"/>
      <c r="BFV65" s="95"/>
      <c r="BFW65" s="95"/>
      <c r="BFX65" s="95"/>
      <c r="BFY65" s="95"/>
      <c r="BFZ65" s="95"/>
      <c r="BGA65" s="95"/>
      <c r="BGB65" s="95"/>
      <c r="BGC65" s="95"/>
      <c r="BGD65" s="95"/>
      <c r="BGE65" s="95"/>
      <c r="BGF65" s="95"/>
      <c r="BGG65" s="95"/>
      <c r="BGH65" s="95"/>
      <c r="BGI65" s="95"/>
      <c r="BGJ65" s="95"/>
      <c r="BGK65" s="95"/>
      <c r="BGL65" s="95"/>
      <c r="BGM65" s="95"/>
      <c r="BGN65" s="95"/>
      <c r="BGO65" s="95"/>
      <c r="BGP65" s="95"/>
      <c r="BGQ65" s="95"/>
      <c r="BGR65" s="95"/>
      <c r="BGS65" s="95"/>
      <c r="BGT65" s="95"/>
      <c r="BGU65" s="95"/>
      <c r="BGV65" s="95"/>
      <c r="BGW65" s="95"/>
      <c r="BGX65" s="95"/>
      <c r="BGY65" s="95"/>
      <c r="BGZ65" s="95"/>
      <c r="BHA65" s="95"/>
      <c r="BHB65" s="95"/>
      <c r="BHC65" s="95"/>
      <c r="BHD65" s="95"/>
      <c r="BHE65" s="95"/>
      <c r="BHF65" s="95"/>
      <c r="BHG65" s="95"/>
      <c r="BHH65" s="95"/>
      <c r="BHI65" s="95"/>
      <c r="BHJ65" s="95"/>
      <c r="BHK65" s="95"/>
      <c r="BHL65" s="95"/>
      <c r="BHM65" s="95"/>
      <c r="BHN65" s="95"/>
      <c r="BHO65" s="95"/>
      <c r="BHP65" s="95"/>
      <c r="BHQ65" s="95"/>
      <c r="BHR65" s="95"/>
      <c r="BHS65" s="95"/>
      <c r="BHT65" s="95"/>
      <c r="BHU65" s="95"/>
      <c r="BHV65" s="95"/>
      <c r="BHW65" s="95"/>
      <c r="BHX65" s="95"/>
      <c r="BHY65" s="95"/>
      <c r="BHZ65" s="95"/>
      <c r="BIA65" s="95"/>
      <c r="BIB65" s="95"/>
      <c r="BIC65" s="95"/>
      <c r="BID65" s="95"/>
      <c r="BIE65" s="95"/>
      <c r="BIF65" s="95"/>
      <c r="BIG65" s="95"/>
      <c r="BIH65" s="95"/>
      <c r="BII65" s="95"/>
      <c r="BIJ65" s="95"/>
      <c r="BIK65" s="95"/>
      <c r="BIL65" s="95"/>
      <c r="BIM65" s="95"/>
      <c r="BIN65" s="95"/>
      <c r="BIO65" s="95"/>
      <c r="BIP65" s="95"/>
      <c r="BIQ65" s="95"/>
      <c r="BIR65" s="95"/>
      <c r="BIS65" s="95"/>
      <c r="BIT65" s="95"/>
      <c r="BIU65" s="95"/>
      <c r="BIV65" s="95"/>
      <c r="BIW65" s="95"/>
      <c r="BIX65" s="95"/>
      <c r="BIY65" s="95"/>
      <c r="BIZ65" s="95"/>
      <c r="BJA65" s="95"/>
      <c r="BJB65" s="95"/>
      <c r="BJC65" s="95"/>
      <c r="BJD65" s="95"/>
      <c r="BJE65" s="95"/>
      <c r="BJF65" s="95"/>
      <c r="BJG65" s="95"/>
      <c r="BJH65" s="95"/>
      <c r="BJI65" s="95"/>
      <c r="BJJ65" s="95"/>
      <c r="BJK65" s="95"/>
      <c r="BJL65" s="95"/>
      <c r="BJM65" s="95"/>
      <c r="BJN65" s="95"/>
      <c r="BJO65" s="95"/>
      <c r="BJP65" s="95"/>
      <c r="BJQ65" s="95"/>
      <c r="BJR65" s="95"/>
      <c r="BJS65" s="95"/>
      <c r="BJT65" s="95"/>
      <c r="BJU65" s="95"/>
      <c r="BJV65" s="95"/>
      <c r="BJW65" s="95"/>
      <c r="BJX65" s="95"/>
      <c r="BJY65" s="95"/>
      <c r="BJZ65" s="95"/>
      <c r="BKA65" s="95"/>
      <c r="BKB65" s="95"/>
      <c r="BKC65" s="95"/>
      <c r="BKD65" s="95"/>
      <c r="BKE65" s="95"/>
      <c r="BKF65" s="95"/>
      <c r="BKG65" s="95"/>
      <c r="BKH65" s="95"/>
      <c r="BKI65" s="95"/>
      <c r="BKJ65" s="95"/>
      <c r="BKK65" s="95"/>
      <c r="BKL65" s="95"/>
      <c r="BKM65" s="95"/>
      <c r="BKN65" s="95"/>
      <c r="BKO65" s="95"/>
      <c r="BKP65" s="95"/>
      <c r="BKQ65" s="95"/>
      <c r="BKR65" s="95"/>
      <c r="BKS65" s="95"/>
      <c r="BKT65" s="95"/>
      <c r="BKU65" s="95"/>
      <c r="BKV65" s="95"/>
      <c r="BKW65" s="95"/>
      <c r="BKX65" s="95"/>
      <c r="BKY65" s="95"/>
      <c r="BKZ65" s="95"/>
      <c r="BLA65" s="95"/>
      <c r="BLB65" s="95"/>
      <c r="BLC65" s="95"/>
      <c r="BLD65" s="95"/>
      <c r="BLE65" s="95"/>
      <c r="BLF65" s="95"/>
      <c r="BLG65" s="95"/>
      <c r="BLH65" s="95"/>
      <c r="BLI65" s="95"/>
      <c r="BLJ65" s="95"/>
      <c r="BLK65" s="95"/>
      <c r="BLL65" s="95"/>
      <c r="BLM65" s="95"/>
      <c r="BLN65" s="95"/>
      <c r="BLO65" s="95"/>
      <c r="BLP65" s="95"/>
      <c r="BLQ65" s="95"/>
      <c r="BLR65" s="95"/>
      <c r="BLS65" s="95"/>
      <c r="BLT65" s="95"/>
      <c r="BLU65" s="95"/>
      <c r="BLV65" s="95"/>
      <c r="BLW65" s="95"/>
      <c r="BLX65" s="95"/>
      <c r="BLY65" s="95"/>
      <c r="BLZ65" s="95"/>
      <c r="BMA65" s="95"/>
      <c r="BMB65" s="95"/>
      <c r="BMC65" s="95"/>
      <c r="BMD65" s="95"/>
      <c r="BME65" s="95"/>
      <c r="BMF65" s="95"/>
      <c r="BMG65" s="95"/>
      <c r="BMH65" s="95"/>
      <c r="BMI65" s="95"/>
      <c r="BMJ65" s="95"/>
      <c r="BMK65" s="95"/>
      <c r="BML65" s="95"/>
      <c r="BMM65" s="95"/>
      <c r="BMN65" s="95"/>
      <c r="BMO65" s="95"/>
      <c r="BMP65" s="95"/>
      <c r="BMQ65" s="95"/>
      <c r="BMR65" s="95"/>
      <c r="BMS65" s="95"/>
      <c r="BMT65" s="95"/>
      <c r="BMU65" s="95"/>
      <c r="BMV65" s="95"/>
      <c r="BMW65" s="95"/>
      <c r="BMX65" s="95"/>
      <c r="BMY65" s="95"/>
      <c r="BMZ65" s="95"/>
      <c r="BNA65" s="95"/>
      <c r="BNB65" s="95"/>
      <c r="BNC65" s="95"/>
      <c r="BND65" s="95"/>
      <c r="BNE65" s="95"/>
      <c r="BNF65" s="95"/>
      <c r="BNG65" s="95"/>
      <c r="BNH65" s="95"/>
      <c r="BNI65" s="95"/>
      <c r="BNJ65" s="95"/>
      <c r="BNK65" s="95"/>
      <c r="BNL65" s="95"/>
      <c r="BNM65" s="95"/>
      <c r="BNN65" s="95"/>
      <c r="BNO65" s="95"/>
      <c r="BNP65" s="95"/>
      <c r="BNQ65" s="95"/>
      <c r="BNR65" s="95"/>
      <c r="BNS65" s="95"/>
      <c r="BNT65" s="95"/>
      <c r="BNU65" s="95"/>
      <c r="BNV65" s="95"/>
      <c r="BNW65" s="95"/>
      <c r="BNX65" s="95"/>
      <c r="BNY65" s="95"/>
      <c r="BNZ65" s="95"/>
      <c r="BOA65" s="95"/>
      <c r="BOB65" s="95"/>
      <c r="BOC65" s="95"/>
      <c r="BOD65" s="95"/>
      <c r="BOE65" s="95"/>
      <c r="BOF65" s="95"/>
      <c r="BOG65" s="95"/>
      <c r="BOH65" s="95"/>
      <c r="BOI65" s="95"/>
      <c r="BOJ65" s="95"/>
      <c r="BOK65" s="95"/>
      <c r="BOL65" s="95"/>
      <c r="BOM65" s="95"/>
      <c r="BON65" s="95"/>
      <c r="BOO65" s="95"/>
      <c r="BOP65" s="95"/>
      <c r="BOQ65" s="95"/>
      <c r="BOR65" s="95"/>
      <c r="BOS65" s="95"/>
      <c r="BOT65" s="95"/>
      <c r="BOU65" s="95"/>
      <c r="BOV65" s="95"/>
      <c r="BOW65" s="95"/>
      <c r="BOX65" s="95"/>
      <c r="BOY65" s="95"/>
      <c r="BOZ65" s="95"/>
      <c r="BPA65" s="95"/>
      <c r="BPB65" s="95"/>
      <c r="BPC65" s="95"/>
      <c r="BPD65" s="95"/>
      <c r="BPE65" s="95"/>
      <c r="BPF65" s="95"/>
      <c r="BPG65" s="95"/>
      <c r="BPH65" s="95"/>
      <c r="BPI65" s="95"/>
      <c r="BPJ65" s="95"/>
      <c r="BPK65" s="95"/>
      <c r="BPL65" s="95"/>
      <c r="BPM65" s="95"/>
      <c r="BPN65" s="95"/>
      <c r="BPO65" s="95"/>
      <c r="BPP65" s="95"/>
      <c r="BPQ65" s="95"/>
      <c r="BPR65" s="95"/>
      <c r="BPS65" s="95"/>
      <c r="BPT65" s="95"/>
      <c r="BPU65" s="95"/>
      <c r="BPV65" s="95"/>
      <c r="BPW65" s="95"/>
      <c r="BPX65" s="95"/>
      <c r="BPY65" s="95"/>
      <c r="BPZ65" s="95"/>
      <c r="BQA65" s="95"/>
      <c r="BQB65" s="95"/>
      <c r="BQC65" s="95"/>
      <c r="BQD65" s="95"/>
      <c r="BQE65" s="95"/>
      <c r="BQF65" s="95"/>
      <c r="BQG65" s="95"/>
      <c r="BQH65" s="95"/>
      <c r="BQI65" s="95"/>
      <c r="BQJ65" s="95"/>
      <c r="BQK65" s="95"/>
      <c r="BQL65" s="95"/>
      <c r="BQM65" s="95"/>
      <c r="BQN65" s="95"/>
      <c r="BQO65" s="95"/>
      <c r="BQP65" s="95"/>
      <c r="BQQ65" s="95"/>
      <c r="BQR65" s="95"/>
      <c r="BQS65" s="95"/>
      <c r="BQT65" s="95"/>
      <c r="BQU65" s="95"/>
      <c r="BQV65" s="95"/>
      <c r="BQW65" s="95"/>
      <c r="BQX65" s="95"/>
      <c r="BQY65" s="95"/>
      <c r="BQZ65" s="95"/>
      <c r="BRA65" s="95"/>
      <c r="BRB65" s="95"/>
      <c r="BRC65" s="95"/>
      <c r="BRD65" s="95"/>
      <c r="BRE65" s="95"/>
      <c r="BRF65" s="95"/>
      <c r="BRG65" s="95"/>
      <c r="BRH65" s="95"/>
      <c r="BRI65" s="95"/>
      <c r="BRJ65" s="95"/>
      <c r="BRK65" s="95"/>
      <c r="BRL65" s="95"/>
      <c r="BRM65" s="95"/>
      <c r="BRN65" s="95"/>
      <c r="BRO65" s="95"/>
      <c r="BRP65" s="95"/>
      <c r="BRQ65" s="95"/>
      <c r="BRR65" s="95"/>
      <c r="BRS65" s="95"/>
      <c r="BRT65" s="95"/>
      <c r="BRU65" s="95"/>
      <c r="BRV65" s="95"/>
      <c r="BRW65" s="95"/>
      <c r="BRX65" s="95"/>
      <c r="BRY65" s="95"/>
      <c r="BRZ65" s="95"/>
      <c r="BSA65" s="95"/>
      <c r="BSB65" s="95"/>
      <c r="BSC65" s="95"/>
      <c r="BSD65" s="95"/>
      <c r="BSE65" s="95"/>
      <c r="BSF65" s="95"/>
      <c r="BSG65" s="95"/>
      <c r="BSH65" s="95"/>
      <c r="BSI65" s="95"/>
      <c r="BSJ65" s="95"/>
      <c r="BSK65" s="95"/>
      <c r="BSL65" s="95"/>
      <c r="BSM65" s="95"/>
      <c r="BSN65" s="95"/>
      <c r="BSO65" s="95"/>
      <c r="BSP65" s="95"/>
      <c r="BSQ65" s="95"/>
      <c r="BSR65" s="95"/>
      <c r="BSS65" s="95"/>
      <c r="BST65" s="95"/>
      <c r="BSU65" s="95"/>
      <c r="BSV65" s="95"/>
      <c r="BSW65" s="95"/>
      <c r="BSX65" s="95"/>
      <c r="BSY65" s="95"/>
      <c r="BSZ65" s="95"/>
      <c r="BTA65" s="95"/>
      <c r="BTB65" s="95"/>
      <c r="BTC65" s="95"/>
      <c r="BTD65" s="95"/>
      <c r="BTE65" s="95"/>
      <c r="BTF65" s="95"/>
      <c r="BTG65" s="95"/>
      <c r="BTH65" s="95"/>
      <c r="BTI65" s="95"/>
      <c r="BTJ65" s="95"/>
      <c r="BTK65" s="95"/>
      <c r="BTL65" s="95"/>
      <c r="BTM65" s="95"/>
      <c r="BTN65" s="95"/>
      <c r="BTO65" s="95"/>
      <c r="BTP65" s="95"/>
      <c r="BTQ65" s="95"/>
      <c r="BTR65" s="95"/>
      <c r="BTS65" s="95"/>
      <c r="BTT65" s="95"/>
      <c r="BTU65" s="95"/>
      <c r="BTV65" s="95"/>
      <c r="BTW65" s="95"/>
      <c r="BTX65" s="95"/>
      <c r="BTY65" s="95"/>
      <c r="BTZ65" s="95"/>
      <c r="BUA65" s="95"/>
      <c r="BUB65" s="95"/>
      <c r="BUC65" s="95"/>
      <c r="BUD65" s="95"/>
      <c r="BUE65" s="95"/>
      <c r="BUF65" s="95"/>
      <c r="BUG65" s="95"/>
      <c r="BUH65" s="95"/>
      <c r="BUI65" s="95"/>
      <c r="BUJ65" s="95"/>
      <c r="BUK65" s="95"/>
      <c r="BUL65" s="95"/>
      <c r="BUM65" s="95"/>
      <c r="BUN65" s="95"/>
      <c r="BUO65" s="95"/>
      <c r="BUP65" s="95"/>
      <c r="BUQ65" s="95"/>
      <c r="BUR65" s="95"/>
      <c r="BUS65" s="95"/>
      <c r="BUT65" s="95"/>
      <c r="BUU65" s="95"/>
      <c r="BUV65" s="95"/>
      <c r="BUW65" s="95"/>
      <c r="BUX65" s="95"/>
      <c r="BUY65" s="95"/>
      <c r="BUZ65" s="95"/>
      <c r="BVA65" s="95"/>
      <c r="BVB65" s="95"/>
      <c r="BVC65" s="95"/>
      <c r="BVD65" s="95"/>
      <c r="BVE65" s="95"/>
      <c r="BVF65" s="95"/>
      <c r="BVG65" s="95"/>
      <c r="BVH65" s="95"/>
      <c r="BVI65" s="95"/>
      <c r="BVJ65" s="95"/>
      <c r="BVK65" s="95"/>
      <c r="BVL65" s="95"/>
      <c r="BVM65" s="95"/>
      <c r="BVN65" s="95"/>
      <c r="BVO65" s="95"/>
      <c r="BVP65" s="95"/>
      <c r="BVQ65" s="95"/>
      <c r="BVR65" s="95"/>
      <c r="BVS65" s="95"/>
      <c r="BVT65" s="95"/>
      <c r="BVU65" s="95"/>
      <c r="BVV65" s="95"/>
      <c r="BVW65" s="95"/>
      <c r="BVX65" s="95"/>
      <c r="BVY65" s="95"/>
      <c r="BVZ65" s="95"/>
      <c r="BWA65" s="95"/>
      <c r="BWB65" s="95"/>
      <c r="BWC65" s="95"/>
      <c r="BWD65" s="95"/>
      <c r="BWE65" s="95"/>
      <c r="BWF65" s="95"/>
      <c r="BWG65" s="95"/>
      <c r="BWH65" s="95"/>
      <c r="BWI65" s="95"/>
      <c r="BWJ65" s="95"/>
      <c r="BWK65" s="95"/>
      <c r="BWL65" s="95"/>
      <c r="BWM65" s="95"/>
      <c r="BWN65" s="95"/>
      <c r="BWO65" s="95"/>
      <c r="BWP65" s="95"/>
      <c r="BWQ65" s="95"/>
      <c r="BWR65" s="95"/>
      <c r="BWS65" s="95"/>
      <c r="BWT65" s="95"/>
      <c r="BWU65" s="95"/>
      <c r="BWV65" s="95"/>
      <c r="BWW65" s="95"/>
      <c r="BWX65" s="95"/>
      <c r="BWY65" s="95"/>
      <c r="BWZ65" s="95"/>
      <c r="BXA65" s="95"/>
      <c r="BXB65" s="95"/>
      <c r="BXC65" s="95"/>
      <c r="BXD65" s="95"/>
      <c r="BXE65" s="95"/>
      <c r="BXF65" s="95"/>
      <c r="BXG65" s="95"/>
      <c r="BXH65" s="95"/>
      <c r="BXI65" s="95"/>
      <c r="BXJ65" s="95"/>
      <c r="BXK65" s="95"/>
      <c r="BXL65" s="95"/>
      <c r="BXM65" s="95"/>
      <c r="BXN65" s="95"/>
      <c r="BXO65" s="95"/>
      <c r="BXP65" s="95"/>
      <c r="BXQ65" s="95"/>
      <c r="BXR65" s="95"/>
      <c r="BXS65" s="95"/>
      <c r="BXT65" s="95"/>
      <c r="BXU65" s="95"/>
      <c r="BXV65" s="95"/>
      <c r="BXW65" s="95"/>
      <c r="BXX65" s="95"/>
      <c r="BXY65" s="95"/>
      <c r="BXZ65" s="95"/>
      <c r="BYA65" s="95"/>
      <c r="BYB65" s="95"/>
      <c r="BYC65" s="95"/>
      <c r="BYD65" s="95"/>
      <c r="BYE65" s="95"/>
      <c r="BYF65" s="95"/>
      <c r="BYG65" s="95"/>
    </row>
    <row r="66" spans="1:2009" ht="15" customHeight="1" x14ac:dyDescent="0.25">
      <c r="A66" s="123"/>
      <c r="B66" s="345" t="s">
        <v>409</v>
      </c>
      <c r="C66" s="205"/>
      <c r="D66" s="205"/>
      <c r="E66" s="205"/>
      <c r="F66" s="205"/>
      <c r="G66" s="205"/>
    </row>
    <row r="67" spans="1:2009" ht="8.25" customHeight="1" x14ac:dyDescent="0.25">
      <c r="A67" s="123"/>
      <c r="B67" s="162"/>
      <c r="C67" s="205"/>
      <c r="D67" s="205"/>
      <c r="E67" s="205"/>
      <c r="F67" s="205"/>
      <c r="G67" s="205"/>
    </row>
    <row r="68" spans="1:2009" ht="14.25" customHeight="1" x14ac:dyDescent="0.25">
      <c r="A68" s="123"/>
      <c r="B68" s="656" t="s">
        <v>53</v>
      </c>
      <c r="C68" s="658">
        <v>3169.5</v>
      </c>
      <c r="D68" s="205"/>
      <c r="E68" s="205"/>
      <c r="F68" s="205"/>
      <c r="G68" s="205"/>
    </row>
    <row r="69" spans="1:2009" ht="14.25" customHeight="1" x14ac:dyDescent="0.25">
      <c r="A69" s="123"/>
      <c r="B69" s="656" t="s">
        <v>410</v>
      </c>
      <c r="C69" s="658">
        <v>31032.89</v>
      </c>
      <c r="D69" s="205"/>
      <c r="E69" s="205"/>
      <c r="F69" s="205"/>
      <c r="G69" s="205"/>
    </row>
    <row r="70" spans="1:2009" ht="14.25" customHeight="1" x14ac:dyDescent="0.25">
      <c r="A70" s="123"/>
      <c r="B70" s="656" t="s">
        <v>411</v>
      </c>
      <c r="C70" s="658">
        <v>21331.64</v>
      </c>
      <c r="D70" s="205"/>
      <c r="E70" s="205"/>
      <c r="F70" s="205"/>
      <c r="G70" s="205"/>
    </row>
    <row r="71" spans="1:2009" ht="14.25" customHeight="1" x14ac:dyDescent="0.25">
      <c r="A71" s="123"/>
      <c r="B71" s="656" t="s">
        <v>412</v>
      </c>
      <c r="C71" s="658">
        <v>268.43</v>
      </c>
      <c r="D71" s="205"/>
      <c r="E71" s="205"/>
      <c r="F71" s="205"/>
      <c r="G71" s="205"/>
    </row>
    <row r="72" spans="1:2009" ht="14.25" customHeight="1" x14ac:dyDescent="0.25">
      <c r="A72" s="123"/>
      <c r="B72" s="656" t="s">
        <v>413</v>
      </c>
      <c r="C72" s="658">
        <v>5673.83</v>
      </c>
      <c r="D72" s="205"/>
      <c r="E72" s="205"/>
      <c r="F72" s="205"/>
      <c r="G72" s="205"/>
    </row>
    <row r="73" spans="1:2009" ht="14.25" customHeight="1" x14ac:dyDescent="0.25">
      <c r="A73" s="123"/>
      <c r="B73" s="656" t="s">
        <v>414</v>
      </c>
      <c r="C73" s="658">
        <v>3373.58</v>
      </c>
      <c r="D73" s="205"/>
      <c r="E73" s="205"/>
      <c r="F73" s="205"/>
      <c r="G73" s="205"/>
    </row>
    <row r="74" spans="1:2009" ht="14.25" customHeight="1" x14ac:dyDescent="0.25">
      <c r="A74" s="123"/>
      <c r="B74" s="656" t="s">
        <v>415</v>
      </c>
      <c r="C74" s="658">
        <v>3458.33</v>
      </c>
      <c r="D74" s="205"/>
      <c r="E74" s="205"/>
      <c r="F74" s="205"/>
      <c r="G74" s="205"/>
    </row>
    <row r="75" spans="1:2009" ht="15" hidden="1" customHeight="1" x14ac:dyDescent="0.25">
      <c r="A75" s="453"/>
      <c r="B75" s="344" t="s">
        <v>363</v>
      </c>
      <c r="C75" s="400"/>
      <c r="D75" s="578"/>
      <c r="E75" s="205"/>
      <c r="F75" s="205"/>
      <c r="G75" s="205"/>
    </row>
    <row r="76" spans="1:2009" ht="15" hidden="1" customHeight="1" x14ac:dyDescent="0.25">
      <c r="A76" s="453"/>
      <c r="B76" s="344" t="s">
        <v>364</v>
      </c>
      <c r="C76" s="400"/>
      <c r="D76" s="578"/>
      <c r="E76" s="205"/>
      <c r="F76" s="205"/>
      <c r="G76" s="205"/>
    </row>
    <row r="77" spans="1:2009" ht="15" hidden="1" customHeight="1" x14ac:dyDescent="0.25">
      <c r="A77" s="453"/>
      <c r="B77" s="344" t="s">
        <v>365</v>
      </c>
      <c r="C77" s="400"/>
      <c r="D77" s="578"/>
      <c r="E77" s="205"/>
      <c r="F77" s="205"/>
      <c r="G77" s="205"/>
    </row>
    <row r="78" spans="1:2009" ht="15" hidden="1" customHeight="1" x14ac:dyDescent="0.25">
      <c r="A78" s="453"/>
      <c r="B78" s="344" t="s">
        <v>366</v>
      </c>
      <c r="C78" s="400"/>
      <c r="D78" s="578"/>
      <c r="E78" s="205"/>
      <c r="F78" s="205"/>
      <c r="G78" s="205"/>
    </row>
    <row r="79" spans="1:2009" ht="15" hidden="1" customHeight="1" x14ac:dyDescent="0.25">
      <c r="A79" s="453"/>
      <c r="B79" s="344" t="s">
        <v>368</v>
      </c>
      <c r="C79" s="400"/>
      <c r="D79" s="578"/>
      <c r="E79" s="205"/>
      <c r="F79" s="205"/>
      <c r="G79" s="205"/>
    </row>
    <row r="80" spans="1:2009" ht="15" hidden="1" customHeight="1" x14ac:dyDescent="0.25">
      <c r="A80" s="453"/>
      <c r="B80" s="344" t="s">
        <v>367</v>
      </c>
      <c r="C80" s="400"/>
      <c r="D80" s="578"/>
      <c r="E80" s="205"/>
      <c r="F80" s="205"/>
      <c r="G80" s="205"/>
    </row>
    <row r="81" spans="1:7" ht="15" hidden="1" customHeight="1" x14ac:dyDescent="0.25">
      <c r="A81" s="453"/>
      <c r="B81" s="344" t="s">
        <v>331</v>
      </c>
      <c r="C81" s="400"/>
      <c r="D81" s="205"/>
      <c r="E81" s="205"/>
      <c r="F81" s="205"/>
      <c r="G81" s="205"/>
    </row>
    <row r="82" spans="1:7" ht="15" hidden="1" customHeight="1" x14ac:dyDescent="0.25">
      <c r="A82" s="453"/>
      <c r="B82" s="344" t="s">
        <v>332</v>
      </c>
      <c r="C82" s="400"/>
      <c r="D82" s="205"/>
      <c r="E82" s="205"/>
      <c r="F82" s="205"/>
      <c r="G82" s="205"/>
    </row>
    <row r="83" spans="1:7" ht="15" hidden="1" customHeight="1" x14ac:dyDescent="0.25">
      <c r="A83" s="453"/>
      <c r="B83" s="344" t="s">
        <v>343</v>
      </c>
      <c r="C83" s="400"/>
      <c r="D83" s="205"/>
      <c r="E83" s="205"/>
      <c r="F83" s="205"/>
      <c r="G83" s="205"/>
    </row>
    <row r="84" spans="1:7" ht="15" hidden="1" customHeight="1" x14ac:dyDescent="0.25">
      <c r="A84" s="453"/>
      <c r="B84" s="344" t="s">
        <v>344</v>
      </c>
      <c r="C84" s="400"/>
      <c r="D84" s="205"/>
      <c r="E84" s="205"/>
      <c r="F84" s="205"/>
      <c r="G84" s="205"/>
    </row>
    <row r="85" spans="1:7" ht="15" hidden="1" customHeight="1" x14ac:dyDescent="0.25">
      <c r="A85" s="453"/>
      <c r="B85" s="344" t="s">
        <v>345</v>
      </c>
      <c r="C85" s="400"/>
      <c r="D85" s="205"/>
      <c r="E85" s="205"/>
      <c r="F85" s="205"/>
      <c r="G85" s="205"/>
    </row>
    <row r="86" spans="1:7" ht="15" x14ac:dyDescent="0.25">
      <c r="A86" s="454"/>
      <c r="B86" s="163" t="s">
        <v>416</v>
      </c>
      <c r="C86" s="393">
        <f>SUM(C67:C85)</f>
        <v>68308.2</v>
      </c>
      <c r="D86" s="206"/>
      <c r="E86" s="206"/>
      <c r="F86" s="206"/>
      <c r="G86" s="206"/>
    </row>
    <row r="87" spans="1:7" ht="5.25" customHeight="1" x14ac:dyDescent="0.2">
      <c r="C87" s="206"/>
      <c r="D87" s="206"/>
      <c r="E87" s="206"/>
      <c r="F87" s="206"/>
      <c r="G87" s="206"/>
    </row>
    <row r="88" spans="1:7" ht="15.75" thickBot="1" x14ac:dyDescent="0.3">
      <c r="B88" s="163" t="s">
        <v>423</v>
      </c>
      <c r="C88" s="437">
        <f>G62-C86</f>
        <v>132575.51</v>
      </c>
      <c r="D88" s="206"/>
      <c r="E88" s="206"/>
      <c r="F88" s="206"/>
      <c r="G88" s="206"/>
    </row>
    <row r="89" spans="1:7" ht="12" customHeight="1" thickTop="1" x14ac:dyDescent="0.2">
      <c r="C89" s="206"/>
      <c r="D89" s="206"/>
      <c r="E89" s="206"/>
      <c r="F89" s="206"/>
      <c r="G89" s="206"/>
    </row>
    <row r="90" spans="1:7" ht="15.75" x14ac:dyDescent="0.25">
      <c r="B90" s="345" t="s">
        <v>199</v>
      </c>
      <c r="C90" s="206"/>
      <c r="D90" s="206"/>
      <c r="E90" s="206"/>
      <c r="F90" s="206"/>
      <c r="G90" s="206"/>
    </row>
    <row r="91" spans="1:7" ht="15" x14ac:dyDescent="0.2">
      <c r="B91" s="625" t="s">
        <v>422</v>
      </c>
      <c r="C91" s="206">
        <f>1981.95+200+48</f>
        <v>2229.9499999999998</v>
      </c>
      <c r="D91" s="206"/>
      <c r="E91" s="206"/>
      <c r="F91" s="206"/>
      <c r="G91" s="206"/>
    </row>
    <row r="92" spans="1:7" ht="15" x14ac:dyDescent="0.2">
      <c r="B92" s="625" t="s">
        <v>430</v>
      </c>
      <c r="C92" s="206">
        <v>79750</v>
      </c>
      <c r="D92" s="206"/>
      <c r="E92" s="206"/>
      <c r="F92" s="206"/>
      <c r="G92" s="206"/>
    </row>
    <row r="93" spans="1:7" ht="15" x14ac:dyDescent="0.2">
      <c r="B93" s="625" t="s">
        <v>431</v>
      </c>
      <c r="C93" s="206">
        <v>22450.84</v>
      </c>
      <c r="D93" s="206"/>
      <c r="E93" s="206"/>
      <c r="F93" s="206"/>
      <c r="G93" s="206"/>
    </row>
    <row r="94" spans="1:7" ht="15" x14ac:dyDescent="0.2">
      <c r="B94" s="625" t="s">
        <v>432</v>
      </c>
      <c r="C94" s="206">
        <v>1825</v>
      </c>
      <c r="D94" s="206"/>
      <c r="E94" s="206"/>
      <c r="F94" s="206"/>
      <c r="G94" s="206"/>
    </row>
    <row r="95" spans="1:7" ht="15" x14ac:dyDescent="0.2">
      <c r="B95" s="625" t="s">
        <v>433</v>
      </c>
      <c r="C95" s="206">
        <v>3350</v>
      </c>
      <c r="D95" s="206"/>
      <c r="E95" s="206"/>
      <c r="F95" s="206"/>
      <c r="G95" s="206"/>
    </row>
    <row r="96" spans="1:7" ht="15" x14ac:dyDescent="0.2">
      <c r="B96" s="625"/>
      <c r="C96" s="206"/>
      <c r="D96" s="206"/>
      <c r="E96" s="206"/>
      <c r="F96" s="206"/>
      <c r="G96" s="206"/>
    </row>
    <row r="97" spans="2:7" hidden="1" x14ac:dyDescent="0.2">
      <c r="B97" s="492"/>
      <c r="C97" s="206"/>
      <c r="D97" s="206"/>
      <c r="E97" s="206"/>
      <c r="F97" s="206"/>
      <c r="G97" s="206"/>
    </row>
    <row r="98" spans="2:7" hidden="1" x14ac:dyDescent="0.2">
      <c r="B98" s="492"/>
      <c r="C98" s="206"/>
      <c r="D98" s="206"/>
      <c r="E98" s="206"/>
      <c r="F98" s="206"/>
      <c r="G98" s="206"/>
    </row>
    <row r="99" spans="2:7" hidden="1" x14ac:dyDescent="0.2">
      <c r="B99" s="492"/>
      <c r="C99" s="206"/>
      <c r="D99" s="206"/>
      <c r="E99" s="206"/>
      <c r="F99" s="206"/>
      <c r="G99" s="206"/>
    </row>
    <row r="100" spans="2:7" hidden="1" x14ac:dyDescent="0.2">
      <c r="B100" s="492"/>
      <c r="C100" s="206"/>
      <c r="D100" s="206"/>
      <c r="E100" s="206"/>
      <c r="F100" s="206"/>
      <c r="G100" s="206"/>
    </row>
    <row r="101" spans="2:7" hidden="1" x14ac:dyDescent="0.2">
      <c r="B101" s="492"/>
      <c r="C101" s="206"/>
      <c r="D101" s="206"/>
      <c r="E101" s="206"/>
      <c r="F101" s="206"/>
      <c r="G101" s="206"/>
    </row>
    <row r="102" spans="2:7" hidden="1" x14ac:dyDescent="0.2">
      <c r="B102" s="492"/>
      <c r="C102" s="401"/>
      <c r="D102" s="206"/>
      <c r="E102" s="206"/>
      <c r="F102" s="206"/>
      <c r="G102" s="206"/>
    </row>
    <row r="103" spans="2:7" hidden="1" x14ac:dyDescent="0.2">
      <c r="B103" s="492"/>
      <c r="C103" s="401"/>
      <c r="D103" s="206"/>
      <c r="E103" s="206"/>
      <c r="F103" s="206"/>
      <c r="G103" s="206"/>
    </row>
    <row r="104" spans="2:7" ht="16.5" customHeight="1" x14ac:dyDescent="0.25">
      <c r="B104" s="506" t="s">
        <v>420</v>
      </c>
      <c r="C104" s="401"/>
      <c r="D104" s="206"/>
      <c r="E104" s="206"/>
      <c r="F104" s="206"/>
      <c r="G104" s="206"/>
    </row>
    <row r="105" spans="2:7" ht="16.5" customHeight="1" x14ac:dyDescent="0.2">
      <c r="B105" s="657" t="s">
        <v>417</v>
      </c>
      <c r="C105" s="659">
        <v>9721.92</v>
      </c>
      <c r="D105" s="206"/>
      <c r="E105" s="206"/>
      <c r="F105" s="206"/>
      <c r="G105" s="206"/>
    </row>
    <row r="106" spans="2:7" ht="16.5" customHeight="1" x14ac:dyDescent="0.2">
      <c r="B106" s="657" t="s">
        <v>419</v>
      </c>
      <c r="C106" s="660">
        <v>7603.67</v>
      </c>
      <c r="D106" s="206"/>
      <c r="E106" s="206"/>
      <c r="F106" s="206"/>
      <c r="G106" s="206"/>
    </row>
    <row r="107" spans="2:7" ht="16.5" customHeight="1" x14ac:dyDescent="0.2">
      <c r="B107" s="657" t="s">
        <v>418</v>
      </c>
      <c r="C107" s="660">
        <v>1793.22</v>
      </c>
      <c r="D107" s="206"/>
      <c r="E107" s="206"/>
      <c r="F107" s="206"/>
      <c r="G107" s="206"/>
    </row>
    <row r="108" spans="2:7" ht="16.5" customHeight="1" x14ac:dyDescent="0.2">
      <c r="B108" s="306"/>
      <c r="C108" s="206"/>
      <c r="D108" s="206"/>
      <c r="E108" s="206"/>
      <c r="F108" s="206"/>
      <c r="G108" s="206"/>
    </row>
    <row r="109" spans="2:7" ht="16.5" customHeight="1" x14ac:dyDescent="0.2">
      <c r="B109" s="306"/>
      <c r="C109" s="206"/>
      <c r="D109" s="206"/>
      <c r="E109" s="206"/>
      <c r="F109" s="206"/>
      <c r="G109" s="206"/>
    </row>
    <row r="110" spans="2:7" ht="16.5" customHeight="1" x14ac:dyDescent="0.2">
      <c r="B110" s="306"/>
      <c r="C110" s="206"/>
      <c r="D110" s="206"/>
      <c r="E110" s="206"/>
      <c r="F110" s="206"/>
      <c r="G110" s="206"/>
    </row>
    <row r="111" spans="2:7" ht="12" customHeight="1" x14ac:dyDescent="0.2">
      <c r="B111" s="306"/>
      <c r="C111" s="206"/>
      <c r="D111" s="206"/>
      <c r="E111" s="206"/>
      <c r="F111" s="206"/>
      <c r="G111" s="206"/>
    </row>
    <row r="112" spans="2:7" ht="12" customHeight="1" x14ac:dyDescent="0.2">
      <c r="C112" s="206"/>
      <c r="D112" s="206"/>
      <c r="E112" s="206"/>
      <c r="F112" s="206"/>
      <c r="G112" s="206"/>
    </row>
    <row r="113" spans="3:7" ht="12" customHeight="1" x14ac:dyDescent="0.2">
      <c r="C113" s="206"/>
      <c r="D113" s="206"/>
      <c r="E113" s="206"/>
      <c r="F113" s="206"/>
      <c r="G113" s="206"/>
    </row>
    <row r="114" spans="3:7" ht="12" customHeight="1" x14ac:dyDescent="0.2">
      <c r="C114" s="206"/>
      <c r="D114" s="206"/>
      <c r="E114" s="206"/>
      <c r="F114" s="206"/>
      <c r="G114" s="206"/>
    </row>
    <row r="115" spans="3:7" ht="12" customHeight="1" x14ac:dyDescent="0.2">
      <c r="C115" s="206"/>
      <c r="D115" s="206"/>
      <c r="E115" s="206"/>
      <c r="F115" s="206"/>
      <c r="G115" s="206"/>
    </row>
    <row r="116" spans="3:7" ht="12" customHeight="1" x14ac:dyDescent="0.2">
      <c r="C116" s="206"/>
      <c r="D116" s="206"/>
      <c r="E116" s="206"/>
      <c r="F116" s="206"/>
      <c r="G116" s="206"/>
    </row>
    <row r="117" spans="3:7" ht="12" customHeight="1" x14ac:dyDescent="0.2">
      <c r="C117" s="206"/>
      <c r="D117" s="206"/>
      <c r="E117" s="206"/>
      <c r="F117" s="206"/>
      <c r="G117" s="206"/>
    </row>
    <row r="118" spans="3:7" ht="12" customHeight="1" x14ac:dyDescent="0.2">
      <c r="C118" s="206"/>
      <c r="D118" s="206"/>
      <c r="E118" s="206"/>
      <c r="F118" s="206"/>
      <c r="G118" s="206"/>
    </row>
    <row r="119" spans="3:7" ht="12" customHeight="1" x14ac:dyDescent="0.2">
      <c r="C119" s="206"/>
      <c r="D119" s="206"/>
      <c r="E119" s="206"/>
      <c r="F119" s="206"/>
      <c r="G119" s="206"/>
    </row>
    <row r="120" spans="3:7" ht="12" customHeight="1" x14ac:dyDescent="0.2">
      <c r="C120" s="206"/>
      <c r="D120" s="206"/>
      <c r="E120" s="206"/>
      <c r="F120" s="206"/>
      <c r="G120" s="206"/>
    </row>
    <row r="121" spans="3:7" ht="12" customHeight="1" x14ac:dyDescent="0.2">
      <c r="C121" s="206"/>
      <c r="D121" s="206"/>
      <c r="E121" s="206"/>
      <c r="F121" s="206"/>
      <c r="G121" s="206"/>
    </row>
    <row r="122" spans="3:7" ht="12" customHeight="1" x14ac:dyDescent="0.2">
      <c r="C122" s="206"/>
      <c r="D122" s="206"/>
      <c r="E122" s="206"/>
      <c r="F122" s="206"/>
      <c r="G122" s="206"/>
    </row>
    <row r="123" spans="3:7" ht="12" customHeight="1" x14ac:dyDescent="0.2">
      <c r="C123" s="206"/>
      <c r="D123" s="206"/>
      <c r="E123" s="206"/>
      <c r="F123" s="206"/>
      <c r="G123" s="206"/>
    </row>
    <row r="124" spans="3:7" ht="12" customHeight="1" x14ac:dyDescent="0.2">
      <c r="C124" s="206"/>
      <c r="D124" s="206"/>
      <c r="E124" s="206"/>
      <c r="F124" s="206"/>
      <c r="G124" s="206"/>
    </row>
    <row r="125" spans="3:7" ht="12" customHeight="1" x14ac:dyDescent="0.2">
      <c r="C125" s="206"/>
      <c r="D125" s="206"/>
      <c r="E125" s="206"/>
      <c r="F125" s="206"/>
      <c r="G125" s="206"/>
    </row>
    <row r="126" spans="3:7" ht="12" customHeight="1" x14ac:dyDescent="0.2">
      <c r="C126" s="206"/>
      <c r="D126" s="206"/>
      <c r="E126" s="206"/>
      <c r="F126" s="206"/>
      <c r="G126" s="206"/>
    </row>
    <row r="127" spans="3:7" ht="12" customHeight="1" x14ac:dyDescent="0.2">
      <c r="C127" s="206"/>
      <c r="D127" s="206"/>
      <c r="E127" s="206"/>
      <c r="F127" s="206"/>
      <c r="G127" s="206"/>
    </row>
    <row r="128" spans="3:7" ht="12" customHeight="1" x14ac:dyDescent="0.2">
      <c r="C128" s="206"/>
      <c r="D128" s="206"/>
      <c r="E128" s="206"/>
      <c r="F128" s="206"/>
      <c r="G128" s="206"/>
    </row>
    <row r="129" spans="3:7" ht="12" customHeight="1" x14ac:dyDescent="0.2">
      <c r="C129" s="206"/>
      <c r="D129" s="206"/>
      <c r="E129" s="206"/>
      <c r="F129" s="206"/>
      <c r="G129" s="206"/>
    </row>
    <row r="130" spans="3:7" ht="12" customHeight="1" x14ac:dyDescent="0.2">
      <c r="C130" s="206"/>
      <c r="D130" s="206"/>
      <c r="E130" s="206"/>
      <c r="F130" s="206"/>
      <c r="G130" s="206"/>
    </row>
    <row r="131" spans="3:7" ht="12" customHeight="1" x14ac:dyDescent="0.2">
      <c r="C131" s="206"/>
      <c r="D131" s="206"/>
      <c r="E131" s="206"/>
      <c r="F131" s="206"/>
      <c r="G131" s="206"/>
    </row>
    <row r="132" spans="3:7" ht="12" customHeight="1" x14ac:dyDescent="0.2">
      <c r="C132" s="206"/>
      <c r="D132" s="206"/>
      <c r="E132" s="206"/>
      <c r="F132" s="206"/>
      <c r="G132" s="206"/>
    </row>
    <row r="133" spans="3:7" ht="12" customHeight="1" x14ac:dyDescent="0.2">
      <c r="C133" s="206"/>
      <c r="D133" s="206"/>
      <c r="E133" s="206"/>
      <c r="F133" s="206"/>
      <c r="G133" s="206"/>
    </row>
    <row r="134" spans="3:7" ht="12" customHeight="1" x14ac:dyDescent="0.2">
      <c r="C134" s="206"/>
      <c r="D134" s="206"/>
      <c r="E134" s="206"/>
      <c r="F134" s="206"/>
      <c r="G134" s="206"/>
    </row>
    <row r="135" spans="3:7" ht="12" customHeight="1" x14ac:dyDescent="0.2">
      <c r="C135" s="206"/>
      <c r="D135" s="206"/>
      <c r="E135" s="206"/>
      <c r="F135" s="206"/>
      <c r="G135" s="206"/>
    </row>
    <row r="136" spans="3:7" ht="12" customHeight="1" x14ac:dyDescent="0.2">
      <c r="C136" s="206"/>
      <c r="D136" s="206"/>
      <c r="E136" s="206"/>
      <c r="F136" s="206"/>
      <c r="G136" s="206"/>
    </row>
    <row r="137" spans="3:7" ht="12" customHeight="1" x14ac:dyDescent="0.2">
      <c r="C137" s="206"/>
      <c r="D137" s="206"/>
      <c r="E137" s="206"/>
      <c r="F137" s="206"/>
      <c r="G137" s="206"/>
    </row>
    <row r="138" spans="3:7" ht="12" customHeight="1" x14ac:dyDescent="0.2">
      <c r="C138" s="206"/>
      <c r="D138" s="206"/>
      <c r="E138" s="206"/>
      <c r="F138" s="206"/>
      <c r="G138" s="206"/>
    </row>
    <row r="139" spans="3:7" ht="12" customHeight="1" x14ac:dyDescent="0.2">
      <c r="C139" s="206"/>
      <c r="D139" s="206"/>
      <c r="E139" s="206"/>
      <c r="F139" s="206"/>
      <c r="G139" s="206"/>
    </row>
    <row r="140" spans="3:7" ht="12" customHeight="1" x14ac:dyDescent="0.2">
      <c r="C140" s="206"/>
      <c r="D140" s="206"/>
      <c r="E140" s="206"/>
      <c r="F140" s="206"/>
      <c r="G140" s="206"/>
    </row>
    <row r="141" spans="3:7" ht="12" customHeight="1" x14ac:dyDescent="0.2">
      <c r="C141" s="206"/>
      <c r="D141" s="206"/>
      <c r="E141" s="206"/>
      <c r="F141" s="206"/>
      <c r="G141" s="206"/>
    </row>
    <row r="142" spans="3:7" ht="12" customHeight="1" x14ac:dyDescent="0.2">
      <c r="C142" s="206"/>
      <c r="D142" s="206"/>
      <c r="E142" s="206"/>
      <c r="F142" s="206"/>
      <c r="G142" s="206"/>
    </row>
    <row r="143" spans="3:7" ht="12" customHeight="1" x14ac:dyDescent="0.2">
      <c r="C143" s="206"/>
      <c r="D143" s="206"/>
      <c r="E143" s="206"/>
      <c r="F143" s="206"/>
      <c r="G143" s="206"/>
    </row>
    <row r="144" spans="3:7" ht="12" customHeight="1" x14ac:dyDescent="0.2">
      <c r="C144" s="206"/>
      <c r="D144" s="206"/>
      <c r="E144" s="206"/>
      <c r="F144" s="206"/>
      <c r="G144" s="206"/>
    </row>
    <row r="145" spans="3:7" ht="12" customHeight="1" x14ac:dyDescent="0.2">
      <c r="C145" s="206"/>
      <c r="D145" s="206"/>
      <c r="E145" s="206"/>
      <c r="F145" s="206"/>
      <c r="G145" s="206"/>
    </row>
    <row r="146" spans="3:7" ht="12" customHeight="1" x14ac:dyDescent="0.2">
      <c r="C146" s="206"/>
      <c r="D146" s="206"/>
      <c r="E146" s="206"/>
      <c r="F146" s="206"/>
      <c r="G146" s="206"/>
    </row>
    <row r="147" spans="3:7" ht="12" customHeight="1" x14ac:dyDescent="0.2">
      <c r="C147" s="206"/>
      <c r="D147" s="206"/>
      <c r="E147" s="206"/>
      <c r="F147" s="206"/>
      <c r="G147" s="206"/>
    </row>
    <row r="148" spans="3:7" ht="12" customHeight="1" x14ac:dyDescent="0.2">
      <c r="C148" s="206"/>
      <c r="D148" s="206"/>
      <c r="E148" s="206"/>
      <c r="F148" s="206"/>
      <c r="G148" s="206"/>
    </row>
    <row r="149" spans="3:7" ht="12" customHeight="1" x14ac:dyDescent="0.2">
      <c r="C149" s="206"/>
      <c r="D149" s="206"/>
      <c r="E149" s="206"/>
      <c r="F149" s="206"/>
      <c r="G149" s="206"/>
    </row>
    <row r="150" spans="3:7" ht="12" customHeight="1" x14ac:dyDescent="0.2">
      <c r="C150" s="206"/>
      <c r="D150" s="206"/>
      <c r="E150" s="206"/>
      <c r="F150" s="206"/>
      <c r="G150" s="206"/>
    </row>
    <row r="151" spans="3:7" ht="12" customHeight="1" x14ac:dyDescent="0.2">
      <c r="C151" s="206"/>
      <c r="D151" s="206"/>
      <c r="E151" s="206"/>
      <c r="F151" s="206"/>
      <c r="G151" s="206"/>
    </row>
    <row r="152" spans="3:7" ht="12" customHeight="1" x14ac:dyDescent="0.2">
      <c r="C152" s="206"/>
      <c r="D152" s="206"/>
      <c r="E152" s="206"/>
      <c r="F152" s="206"/>
      <c r="G152" s="206"/>
    </row>
    <row r="153" spans="3:7" ht="12" customHeight="1" x14ac:dyDescent="0.2">
      <c r="C153" s="206"/>
      <c r="D153" s="206"/>
      <c r="E153" s="206"/>
      <c r="F153" s="206"/>
      <c r="G153" s="206"/>
    </row>
    <row r="154" spans="3:7" ht="12" customHeight="1" x14ac:dyDescent="0.2">
      <c r="C154" s="206"/>
      <c r="D154" s="206"/>
      <c r="E154" s="206"/>
      <c r="F154" s="206"/>
      <c r="G154" s="206"/>
    </row>
    <row r="155" spans="3:7" ht="12" customHeight="1" x14ac:dyDescent="0.2">
      <c r="C155" s="206"/>
      <c r="D155" s="206"/>
      <c r="E155" s="206"/>
      <c r="F155" s="206"/>
      <c r="G155" s="206"/>
    </row>
    <row r="156" spans="3:7" ht="12" customHeight="1" x14ac:dyDescent="0.2">
      <c r="C156" s="206"/>
      <c r="D156" s="206"/>
      <c r="E156" s="206"/>
      <c r="F156" s="206"/>
      <c r="G156" s="206"/>
    </row>
    <row r="157" spans="3:7" ht="12" customHeight="1" x14ac:dyDescent="0.2">
      <c r="C157" s="206"/>
      <c r="D157" s="206"/>
      <c r="E157" s="206"/>
      <c r="F157" s="206"/>
      <c r="G157" s="206"/>
    </row>
    <row r="158" spans="3:7" ht="12" customHeight="1" x14ac:dyDescent="0.2">
      <c r="C158" s="206"/>
      <c r="D158" s="206"/>
      <c r="E158" s="206"/>
      <c r="F158" s="206"/>
      <c r="G158" s="206"/>
    </row>
    <row r="159" spans="3:7" ht="12" customHeight="1" x14ac:dyDescent="0.2">
      <c r="C159" s="206"/>
      <c r="D159" s="206"/>
      <c r="E159" s="206"/>
      <c r="F159" s="206"/>
      <c r="G159" s="206"/>
    </row>
    <row r="160" spans="3:7" ht="12" customHeight="1" x14ac:dyDescent="0.2">
      <c r="C160" s="206"/>
      <c r="D160" s="206"/>
      <c r="E160" s="206"/>
      <c r="F160" s="206"/>
      <c r="G160" s="206"/>
    </row>
    <row r="161" spans="2:7" ht="12" customHeight="1" x14ac:dyDescent="0.2">
      <c r="C161" s="206"/>
      <c r="D161" s="206"/>
      <c r="E161" s="206"/>
      <c r="F161" s="206"/>
      <c r="G161" s="206"/>
    </row>
    <row r="162" spans="2:7" ht="12" customHeight="1" x14ac:dyDescent="0.2">
      <c r="C162" s="206"/>
      <c r="D162" s="206"/>
      <c r="E162" s="206"/>
      <c r="F162" s="206"/>
      <c r="G162" s="206"/>
    </row>
    <row r="163" spans="2:7" ht="12" customHeight="1" x14ac:dyDescent="0.2">
      <c r="C163" s="206"/>
      <c r="D163" s="206"/>
      <c r="E163" s="206"/>
      <c r="F163" s="206"/>
      <c r="G163" s="206"/>
    </row>
    <row r="164" spans="2:7" ht="12" customHeight="1" x14ac:dyDescent="0.2">
      <c r="C164" s="206"/>
      <c r="D164" s="206"/>
      <c r="E164" s="206"/>
      <c r="F164" s="206"/>
      <c r="G164" s="206"/>
    </row>
    <row r="165" spans="2:7" ht="12" customHeight="1" x14ac:dyDescent="0.2">
      <c r="C165" s="206"/>
      <c r="D165" s="206"/>
      <c r="E165" s="206"/>
      <c r="F165" s="206"/>
      <c r="G165" s="206"/>
    </row>
    <row r="166" spans="2:7" ht="12" customHeight="1" x14ac:dyDescent="0.2">
      <c r="C166" s="206"/>
      <c r="D166" s="206"/>
      <c r="E166" s="206"/>
      <c r="F166" s="206"/>
      <c r="G166" s="206"/>
    </row>
    <row r="167" spans="2:7" ht="12" customHeight="1" x14ac:dyDescent="0.2">
      <c r="C167" s="206"/>
      <c r="D167" s="206"/>
      <c r="E167" s="206"/>
      <c r="F167" s="206"/>
      <c r="G167" s="206"/>
    </row>
    <row r="168" spans="2:7" ht="12" customHeight="1" x14ac:dyDescent="0.2">
      <c r="C168" s="206"/>
      <c r="D168" s="206"/>
      <c r="E168" s="206"/>
      <c r="F168" s="206"/>
      <c r="G168" s="206"/>
    </row>
    <row r="169" spans="2:7" ht="12" customHeight="1" x14ac:dyDescent="0.2">
      <c r="C169" s="206"/>
      <c r="D169" s="206"/>
      <c r="E169" s="206"/>
      <c r="F169" s="206"/>
      <c r="G169" s="206"/>
    </row>
    <row r="170" spans="2:7" ht="12" customHeight="1" x14ac:dyDescent="0.2">
      <c r="C170" s="206"/>
      <c r="D170" s="206"/>
      <c r="E170" s="206"/>
      <c r="F170" s="206"/>
      <c r="G170" s="206"/>
    </row>
    <row r="171" spans="2:7" ht="12" customHeight="1" x14ac:dyDescent="0.2">
      <c r="C171" s="206"/>
      <c r="D171" s="206"/>
      <c r="E171" s="206"/>
      <c r="F171" s="206"/>
      <c r="G171" s="206"/>
    </row>
    <row r="172" spans="2:7" ht="12" customHeight="1" x14ac:dyDescent="0.2">
      <c r="C172" s="206"/>
      <c r="D172" s="206"/>
      <c r="E172" s="206"/>
      <c r="F172" s="206"/>
      <c r="G172" s="206"/>
    </row>
    <row r="173" spans="2:7" ht="12" customHeight="1" x14ac:dyDescent="0.2">
      <c r="C173" s="206"/>
      <c r="D173" s="206"/>
      <c r="E173" s="206"/>
      <c r="F173" s="206"/>
      <c r="G173" s="206"/>
    </row>
    <row r="174" spans="2:7" ht="12" customHeight="1" x14ac:dyDescent="0.2">
      <c r="C174" s="206"/>
      <c r="D174" s="206"/>
      <c r="E174" s="206"/>
      <c r="F174" s="206"/>
      <c r="G174" s="206"/>
    </row>
    <row r="175" spans="2:7" ht="14.25" customHeight="1" x14ac:dyDescent="0.2"/>
    <row r="176" spans="2:7" ht="15.75" hidden="1" x14ac:dyDescent="0.25">
      <c r="B176" s="392"/>
      <c r="C176" s="249"/>
    </row>
    <row r="177" spans="2:14" ht="15" hidden="1" x14ac:dyDescent="0.25">
      <c r="B177" s="346"/>
      <c r="C177" s="394"/>
    </row>
    <row r="178" spans="2:14" ht="15" hidden="1" x14ac:dyDescent="0.25">
      <c r="B178" s="346"/>
      <c r="C178" s="401"/>
    </row>
    <row r="179" spans="2:14" ht="15" hidden="1" x14ac:dyDescent="0.25">
      <c r="B179" s="346"/>
      <c r="C179" s="206"/>
    </row>
    <row r="180" spans="2:14" hidden="1" x14ac:dyDescent="0.2">
      <c r="B180" s="306"/>
    </row>
    <row r="181" spans="2:14" hidden="1" x14ac:dyDescent="0.2">
      <c r="B181" s="306"/>
    </row>
    <row r="182" spans="2:14" hidden="1" x14ac:dyDescent="0.2">
      <c r="B182" s="306"/>
    </row>
    <row r="183" spans="2:14" hidden="1" x14ac:dyDescent="0.2"/>
    <row r="184" spans="2:14" hidden="1" x14ac:dyDescent="0.2"/>
    <row r="185" spans="2:14" hidden="1" x14ac:dyDescent="0.2">
      <c r="C185" s="342">
        <v>41698</v>
      </c>
      <c r="D185" s="342">
        <v>41609</v>
      </c>
      <c r="E185" s="342">
        <v>41548</v>
      </c>
      <c r="F185" s="342">
        <v>41487</v>
      </c>
      <c r="G185" s="342">
        <v>41426</v>
      </c>
      <c r="H185" s="342">
        <v>41365</v>
      </c>
      <c r="I185" s="342">
        <v>41306</v>
      </c>
      <c r="J185" s="342">
        <v>41274</v>
      </c>
      <c r="K185" s="342">
        <v>41213</v>
      </c>
      <c r="L185" s="342">
        <v>41152</v>
      </c>
      <c r="M185" s="343">
        <v>41090</v>
      </c>
      <c r="N185" s="342">
        <v>41029</v>
      </c>
    </row>
    <row r="186" spans="2:14" hidden="1" x14ac:dyDescent="0.2">
      <c r="B186" s="58" t="s">
        <v>146</v>
      </c>
      <c r="C186" s="249">
        <f>C62</f>
        <v>115071.18999999999</v>
      </c>
      <c r="D186" s="249">
        <f>105452.64+311868.06-305987</f>
        <v>111333.70000000001</v>
      </c>
      <c r="E186" s="249">
        <v>85798.300000000017</v>
      </c>
      <c r="F186" s="206">
        <f>53253.08+18642.89</f>
        <v>71895.97</v>
      </c>
      <c r="G186" s="206">
        <v>126315</v>
      </c>
      <c r="H186" s="206">
        <v>69404</v>
      </c>
      <c r="I186" s="206">
        <v>75744</v>
      </c>
      <c r="J186" s="206">
        <v>119840.47</v>
      </c>
      <c r="K186" s="206">
        <v>120024</v>
      </c>
      <c r="L186" s="206">
        <v>109142</v>
      </c>
      <c r="M186" s="341">
        <v>142216.66</v>
      </c>
      <c r="N186" s="206">
        <v>104785.62</v>
      </c>
    </row>
    <row r="187" spans="2:14" hidden="1" x14ac:dyDescent="0.2">
      <c r="B187" s="58" t="s">
        <v>147</v>
      </c>
      <c r="C187" s="249">
        <f>D62</f>
        <v>54745.63</v>
      </c>
      <c r="D187" s="249">
        <f>74767.18-13600.56</f>
        <v>61166.619999999995</v>
      </c>
      <c r="E187" s="249">
        <v>86248.31</v>
      </c>
      <c r="F187" s="206">
        <v>43187.16</v>
      </c>
      <c r="G187" s="206">
        <v>60049</v>
      </c>
      <c r="H187" s="206">
        <v>101941</v>
      </c>
      <c r="I187" s="206">
        <v>43152</v>
      </c>
      <c r="J187" s="206">
        <v>58938.2</v>
      </c>
      <c r="K187" s="206">
        <v>85767</v>
      </c>
      <c r="L187" s="206">
        <v>119436</v>
      </c>
      <c r="M187" s="341">
        <v>73223.850000000006</v>
      </c>
      <c r="N187" s="206">
        <v>86907.23</v>
      </c>
    </row>
    <row r="188" spans="2:14" hidden="1" x14ac:dyDescent="0.2">
      <c r="B188" s="58" t="s">
        <v>148</v>
      </c>
      <c r="C188" s="249">
        <f>E62</f>
        <v>31066.89</v>
      </c>
      <c r="D188" s="249">
        <f>66720.93-13675.33</f>
        <v>53045.599999999991</v>
      </c>
      <c r="E188" s="249">
        <v>32950.589999999997</v>
      </c>
      <c r="F188" s="206">
        <v>65970.55</v>
      </c>
      <c r="G188" s="206">
        <v>18719</v>
      </c>
      <c r="H188" s="206">
        <v>3668</v>
      </c>
      <c r="I188" s="206">
        <v>50430</v>
      </c>
      <c r="J188" s="206">
        <v>88408.17</v>
      </c>
      <c r="K188" s="206">
        <v>26680</v>
      </c>
      <c r="L188" s="206">
        <v>51922</v>
      </c>
      <c r="M188" s="341">
        <v>77261.37</v>
      </c>
      <c r="N188" s="206">
        <v>11021.67</v>
      </c>
    </row>
    <row r="189" spans="2:14" hidden="1" x14ac:dyDescent="0.2">
      <c r="B189" s="58" t="s">
        <v>149</v>
      </c>
      <c r="C189" s="249">
        <f>F62</f>
        <v>0</v>
      </c>
      <c r="D189" s="249">
        <v>86322.43</v>
      </c>
      <c r="E189" s="249">
        <v>66109.450000000012</v>
      </c>
      <c r="F189" s="206">
        <v>56011.13</v>
      </c>
      <c r="G189" s="206">
        <v>1250</v>
      </c>
      <c r="H189" s="206">
        <v>0</v>
      </c>
      <c r="I189" s="206">
        <v>9959</v>
      </c>
      <c r="J189" s="206">
        <v>18374.45</v>
      </c>
      <c r="K189" s="206">
        <v>22103</v>
      </c>
      <c r="L189" s="206">
        <v>71168</v>
      </c>
      <c r="M189" s="341">
        <v>55167.87</v>
      </c>
      <c r="N189" s="206"/>
    </row>
    <row r="190" spans="2:14" hidden="1" x14ac:dyDescent="0.2">
      <c r="C190" s="249">
        <f>SUM(C186:C189)</f>
        <v>200883.70999999996</v>
      </c>
      <c r="D190" s="249">
        <f>SUM(D186:D189)</f>
        <v>311868.34999999998</v>
      </c>
      <c r="E190" s="249">
        <v>271106.65000000002</v>
      </c>
      <c r="F190" s="206">
        <f>SUM(F186:F189)</f>
        <v>237064.81</v>
      </c>
      <c r="G190" s="206">
        <f t="shared" ref="G190:N190" si="4">SUM(G186:G189)</f>
        <v>206333</v>
      </c>
      <c r="H190" s="206">
        <f t="shared" si="4"/>
        <v>175013</v>
      </c>
      <c r="I190" s="206">
        <f t="shared" si="4"/>
        <v>179285</v>
      </c>
      <c r="J190" s="206">
        <f t="shared" si="4"/>
        <v>285561.28999999998</v>
      </c>
      <c r="K190" s="206">
        <f t="shared" si="4"/>
        <v>254574</v>
      </c>
      <c r="L190" s="206">
        <f t="shared" si="4"/>
        <v>351668</v>
      </c>
      <c r="M190" s="206">
        <f t="shared" si="4"/>
        <v>347869.75</v>
      </c>
      <c r="N190" s="206">
        <f t="shared" si="4"/>
        <v>202714.52</v>
      </c>
    </row>
    <row r="191" spans="2:14" hidden="1" x14ac:dyDescent="0.2">
      <c r="D191" s="206"/>
      <c r="E191" s="206"/>
      <c r="F191" s="206"/>
      <c r="G191" s="206"/>
      <c r="H191" s="206"/>
      <c r="I191" s="206"/>
      <c r="J191" s="206"/>
      <c r="K191" s="206"/>
      <c r="L191" s="341"/>
    </row>
    <row r="192" spans="2:14" hidden="1" x14ac:dyDescent="0.2">
      <c r="C192" s="206"/>
      <c r="D192" s="206"/>
      <c r="E192" s="206"/>
      <c r="F192" s="206"/>
      <c r="G192" s="206"/>
      <c r="H192" s="341"/>
      <c r="I192" s="341"/>
      <c r="J192" s="341"/>
      <c r="K192" s="341"/>
    </row>
    <row r="193" spans="3:11" hidden="1" x14ac:dyDescent="0.2">
      <c r="C193" s="206"/>
      <c r="D193" s="206"/>
      <c r="E193" s="206"/>
      <c r="F193" s="206"/>
      <c r="G193" s="206"/>
      <c r="H193" s="341"/>
      <c r="I193" s="341"/>
      <c r="J193" s="341"/>
      <c r="K193" s="341"/>
    </row>
    <row r="194" spans="3:11" hidden="1" x14ac:dyDescent="0.2"/>
    <row r="195" spans="3:11" hidden="1" x14ac:dyDescent="0.2"/>
    <row r="196" spans="3:11" hidden="1" x14ac:dyDescent="0.2"/>
    <row r="197" spans="3:11" hidden="1" x14ac:dyDescent="0.2"/>
    <row r="198" spans="3:11" hidden="1" x14ac:dyDescent="0.2"/>
    <row r="199" spans="3:11" hidden="1" x14ac:dyDescent="0.2"/>
    <row r="200" spans="3:11" hidden="1" x14ac:dyDescent="0.2"/>
    <row r="201" spans="3:11" hidden="1" x14ac:dyDescent="0.2"/>
    <row r="202" spans="3:11" hidden="1" x14ac:dyDescent="0.2"/>
    <row r="203" spans="3:11" hidden="1" x14ac:dyDescent="0.2"/>
    <row r="204" spans="3:11" hidden="1" x14ac:dyDescent="0.2"/>
    <row r="205" spans="3:11" hidden="1" x14ac:dyDescent="0.2"/>
    <row r="206" spans="3:11" hidden="1" x14ac:dyDescent="0.2"/>
    <row r="207" spans="3:11" hidden="1" x14ac:dyDescent="0.2"/>
    <row r="208" spans="3:11"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sheetData>
  <sortState ref="A82:J85">
    <sortCondition ref="A82:A85"/>
  </sortState>
  <mergeCells count="2">
    <mergeCell ref="A5:B5"/>
    <mergeCell ref="A54:B54"/>
  </mergeCells>
  <pageMargins left="0.7" right="0.25" top="0.25" bottom="0.25" header="0.3" footer="0.3"/>
  <pageSetup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zoomScale="75" zoomScaleNormal="75" workbookViewId="0">
      <selection activeCell="L75" sqref="L75"/>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4" style="18" customWidth="1"/>
    <col min="11" max="11" width="1.25" style="18" customWidth="1"/>
    <col min="12" max="12" width="24" style="18" customWidth="1"/>
    <col min="13" max="13" width="1.25" style="18" hidden="1" customWidth="1"/>
    <col min="14" max="14" width="24" style="18" hidden="1" customWidth="1"/>
    <col min="15" max="17" width="9" style="18"/>
    <col min="18" max="18" width="12.5" style="18" bestFit="1" customWidth="1"/>
    <col min="19"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106</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191</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11.25"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35.1" hidden="1" customHeight="1" x14ac:dyDescent="0.4">
      <c r="A4" s="59" t="s">
        <v>57</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row>
    <row r="6" spans="1:130" s="67" customFormat="1" ht="27.75" thickTop="1" thickBot="1" x14ac:dyDescent="0.25">
      <c r="A6" s="65" t="s">
        <v>58</v>
      </c>
      <c r="B6" s="65"/>
      <c r="C6" s="65"/>
      <c r="D6" s="65"/>
      <c r="E6" s="65"/>
      <c r="F6" s="65"/>
      <c r="G6" s="263"/>
      <c r="H6" s="263"/>
      <c r="I6" s="710" t="s">
        <v>59</v>
      </c>
      <c r="J6" s="710"/>
      <c r="K6" s="710"/>
      <c r="L6" s="710"/>
      <c r="M6" s="710"/>
      <c r="N6" s="263"/>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row>
    <row r="7" spans="1:130" s="69" customFormat="1" ht="8.25" customHeight="1" thickTop="1" x14ac:dyDescent="0.2">
      <c r="A7" s="68"/>
      <c r="B7" s="68"/>
      <c r="C7" s="68"/>
      <c r="D7" s="68"/>
      <c r="E7" s="68"/>
      <c r="F7" s="68"/>
    </row>
    <row r="8" spans="1:130" s="73" customFormat="1" ht="21" thickBot="1" x14ac:dyDescent="0.35">
      <c r="A8" s="70"/>
      <c r="B8" s="155" t="s">
        <v>60</v>
      </c>
      <c r="C8" s="155"/>
      <c r="D8" s="155"/>
      <c r="E8" s="155"/>
      <c r="F8" s="155"/>
      <c r="G8" s="359"/>
      <c r="H8" s="308">
        <v>42978</v>
      </c>
      <c r="I8" s="308"/>
      <c r="J8" s="308">
        <v>42735</v>
      </c>
      <c r="K8" s="72"/>
      <c r="L8" s="308">
        <v>42613</v>
      </c>
      <c r="M8" s="72"/>
      <c r="N8" s="308">
        <f>J8-366</f>
        <v>42369</v>
      </c>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row>
    <row r="9" spans="1:130"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130" s="75" customFormat="1" ht="20.25" x14ac:dyDescent="0.2">
      <c r="A10" s="74"/>
      <c r="B10" s="74"/>
      <c r="C10" s="74" t="s">
        <v>61</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8" customFormat="1" ht="20.25" hidden="1" x14ac:dyDescent="0.2">
      <c r="A11" s="76"/>
      <c r="B11" s="76"/>
      <c r="C11" s="76"/>
      <c r="D11" s="76" t="s">
        <v>88</v>
      </c>
      <c r="E11" s="76"/>
      <c r="F11" s="76"/>
      <c r="G11" s="287"/>
      <c r="H11" s="287" t="s">
        <v>112</v>
      </c>
      <c r="I11" s="287"/>
      <c r="J11" s="287" t="s">
        <v>112</v>
      </c>
      <c r="K11" s="77"/>
      <c r="L11" s="287" t="s">
        <v>112</v>
      </c>
      <c r="M11" s="77"/>
      <c r="N11" s="287" t="s">
        <v>112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row>
    <row r="12" spans="1:130" s="78" customFormat="1" ht="20.25" hidden="1" x14ac:dyDescent="0.2">
      <c r="A12" s="76"/>
      <c r="B12" s="76"/>
      <c r="C12" s="76"/>
      <c r="D12" s="76" t="s">
        <v>89</v>
      </c>
      <c r="E12" s="76"/>
      <c r="F12" s="76"/>
      <c r="G12" s="287"/>
      <c r="H12" s="287" t="s">
        <v>112</v>
      </c>
      <c r="I12" s="287"/>
      <c r="J12" s="287" t="s">
        <v>112</v>
      </c>
      <c r="K12" s="77"/>
      <c r="L12" s="287" t="s">
        <v>112</v>
      </c>
      <c r="M12" s="77"/>
      <c r="N12" s="287" t="s">
        <v>112</v>
      </c>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row>
    <row r="13" spans="1:130" s="78" customFormat="1" ht="20.25" x14ac:dyDescent="0.2">
      <c r="A13" s="76"/>
      <c r="B13" s="76"/>
      <c r="C13" s="76"/>
      <c r="D13" s="76" t="s">
        <v>208</v>
      </c>
      <c r="E13" s="76"/>
      <c r="F13" s="76"/>
      <c r="G13" s="267"/>
      <c r="H13" s="267">
        <v>389160.26</v>
      </c>
      <c r="I13" s="267"/>
      <c r="J13" s="267">
        <v>354814.33</v>
      </c>
      <c r="K13" s="77"/>
      <c r="L13" s="267">
        <v>479216.05</v>
      </c>
      <c r="M13" s="77"/>
      <c r="N13" s="267">
        <v>423731.75</v>
      </c>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row>
    <row r="14" spans="1:130" s="78" customFormat="1" ht="20.25" x14ac:dyDescent="0.2">
      <c r="A14" s="76"/>
      <c r="B14" s="76"/>
      <c r="C14" s="76"/>
      <c r="D14" s="76" t="s">
        <v>209</v>
      </c>
      <c r="E14" s="76"/>
      <c r="F14" s="76"/>
      <c r="G14" s="256"/>
      <c r="H14" s="256">
        <v>115.31</v>
      </c>
      <c r="I14" s="256"/>
      <c r="J14" s="256">
        <v>960.29</v>
      </c>
      <c r="K14" s="77"/>
      <c r="L14" s="256">
        <v>200.01</v>
      </c>
      <c r="M14" s="77"/>
      <c r="N14" s="256">
        <v>217.69</v>
      </c>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row>
    <row r="15" spans="1:130" s="78" customFormat="1" ht="20.25" x14ac:dyDescent="0.2">
      <c r="A15" s="76"/>
      <c r="B15" s="76"/>
      <c r="C15" s="79"/>
      <c r="D15" s="79" t="s">
        <v>90</v>
      </c>
      <c r="E15" s="79"/>
      <c r="F15" s="79"/>
      <c r="G15" s="254"/>
      <c r="H15" s="257">
        <v>200</v>
      </c>
      <c r="I15" s="254"/>
      <c r="J15" s="257">
        <v>200</v>
      </c>
      <c r="K15" s="77"/>
      <c r="L15" s="257">
        <v>200</v>
      </c>
      <c r="M15" s="77"/>
      <c r="N15" s="257">
        <v>200</v>
      </c>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row>
    <row r="16" spans="1:130" s="75" customFormat="1" ht="20.25" x14ac:dyDescent="0.2">
      <c r="A16" s="74"/>
      <c r="B16" s="74"/>
      <c r="C16" s="74" t="s">
        <v>62</v>
      </c>
      <c r="D16" s="74"/>
      <c r="E16" s="74"/>
      <c r="F16" s="74"/>
      <c r="G16" s="258"/>
      <c r="H16" s="258">
        <f>ROUND(SUM(H10:H15),5)</f>
        <v>389475.57</v>
      </c>
      <c r="I16" s="258"/>
      <c r="J16" s="258">
        <f>ROUND(SUM(J10:J15),5)</f>
        <v>355974.62</v>
      </c>
      <c r="K16" s="69"/>
      <c r="L16" s="258">
        <f>ROUND(SUM(L10:L15),5)</f>
        <v>479616.06</v>
      </c>
      <c r="M16" s="69"/>
      <c r="N16" s="258">
        <f>ROUND(SUM(N10:N15),5)</f>
        <v>424149.44</v>
      </c>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14.25" customHeight="1" x14ac:dyDescent="0.2">
      <c r="A17" s="74"/>
      <c r="B17" s="74"/>
      <c r="C17" s="74"/>
      <c r="D17" s="74"/>
      <c r="E17" s="74"/>
      <c r="F17" s="74"/>
      <c r="G17" s="256"/>
      <c r="H17" s="256"/>
      <c r="I17" s="256"/>
      <c r="J17" s="256"/>
      <c r="K17" s="69"/>
      <c r="L17" s="256"/>
      <c r="M17" s="69"/>
      <c r="N17" s="256"/>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0.25" x14ac:dyDescent="0.2">
      <c r="A18" s="74"/>
      <c r="B18" s="74"/>
      <c r="C18" s="74" t="s">
        <v>64</v>
      </c>
      <c r="D18" s="74"/>
      <c r="E18" s="74"/>
      <c r="F18" s="74"/>
      <c r="G18" s="256"/>
      <c r="H18" s="256"/>
      <c r="I18" s="256"/>
      <c r="J18" s="256"/>
      <c r="K18" s="69"/>
      <c r="L18" s="256"/>
      <c r="M18" s="69"/>
      <c r="N18" s="256"/>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8" customFormat="1" ht="20.25" x14ac:dyDescent="0.2">
      <c r="A19" s="76"/>
      <c r="B19" s="76"/>
      <c r="C19" s="80"/>
      <c r="D19" s="80" t="s">
        <v>165</v>
      </c>
      <c r="E19" s="80"/>
      <c r="F19" s="80"/>
      <c r="G19" s="307"/>
      <c r="H19" s="307">
        <f>'August''17 AR Aging '!G62</f>
        <v>200883.71</v>
      </c>
      <c r="I19" s="307"/>
      <c r="J19" s="307">
        <f>249839.51-32</f>
        <v>249807.51</v>
      </c>
      <c r="K19" s="270"/>
      <c r="L19" s="307">
        <v>182562.29</v>
      </c>
      <c r="M19" s="77"/>
      <c r="N19" s="256">
        <v>224005.57</v>
      </c>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row>
    <row r="20" spans="1:63" s="78" customFormat="1" ht="20.25" x14ac:dyDescent="0.2">
      <c r="A20" s="444"/>
      <c r="B20" s="447"/>
      <c r="C20" s="80"/>
      <c r="D20" s="80" t="s">
        <v>182</v>
      </c>
      <c r="E20" s="80"/>
      <c r="F20" s="80"/>
      <c r="G20" s="307"/>
      <c r="H20" s="307">
        <v>3350</v>
      </c>
      <c r="I20" s="307"/>
      <c r="J20" s="307">
        <v>189.97</v>
      </c>
      <c r="K20" s="270"/>
      <c r="L20" s="307">
        <v>1339.37</v>
      </c>
      <c r="M20" s="77"/>
      <c r="N20" s="256"/>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row>
    <row r="21" spans="1:63" s="78" customFormat="1" ht="20.25" x14ac:dyDescent="0.2">
      <c r="A21" s="76"/>
      <c r="B21" s="447"/>
      <c r="C21" s="76"/>
      <c r="D21" s="76" t="s">
        <v>263</v>
      </c>
      <c r="E21" s="76"/>
      <c r="F21" s="76"/>
      <c r="G21" s="256"/>
      <c r="H21" s="256">
        <v>162013.01</v>
      </c>
      <c r="I21" s="256"/>
      <c r="J21" s="256">
        <v>154533.13</v>
      </c>
      <c r="K21" s="270"/>
      <c r="L21" s="256">
        <v>151776.70000000001</v>
      </c>
      <c r="M21" s="77"/>
      <c r="N21" s="256">
        <v>31011.08</v>
      </c>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row>
    <row r="22" spans="1:63" s="78" customFormat="1" ht="20.25" x14ac:dyDescent="0.2">
      <c r="A22" s="76"/>
      <c r="B22" s="447"/>
      <c r="C22" s="79"/>
      <c r="D22" s="79" t="s">
        <v>91</v>
      </c>
      <c r="E22" s="79"/>
      <c r="F22" s="79"/>
      <c r="G22" s="254"/>
      <c r="H22" s="257">
        <f>10306.53+1337.21</f>
        <v>11643.740000000002</v>
      </c>
      <c r="I22" s="254"/>
      <c r="J22" s="455">
        <f>5218.52+1485.69</f>
        <v>6704.2100000000009</v>
      </c>
      <c r="K22" s="270"/>
      <c r="L22" s="257">
        <f>5958.54+1485.69</f>
        <v>7444.23</v>
      </c>
      <c r="M22" s="77"/>
      <c r="N22" s="257">
        <f>5721.86+1124.15</f>
        <v>6846.01</v>
      </c>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row>
    <row r="23" spans="1:63" s="75" customFormat="1" ht="20.25" x14ac:dyDescent="0.2">
      <c r="A23" s="74"/>
      <c r="B23" s="68"/>
      <c r="C23" s="68" t="s">
        <v>65</v>
      </c>
      <c r="D23" s="68"/>
      <c r="E23" s="68"/>
      <c r="F23" s="68"/>
      <c r="G23" s="259"/>
      <c r="H23" s="259">
        <f>SUM(H19:H22)</f>
        <v>377890.45999999996</v>
      </c>
      <c r="I23" s="259"/>
      <c r="J23" s="259">
        <f>SUM(J19:J22)</f>
        <v>411234.82</v>
      </c>
      <c r="K23" s="288"/>
      <c r="L23" s="259">
        <f>SUM(L19:L22)</f>
        <v>343122.58999999997</v>
      </c>
      <c r="M23" s="69"/>
      <c r="N23" s="259">
        <f>SUM(N19:N22)</f>
        <v>261862.66000000003</v>
      </c>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75" customFormat="1" ht="20.25" x14ac:dyDescent="0.2">
      <c r="A24" s="74"/>
      <c r="B24" s="68"/>
      <c r="C24" s="68"/>
      <c r="D24" s="68"/>
      <c r="E24" s="68"/>
      <c r="F24" s="68"/>
      <c r="G24" s="254"/>
      <c r="H24" s="254"/>
      <c r="I24" s="254"/>
      <c r="J24" s="254"/>
      <c r="K24" s="69"/>
      <c r="L24" s="254"/>
      <c r="M24" s="69"/>
      <c r="N24" s="254"/>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row>
    <row r="25" spans="1:63" s="75" customFormat="1" ht="21" thickBot="1" x14ac:dyDescent="0.25">
      <c r="A25" s="74"/>
      <c r="B25" s="81" t="s">
        <v>66</v>
      </c>
      <c r="C25" s="81"/>
      <c r="D25" s="81"/>
      <c r="E25" s="81"/>
      <c r="F25" s="81"/>
      <c r="G25" s="259"/>
      <c r="H25" s="260">
        <f>H16+H23</f>
        <v>767366.03</v>
      </c>
      <c r="I25" s="259"/>
      <c r="J25" s="260">
        <f>J16+J23</f>
        <v>767209.44</v>
      </c>
      <c r="K25" s="69"/>
      <c r="L25" s="260">
        <f>L16+L23</f>
        <v>822738.64999999991</v>
      </c>
      <c r="M25" s="69"/>
      <c r="N25" s="260">
        <f>N16+N23</f>
        <v>686012.10000000009</v>
      </c>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row>
    <row r="26" spans="1:63" s="75" customFormat="1" ht="21" thickTop="1" x14ac:dyDescent="0.2">
      <c r="A26" s="74"/>
      <c r="B26" s="74"/>
      <c r="C26" s="74"/>
      <c r="D26" s="74"/>
      <c r="E26" s="74"/>
      <c r="F26" s="74"/>
      <c r="G26" s="259"/>
      <c r="H26" s="258"/>
      <c r="I26" s="259"/>
      <c r="J26" s="258"/>
      <c r="K26" s="69"/>
      <c r="L26" s="258"/>
      <c r="M26" s="69"/>
      <c r="N26" s="258"/>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row>
    <row r="27" spans="1:63" s="73" customFormat="1" ht="20.25" x14ac:dyDescent="0.3">
      <c r="A27" s="70"/>
      <c r="B27" s="71" t="s">
        <v>67</v>
      </c>
      <c r="C27" s="71"/>
      <c r="D27" s="71"/>
      <c r="E27" s="71"/>
      <c r="F27" s="71"/>
      <c r="G27" s="293"/>
      <c r="H27" s="261"/>
      <c r="I27" s="293"/>
      <c r="J27" s="261"/>
      <c r="K27" s="72"/>
      <c r="L27" s="261"/>
      <c r="M27" s="72"/>
      <c r="N27" s="261"/>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row>
    <row r="28" spans="1:63" s="78" customFormat="1" ht="20.25" x14ac:dyDescent="0.2">
      <c r="A28" s="76"/>
      <c r="B28" s="447"/>
      <c r="C28" s="76"/>
      <c r="D28" s="76" t="s">
        <v>92</v>
      </c>
      <c r="E28" s="76"/>
      <c r="F28" s="76"/>
      <c r="G28" s="254"/>
      <c r="H28" s="256">
        <v>192474.47</v>
      </c>
      <c r="I28" s="254"/>
      <c r="J28" s="256">
        <v>192474.47</v>
      </c>
      <c r="K28" s="270"/>
      <c r="L28" s="256">
        <v>191049.17</v>
      </c>
      <c r="M28" s="77"/>
      <c r="N28" s="256">
        <v>183923.03</v>
      </c>
      <c r="O28" s="77"/>
      <c r="P28" s="77"/>
      <c r="Q28" s="77"/>
      <c r="R28" s="270"/>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row>
    <row r="29" spans="1:63" s="78" customFormat="1" ht="20.25" x14ac:dyDescent="0.2">
      <c r="A29" s="76"/>
      <c r="B29" s="447"/>
      <c r="C29" s="76"/>
      <c r="D29" s="76" t="s">
        <v>93</v>
      </c>
      <c r="E29" s="76"/>
      <c r="F29" s="76"/>
      <c r="G29" s="254"/>
      <c r="H29" s="256">
        <v>49562</v>
      </c>
      <c r="I29" s="254"/>
      <c r="J29" s="256">
        <v>49562</v>
      </c>
      <c r="K29" s="270"/>
      <c r="L29" s="256">
        <v>49562</v>
      </c>
      <c r="M29" s="77"/>
      <c r="N29" s="256">
        <v>49562</v>
      </c>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row>
    <row r="30" spans="1:63" s="78" customFormat="1" ht="20.25" x14ac:dyDescent="0.2">
      <c r="A30" s="76"/>
      <c r="B30" s="447"/>
      <c r="C30" s="76"/>
      <c r="D30" s="76" t="s">
        <v>94</v>
      </c>
      <c r="E30" s="76"/>
      <c r="F30" s="76"/>
      <c r="G30" s="254"/>
      <c r="H30" s="256">
        <v>158464.06</v>
      </c>
      <c r="I30" s="254"/>
      <c r="J30" s="256">
        <v>142411.66</v>
      </c>
      <c r="K30" s="270"/>
      <c r="L30" s="256">
        <f>170125.66-27714</f>
        <v>142411.66</v>
      </c>
      <c r="M30" s="77"/>
      <c r="N30" s="256">
        <v>142411.66</v>
      </c>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row>
    <row r="31" spans="1:63" s="78" customFormat="1" ht="20.25" x14ac:dyDescent="0.2">
      <c r="A31" s="76"/>
      <c r="B31" s="80"/>
      <c r="C31" s="80"/>
      <c r="D31" s="80" t="s">
        <v>95</v>
      </c>
      <c r="E31" s="80"/>
      <c r="F31" s="80"/>
      <c r="G31" s="254"/>
      <c r="H31" s="254">
        <v>-272293.03999999998</v>
      </c>
      <c r="I31" s="254"/>
      <c r="J31" s="254">
        <f>-280776.04</f>
        <v>-280776.03999999998</v>
      </c>
      <c r="K31" s="270"/>
      <c r="L31" s="254">
        <v>-266907.36</v>
      </c>
      <c r="M31" s="77"/>
      <c r="N31" s="254">
        <f>-234067</f>
        <v>-234067</v>
      </c>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row>
    <row r="32" spans="1:63" s="75" customFormat="1" ht="20.25" x14ac:dyDescent="0.2">
      <c r="A32" s="74"/>
      <c r="B32" s="81" t="s">
        <v>68</v>
      </c>
      <c r="C32" s="81"/>
      <c r="D32" s="81"/>
      <c r="E32" s="81"/>
      <c r="F32" s="81"/>
      <c r="G32" s="259"/>
      <c r="H32" s="262">
        <f>SUM(H28:H31)</f>
        <v>128207.49000000005</v>
      </c>
      <c r="I32" s="259"/>
      <c r="J32" s="262">
        <f>SUM(J28:J31)</f>
        <v>103672.09000000003</v>
      </c>
      <c r="K32" s="69"/>
      <c r="L32" s="262">
        <f>SUM(L28:L31)</f>
        <v>116115.47000000003</v>
      </c>
      <c r="M32" s="69"/>
      <c r="N32" s="262">
        <f>SUM(N28:N31)</f>
        <v>141829.69</v>
      </c>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row>
    <row r="33" spans="1:63" s="75" customFormat="1" ht="7.5" customHeight="1" x14ac:dyDescent="0.2">
      <c r="A33" s="74"/>
      <c r="B33" s="74"/>
      <c r="C33" s="74"/>
      <c r="D33" s="74"/>
      <c r="E33" s="74"/>
      <c r="F33" s="74"/>
      <c r="G33" s="259"/>
      <c r="H33" s="258"/>
      <c r="I33" s="259"/>
      <c r="J33" s="258"/>
      <c r="K33" s="69"/>
      <c r="L33" s="258"/>
      <c r="M33" s="69"/>
      <c r="N33" s="258"/>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row>
    <row r="34" spans="1:63" s="75" customFormat="1" ht="12.75" customHeight="1" thickBot="1" x14ac:dyDescent="0.25">
      <c r="A34" s="74"/>
      <c r="B34" s="74"/>
      <c r="C34" s="74"/>
      <c r="D34" s="74"/>
      <c r="E34" s="74"/>
      <c r="F34" s="74"/>
      <c r="G34" s="254"/>
      <c r="H34" s="254"/>
      <c r="I34" s="254"/>
      <c r="J34" s="254"/>
      <c r="K34" s="69"/>
      <c r="L34" s="254"/>
      <c r="M34" s="69"/>
      <c r="N34" s="254"/>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63" s="84" customFormat="1" ht="27.75" thickTop="1" thickBot="1" x14ac:dyDescent="0.25">
      <c r="A35" s="82" t="s">
        <v>69</v>
      </c>
      <c r="B35" s="82"/>
      <c r="C35" s="82"/>
      <c r="D35" s="82"/>
      <c r="E35" s="82"/>
      <c r="F35" s="82"/>
      <c r="G35" s="295"/>
      <c r="H35" s="268">
        <f>H25+H32</f>
        <v>895573.52</v>
      </c>
      <c r="I35" s="295"/>
      <c r="J35" s="268">
        <f>J25+J32</f>
        <v>870881.53</v>
      </c>
      <c r="K35" s="83"/>
      <c r="L35" s="268">
        <f>L25+L32</f>
        <v>938854.11999999988</v>
      </c>
      <c r="M35" s="83"/>
      <c r="N35" s="268">
        <f>N25+N32</f>
        <v>827841.79</v>
      </c>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row>
    <row r="36" spans="1:63" s="86" customFormat="1" ht="33" customHeight="1" thickTop="1" thickBot="1" x14ac:dyDescent="0.25">
      <c r="A36" s="74"/>
      <c r="B36" s="74"/>
      <c r="C36" s="74"/>
      <c r="D36" s="74"/>
      <c r="E36" s="74"/>
      <c r="F36" s="74"/>
      <c r="G36" s="361"/>
      <c r="H36" s="259"/>
      <c r="I36" s="259"/>
      <c r="J36" s="259"/>
      <c r="K36" s="85"/>
      <c r="L36" s="259"/>
      <c r="M36" s="85"/>
      <c r="N36" s="361"/>
      <c r="O36" s="85"/>
      <c r="P36" s="85"/>
      <c r="Q36" s="85"/>
      <c r="R36" s="459"/>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row>
    <row r="37" spans="1:63" s="67" customFormat="1" ht="27.75" thickTop="1" thickBot="1" x14ac:dyDescent="0.25">
      <c r="A37" s="65" t="s">
        <v>70</v>
      </c>
      <c r="B37" s="65"/>
      <c r="C37" s="65"/>
      <c r="D37" s="65"/>
      <c r="E37" s="65"/>
      <c r="F37" s="65"/>
      <c r="G37" s="360"/>
      <c r="H37" s="263"/>
      <c r="I37" s="263"/>
      <c r="J37" s="263"/>
      <c r="K37" s="66"/>
      <c r="L37" s="263"/>
      <c r="M37" s="66"/>
      <c r="N37" s="263"/>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row>
    <row r="38" spans="1:63" s="75" customFormat="1" ht="12.75" customHeight="1" thickTop="1" x14ac:dyDescent="0.2">
      <c r="A38" s="74"/>
      <c r="B38" s="74"/>
      <c r="C38" s="74"/>
      <c r="D38" s="74"/>
      <c r="E38" s="74"/>
      <c r="F38" s="74"/>
      <c r="G38" s="256"/>
      <c r="H38" s="256"/>
      <c r="I38" s="254"/>
      <c r="J38" s="256"/>
      <c r="K38" s="69"/>
      <c r="L38" s="256"/>
      <c r="M38" s="69"/>
      <c r="N38" s="256"/>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row>
    <row r="39" spans="1:63" s="75" customFormat="1" ht="24" thickBot="1" x14ac:dyDescent="0.25">
      <c r="A39" s="74"/>
      <c r="B39" s="87" t="s">
        <v>71</v>
      </c>
      <c r="C39" s="88"/>
      <c r="D39" s="88"/>
      <c r="E39" s="88"/>
      <c r="F39" s="88"/>
      <c r="G39" s="264"/>
      <c r="H39" s="264"/>
      <c r="I39" s="264"/>
      <c r="J39" s="264"/>
      <c r="K39" s="69"/>
      <c r="L39" s="264"/>
      <c r="M39" s="69"/>
      <c r="N39" s="264"/>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row>
    <row r="40" spans="1:63" s="75" customFormat="1" ht="9" customHeight="1" x14ac:dyDescent="0.2">
      <c r="A40" s="74"/>
      <c r="B40" s="74"/>
      <c r="C40" s="74"/>
      <c r="D40" s="74"/>
      <c r="E40" s="74"/>
      <c r="F40" s="74"/>
      <c r="G40" s="254"/>
      <c r="H40" s="256"/>
      <c r="I40" s="254"/>
      <c r="J40" s="256"/>
      <c r="K40" s="69"/>
      <c r="L40" s="256"/>
      <c r="M40" s="69"/>
      <c r="N40" s="256"/>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row>
    <row r="41" spans="1:63" s="73" customFormat="1" ht="21" thickBot="1" x14ac:dyDescent="0.35">
      <c r="A41" s="70"/>
      <c r="B41" s="155" t="s">
        <v>72</v>
      </c>
      <c r="C41" s="156"/>
      <c r="D41" s="155"/>
      <c r="E41" s="155"/>
      <c r="F41" s="155"/>
      <c r="G41" s="293"/>
      <c r="H41" s="255"/>
      <c r="I41" s="293"/>
      <c r="J41" s="255"/>
      <c r="K41" s="72"/>
      <c r="L41" s="255"/>
      <c r="M41" s="72"/>
      <c r="N41" s="255"/>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row>
    <row r="42" spans="1:63" s="78" customFormat="1" ht="20.25" x14ac:dyDescent="0.2">
      <c r="A42" s="76"/>
      <c r="B42" s="76"/>
      <c r="C42" s="76"/>
      <c r="D42" s="76" t="s">
        <v>166</v>
      </c>
      <c r="F42" s="76"/>
      <c r="G42" s="269"/>
      <c r="H42" s="269">
        <f>26434.87+2066.49+2858.31+1207.23+32</f>
        <v>32598.9</v>
      </c>
      <c r="I42" s="269"/>
      <c r="J42" s="269">
        <f>19102.77+1920.21+10973.24+6624</f>
        <v>38620.22</v>
      </c>
      <c r="K42" s="431"/>
      <c r="L42" s="269">
        <f>24505.49+3420.21+7069.46+3761.58</f>
        <v>38756.740000000005</v>
      </c>
      <c r="M42" s="77"/>
      <c r="N42" s="269">
        <f>13465.67+4920.21+2843.14+3705.99</f>
        <v>24935.010000000002</v>
      </c>
      <c r="O42" s="77"/>
      <c r="P42" s="431"/>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row>
    <row r="43" spans="1:63" s="78" customFormat="1" ht="20.25" x14ac:dyDescent="0.2">
      <c r="A43" s="76"/>
      <c r="B43" s="76"/>
      <c r="C43" s="76"/>
      <c r="D43" s="76" t="s">
        <v>108</v>
      </c>
      <c r="F43" s="76"/>
      <c r="G43" s="254"/>
      <c r="H43" s="254">
        <v>1369.04</v>
      </c>
      <c r="I43" s="254"/>
      <c r="J43" s="254">
        <v>205.55</v>
      </c>
      <c r="K43" s="77"/>
      <c r="L43" s="254">
        <v>1535.62</v>
      </c>
      <c r="M43" s="77"/>
      <c r="N43" s="254">
        <v>91.58</v>
      </c>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row>
    <row r="44" spans="1:63" s="78" customFormat="1" ht="20.25" x14ac:dyDescent="0.2">
      <c r="A44" s="76"/>
      <c r="B44" s="76"/>
      <c r="C44" s="76"/>
      <c r="D44" s="80" t="s">
        <v>96</v>
      </c>
      <c r="F44" s="76"/>
      <c r="G44" s="254"/>
      <c r="H44" s="256">
        <v>0</v>
      </c>
      <c r="I44" s="256"/>
      <c r="J44" s="256">
        <v>20672.88</v>
      </c>
      <c r="K44" s="77"/>
      <c r="L44" s="256">
        <v>0</v>
      </c>
      <c r="M44" s="77"/>
      <c r="N44" s="256">
        <v>375</v>
      </c>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row>
    <row r="45" spans="1:63" s="78" customFormat="1" ht="20.25" hidden="1" x14ac:dyDescent="0.2">
      <c r="A45" s="76"/>
      <c r="B45" s="76"/>
      <c r="C45" s="76"/>
      <c r="D45" s="80" t="s">
        <v>174</v>
      </c>
      <c r="F45" s="76"/>
      <c r="G45" s="254"/>
      <c r="H45" s="256">
        <v>0</v>
      </c>
      <c r="I45" s="256"/>
      <c r="J45" s="256">
        <v>0</v>
      </c>
      <c r="K45" s="77"/>
      <c r="L45" s="256">
        <v>0</v>
      </c>
      <c r="M45" s="77"/>
      <c r="N45" s="256">
        <v>0</v>
      </c>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row>
    <row r="46" spans="1:63" s="78" customFormat="1" ht="20.25" x14ac:dyDescent="0.2">
      <c r="A46" s="76"/>
      <c r="B46" s="76"/>
      <c r="C46" s="76"/>
      <c r="D46" s="79" t="s">
        <v>107</v>
      </c>
      <c r="E46" s="154"/>
      <c r="F46" s="79"/>
      <c r="G46" s="254"/>
      <c r="H46" s="256">
        <f>'August''17 Revenues &amp; Expenses'!L44</f>
        <v>108073.95999999999</v>
      </c>
      <c r="I46" s="358"/>
      <c r="J46" s="256">
        <f>115023.48</f>
        <v>115023.48</v>
      </c>
      <c r="K46" s="270"/>
      <c r="L46" s="256">
        <v>186790.71</v>
      </c>
      <c r="M46" s="77"/>
      <c r="N46" s="256">
        <v>124099.25</v>
      </c>
      <c r="O46" s="77"/>
      <c r="P46" s="77"/>
      <c r="Q46" s="77"/>
      <c r="R46" s="270"/>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row>
    <row r="47" spans="1:63" s="78" customFormat="1" ht="20.25" x14ac:dyDescent="0.2">
      <c r="A47" s="76"/>
      <c r="B47" s="76"/>
      <c r="C47" s="81" t="s">
        <v>83</v>
      </c>
      <c r="D47" s="76"/>
      <c r="F47" s="76"/>
      <c r="G47" s="254"/>
      <c r="H47" s="265">
        <f>SUM(H42:H46)</f>
        <v>142041.9</v>
      </c>
      <c r="I47" s="358"/>
      <c r="J47" s="265">
        <f>SUM(J42:J46)</f>
        <v>174522.13</v>
      </c>
      <c r="K47" s="77"/>
      <c r="L47" s="265">
        <f>SUM(L42:L46)</f>
        <v>227083.07</v>
      </c>
      <c r="M47" s="77"/>
      <c r="N47" s="265">
        <f>SUM(N42:N46)</f>
        <v>149500.84</v>
      </c>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row>
    <row r="48" spans="1:63" s="78" customFormat="1" ht="9.75" customHeight="1" x14ac:dyDescent="0.2">
      <c r="A48" s="76"/>
      <c r="B48" s="76"/>
      <c r="C48" s="76"/>
      <c r="D48" s="76"/>
      <c r="E48" s="76"/>
      <c r="F48" s="76"/>
      <c r="G48" s="254"/>
      <c r="H48" s="256"/>
      <c r="I48" s="358"/>
      <c r="J48" s="256"/>
      <c r="K48" s="77"/>
      <c r="L48" s="256"/>
      <c r="M48" s="77"/>
      <c r="N48" s="256"/>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row>
    <row r="49" spans="1:63" s="78" customFormat="1" ht="20.25" x14ac:dyDescent="0.2">
      <c r="A49" s="76"/>
      <c r="B49" s="76"/>
      <c r="C49" s="89" t="s">
        <v>85</v>
      </c>
      <c r="D49" s="89"/>
      <c r="E49" s="154"/>
      <c r="F49" s="154"/>
      <c r="G49" s="254"/>
      <c r="H49" s="257"/>
      <c r="I49" s="358"/>
      <c r="J49" s="257"/>
      <c r="K49" s="77"/>
      <c r="L49" s="257"/>
      <c r="M49" s="77"/>
      <c r="N49" s="25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row>
    <row r="50" spans="1:63" s="78" customFormat="1" ht="20.25" x14ac:dyDescent="0.2">
      <c r="A50" s="76"/>
      <c r="B50" s="76"/>
      <c r="C50" s="76"/>
      <c r="D50" s="76" t="s">
        <v>99</v>
      </c>
      <c r="E50" s="76"/>
      <c r="F50" s="76"/>
      <c r="G50" s="254"/>
      <c r="H50" s="254">
        <f>31807.74+739.46-H52-H53</f>
        <v>32415.670000000002</v>
      </c>
      <c r="I50" s="358"/>
      <c r="J50" s="254">
        <f>18326.9+4317.56-J52-J53</f>
        <v>20316.520000000004</v>
      </c>
      <c r="K50" s="77"/>
      <c r="L50" s="254">
        <f>30510.04+3195.25-L52-L53</f>
        <v>31693.27</v>
      </c>
      <c r="M50" s="77"/>
      <c r="N50" s="254">
        <f>37974.5+3228.59-N52-N53</f>
        <v>38695.399999999994</v>
      </c>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row>
    <row r="51" spans="1:63" s="78" customFormat="1" ht="20.25" x14ac:dyDescent="0.2">
      <c r="A51" s="76"/>
      <c r="B51" s="76"/>
      <c r="C51" s="76"/>
      <c r="D51" s="76" t="s">
        <v>100</v>
      </c>
      <c r="E51" s="76"/>
      <c r="F51" s="76"/>
      <c r="G51" s="254"/>
      <c r="H51" s="254">
        <v>27735.03</v>
      </c>
      <c r="I51" s="358"/>
      <c r="J51" s="254">
        <v>23272.95</v>
      </c>
      <c r="K51" s="77"/>
      <c r="L51" s="254">
        <v>26338.45</v>
      </c>
      <c r="M51" s="77"/>
      <c r="N51" s="254">
        <v>25383.93</v>
      </c>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row>
    <row r="52" spans="1:63" s="78" customFormat="1" ht="20.25" x14ac:dyDescent="0.2">
      <c r="A52" s="76"/>
      <c r="B52" s="76"/>
      <c r="C52" s="76"/>
      <c r="D52" s="76" t="s">
        <v>101</v>
      </c>
      <c r="E52" s="76"/>
      <c r="F52" s="76"/>
      <c r="G52" s="254"/>
      <c r="H52" s="256">
        <v>18.75</v>
      </c>
      <c r="I52" s="358"/>
      <c r="J52" s="256">
        <v>2043.68</v>
      </c>
      <c r="K52" s="77"/>
      <c r="L52" s="256">
        <v>1853.7</v>
      </c>
      <c r="M52" s="77"/>
      <c r="N52" s="256">
        <v>2229.41</v>
      </c>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row>
    <row r="53" spans="1:63" s="78" customFormat="1" ht="20.25" x14ac:dyDescent="0.2">
      <c r="A53" s="76"/>
      <c r="B53" s="76"/>
      <c r="C53" s="76"/>
      <c r="D53" s="76" t="s">
        <v>102</v>
      </c>
      <c r="E53" s="76"/>
      <c r="F53" s="76"/>
      <c r="G53" s="254"/>
      <c r="H53" s="257">
        <v>112.78</v>
      </c>
      <c r="I53" s="358"/>
      <c r="J53" s="257">
        <v>284.26</v>
      </c>
      <c r="K53" s="77"/>
      <c r="L53" s="257">
        <v>158.32</v>
      </c>
      <c r="M53" s="77"/>
      <c r="N53" s="257">
        <v>278.27999999999997</v>
      </c>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row>
    <row r="54" spans="1:63" s="78" customFormat="1" ht="20.25" x14ac:dyDescent="0.2">
      <c r="A54" s="76"/>
      <c r="B54" s="76"/>
      <c r="C54" s="68" t="s">
        <v>84</v>
      </c>
      <c r="D54" s="76"/>
      <c r="F54" s="80"/>
      <c r="G54" s="254"/>
      <c r="H54" s="254">
        <f>ROUND(SUM(H49:H53),5)</f>
        <v>60282.23</v>
      </c>
      <c r="I54" s="358"/>
      <c r="J54" s="254">
        <f>ROUND(SUM(J49:J53),5)</f>
        <v>45917.41</v>
      </c>
      <c r="K54" s="77"/>
      <c r="L54" s="254">
        <f>ROUND(SUM(L49:L53),5)</f>
        <v>60043.74</v>
      </c>
      <c r="M54" s="77"/>
      <c r="N54" s="254">
        <f>ROUND(SUM(N49:N53),5)</f>
        <v>66587.02</v>
      </c>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row>
    <row r="55" spans="1:63" s="78" customFormat="1" ht="7.5" customHeight="1" x14ac:dyDescent="0.2">
      <c r="A55" s="76"/>
      <c r="B55" s="76"/>
      <c r="C55" s="79"/>
      <c r="D55" s="79"/>
      <c r="E55" s="79"/>
      <c r="F55" s="79"/>
      <c r="G55" s="254"/>
      <c r="H55" s="257"/>
      <c r="I55" s="358"/>
      <c r="J55" s="257"/>
      <c r="K55" s="77"/>
      <c r="L55" s="257"/>
      <c r="M55" s="77"/>
      <c r="N55" s="25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row>
    <row r="56" spans="1:63" s="75" customFormat="1" ht="20.25" x14ac:dyDescent="0.2">
      <c r="A56" s="74"/>
      <c r="B56" s="74"/>
      <c r="C56" s="74" t="s">
        <v>86</v>
      </c>
      <c r="D56" s="74"/>
      <c r="E56" s="74"/>
      <c r="F56" s="74"/>
      <c r="G56" s="259"/>
      <c r="H56" s="258">
        <f>H47+H54</f>
        <v>202324.13</v>
      </c>
      <c r="I56" s="439"/>
      <c r="J56" s="258">
        <f>J47+J54</f>
        <v>220439.54</v>
      </c>
      <c r="K56" s="288"/>
      <c r="L56" s="258">
        <f>L47+L54</f>
        <v>287126.81</v>
      </c>
      <c r="M56" s="69"/>
      <c r="N56" s="258">
        <f>N47+N54</f>
        <v>216087.86</v>
      </c>
      <c r="O56" s="69"/>
      <c r="P56" s="69"/>
      <c r="Q56" s="69"/>
      <c r="R56" s="37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row>
    <row r="57" spans="1:63" s="75" customFormat="1" ht="18.75" customHeight="1" x14ac:dyDescent="0.2">
      <c r="A57" s="74"/>
      <c r="B57" s="74"/>
      <c r="C57" s="74"/>
      <c r="D57" s="74"/>
      <c r="E57" s="74"/>
      <c r="F57" s="74"/>
      <c r="G57" s="259"/>
      <c r="H57" s="258"/>
      <c r="I57" s="439"/>
      <c r="M57" s="69"/>
      <c r="N57" s="258"/>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row>
    <row r="58" spans="1:63" s="75" customFormat="1" ht="24" thickBot="1" x14ac:dyDescent="0.25">
      <c r="A58" s="74"/>
      <c r="B58" s="87" t="s">
        <v>73</v>
      </c>
      <c r="C58" s="88"/>
      <c r="D58" s="88"/>
      <c r="E58" s="88"/>
      <c r="F58" s="88"/>
      <c r="G58" s="254"/>
      <c r="H58" s="264"/>
      <c r="I58" s="358"/>
      <c r="J58" s="264"/>
      <c r="K58" s="69"/>
      <c r="L58" s="264"/>
      <c r="M58" s="69"/>
      <c r="N58" s="264"/>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row>
    <row r="59" spans="1:63" s="78" customFormat="1" ht="20.25" x14ac:dyDescent="0.2">
      <c r="A59" s="76"/>
      <c r="B59" s="76"/>
      <c r="D59" s="76" t="s">
        <v>97</v>
      </c>
      <c r="E59" s="76"/>
      <c r="F59" s="76"/>
      <c r="G59" s="254"/>
      <c r="H59" s="256">
        <f>J59+J61</f>
        <v>617788</v>
      </c>
      <c r="I59" s="358"/>
      <c r="J59" s="256">
        <f>617788-J61</f>
        <v>570399.89</v>
      </c>
      <c r="K59" s="270"/>
      <c r="L59" s="256">
        <f>J59</f>
        <v>570399.89</v>
      </c>
      <c r="M59" s="77"/>
      <c r="N59" s="256">
        <f>L59</f>
        <v>570399.89</v>
      </c>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row>
    <row r="60" spans="1:63" s="78" customFormat="1" ht="20.25" x14ac:dyDescent="0.2">
      <c r="A60" s="76"/>
      <c r="B60" s="76"/>
      <c r="D60" s="76" t="s">
        <v>103</v>
      </c>
      <c r="E60" s="76"/>
      <c r="F60" s="76"/>
      <c r="G60" s="254"/>
      <c r="H60" s="256">
        <f>'August''17 Revenues &amp; Expenses'!L63</f>
        <v>53026.556666666664</v>
      </c>
      <c r="I60" s="358"/>
      <c r="J60" s="256">
        <v>32653.98</v>
      </c>
      <c r="K60" s="270"/>
      <c r="L60" s="256">
        <v>50046.92</v>
      </c>
      <c r="M60" s="77"/>
      <c r="N60" s="256">
        <v>52844.79</v>
      </c>
      <c r="O60" s="77"/>
      <c r="P60" s="77"/>
      <c r="Q60" s="270"/>
      <c r="R60" s="270"/>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row>
    <row r="61" spans="1:63" s="75" customFormat="1" ht="21" thickBot="1" x14ac:dyDescent="0.25">
      <c r="A61" s="74"/>
      <c r="B61" s="74"/>
      <c r="D61" s="76" t="s">
        <v>142</v>
      </c>
      <c r="E61" s="74"/>
      <c r="F61" s="88"/>
      <c r="G61" s="358"/>
      <c r="H61" s="264">
        <f>'August''17 State of Activities'!G58</f>
        <v>22434.969999999972</v>
      </c>
      <c r="I61" s="358"/>
      <c r="J61" s="264">
        <f>47420.11-32</f>
        <v>47388.11</v>
      </c>
      <c r="K61" s="69"/>
      <c r="L61" s="264">
        <f>'August''17 State of Activities'!J58</f>
        <v>31280.489999999758</v>
      </c>
      <c r="M61" s="69"/>
      <c r="N61" s="264">
        <f>'August''17 State of Activities'!J58</f>
        <v>31280.489999999758</v>
      </c>
      <c r="O61" s="69"/>
      <c r="P61" s="69"/>
      <c r="Q61" s="69"/>
      <c r="R61" s="443"/>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row>
    <row r="62" spans="1:63" s="75" customFormat="1" ht="23.25" x14ac:dyDescent="0.2">
      <c r="A62" s="74"/>
      <c r="B62" s="90" t="s">
        <v>74</v>
      </c>
      <c r="C62" s="91"/>
      <c r="D62" s="91"/>
      <c r="E62" s="91"/>
      <c r="F62" s="68"/>
      <c r="G62" s="439"/>
      <c r="H62" s="259">
        <f>ROUND(SUM(H58:H61),5)</f>
        <v>693249.52667000005</v>
      </c>
      <c r="I62" s="439"/>
      <c r="J62" s="259">
        <f>ROUND(SUM(J58:J61),5)</f>
        <v>650441.98</v>
      </c>
      <c r="K62" s="69"/>
      <c r="L62" s="259">
        <f>ROUND(SUM(L58:L61),5)</f>
        <v>651727.30000000005</v>
      </c>
      <c r="M62" s="69"/>
      <c r="N62" s="259">
        <f>ROUND(SUM(N58:N61),5)</f>
        <v>654525.17000000004</v>
      </c>
      <c r="O62" s="69"/>
      <c r="P62" s="69"/>
      <c r="Q62" s="69"/>
      <c r="R62" s="443"/>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63" s="75" customFormat="1" ht="12.75" customHeight="1" x14ac:dyDescent="0.2">
      <c r="A63" s="74"/>
      <c r="B63" s="74"/>
      <c r="C63" s="74"/>
      <c r="D63" s="74"/>
      <c r="E63" s="74"/>
      <c r="F63" s="74"/>
      <c r="G63" s="358"/>
      <c r="H63" s="257"/>
      <c r="I63" s="358"/>
      <c r="J63" s="257"/>
      <c r="K63" s="69"/>
      <c r="L63" s="257"/>
      <c r="M63" s="69"/>
      <c r="N63" s="257"/>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row>
    <row r="64" spans="1:63" s="92" customFormat="1" ht="27" thickBot="1" x14ac:dyDescent="0.25">
      <c r="A64" s="82" t="s">
        <v>75</v>
      </c>
      <c r="B64" s="82"/>
      <c r="C64" s="82"/>
      <c r="D64" s="82"/>
      <c r="E64" s="82"/>
      <c r="F64" s="82"/>
      <c r="G64" s="440"/>
      <c r="H64" s="395">
        <f>SUM(H56+H62)</f>
        <v>895573.65667000005</v>
      </c>
      <c r="I64" s="440"/>
      <c r="J64" s="395">
        <f>SUM(J56+J62)</f>
        <v>870881.52</v>
      </c>
      <c r="K64" s="83"/>
      <c r="L64" s="395">
        <f>SUM(L56+L62)</f>
        <v>938854.1100000001</v>
      </c>
      <c r="M64" s="83"/>
      <c r="N64" s="395">
        <f>SUM(N56+N62)</f>
        <v>870613.03</v>
      </c>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row>
    <row r="65" spans="3:14" ht="15" thickTop="1" x14ac:dyDescent="0.2">
      <c r="D65" s="380"/>
      <c r="G65" s="1"/>
      <c r="I65" s="1"/>
    </row>
    <row r="66" spans="3:14" hidden="1" x14ac:dyDescent="0.2">
      <c r="G66" s="441"/>
      <c r="H66" s="273"/>
      <c r="I66" s="273"/>
      <c r="J66" s="273"/>
      <c r="L66" s="273"/>
      <c r="N66" s="273"/>
    </row>
    <row r="67" spans="3:14" ht="14.25" customHeight="1" x14ac:dyDescent="0.2">
      <c r="C67" s="711" t="s">
        <v>234</v>
      </c>
      <c r="D67" s="711"/>
      <c r="E67" s="711"/>
      <c r="F67" s="711"/>
      <c r="G67" s="1"/>
      <c r="H67" s="508">
        <f>(H19+H16)/H56</f>
        <v>2.9178886374057313</v>
      </c>
      <c r="J67" s="508">
        <f>(J19+J16)/J56</f>
        <v>2.7480647528115871</v>
      </c>
      <c r="K67" s="288"/>
      <c r="L67" s="508">
        <f>(L19+L16)/L56</f>
        <v>2.3062226407906667</v>
      </c>
      <c r="N67" s="508">
        <f>(N19+N16)/N56</f>
        <v>2.9994975654810041</v>
      </c>
    </row>
    <row r="70" spans="3:14" x14ac:dyDescent="0.2">
      <c r="G70" s="298"/>
      <c r="H70" s="273">
        <f>H64-H35</f>
        <v>0.13667000003624707</v>
      </c>
      <c r="I70" s="298"/>
      <c r="J70" s="273">
        <f>J64-J35</f>
        <v>-1.0000000009313226E-2</v>
      </c>
    </row>
    <row r="75" spans="3:14" x14ac:dyDescent="0.2">
      <c r="H75" s="298"/>
    </row>
  </sheetData>
  <mergeCells count="2">
    <mergeCell ref="I6:M6"/>
    <mergeCell ref="C67:F67"/>
  </mergeCells>
  <pageMargins left="0.7" right="0.45" top="0.25" bottom="0" header="0.3" footer="0"/>
  <pageSetup scale="6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3"/>
  <sheetViews>
    <sheetView zoomScale="75" zoomScaleNormal="75" workbookViewId="0">
      <selection sqref="A1:T71"/>
    </sheetView>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23.125" style="18" customWidth="1"/>
    <col min="9" max="9" width="1.625" style="18" customWidth="1"/>
    <col min="10" max="10" width="23" style="18" customWidth="1"/>
    <col min="11" max="11" width="1.875" style="416" customWidth="1"/>
    <col min="12" max="12" width="17.25" style="18" customWidth="1"/>
    <col min="13" max="13" width="10" style="18" customWidth="1"/>
    <col min="14" max="14" width="26.75" style="634" customWidth="1"/>
    <col min="15"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106</v>
      </c>
      <c r="B1" s="60"/>
      <c r="C1" s="61"/>
      <c r="D1" s="61"/>
      <c r="E1" s="61"/>
      <c r="F1" s="60"/>
      <c r="G1" s="252"/>
      <c r="H1" s="60"/>
      <c r="I1" s="60"/>
      <c r="J1" s="60"/>
      <c r="K1" s="408"/>
      <c r="L1" s="60"/>
      <c r="M1" s="60"/>
      <c r="N1" s="626"/>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192</v>
      </c>
      <c r="B2" s="60"/>
      <c r="C2" s="61"/>
      <c r="D2" s="61"/>
      <c r="E2" s="61"/>
      <c r="F2" s="60"/>
      <c r="G2" s="252"/>
      <c r="H2" s="60"/>
      <c r="I2" s="60"/>
      <c r="J2" s="60"/>
      <c r="K2" s="408"/>
      <c r="L2" s="60"/>
      <c r="M2" s="60"/>
      <c r="N2" s="626"/>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9" t="s">
        <v>358</v>
      </c>
      <c r="B3" s="60"/>
      <c r="C3" s="61"/>
      <c r="D3" s="61"/>
      <c r="E3" s="61"/>
      <c r="F3" s="60"/>
      <c r="G3" s="252"/>
      <c r="H3" s="60"/>
      <c r="I3" s="60"/>
      <c r="J3" s="60"/>
      <c r="K3" s="408"/>
      <c r="L3" s="60"/>
      <c r="M3" s="60"/>
      <c r="N3" s="626"/>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428</v>
      </c>
      <c r="B4" s="60"/>
      <c r="C4" s="61"/>
      <c r="D4" s="61"/>
      <c r="E4" s="61"/>
      <c r="F4" s="60"/>
      <c r="G4" s="252"/>
      <c r="H4" s="60"/>
      <c r="I4" s="60"/>
      <c r="J4" s="60"/>
      <c r="K4" s="408"/>
      <c r="L4" s="60"/>
      <c r="M4" s="60"/>
      <c r="N4" s="626"/>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53"/>
      <c r="H5" s="63"/>
      <c r="I5" s="63"/>
      <c r="J5" s="63"/>
      <c r="K5" s="409"/>
      <c r="L5" s="63"/>
      <c r="M5" s="63"/>
      <c r="N5" s="627"/>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121</v>
      </c>
      <c r="B6" s="65"/>
      <c r="C6" s="65"/>
      <c r="D6" s="65"/>
      <c r="E6" s="65"/>
      <c r="F6" s="65"/>
      <c r="G6" s="710" t="s">
        <v>59</v>
      </c>
      <c r="H6" s="710"/>
      <c r="I6" s="710"/>
      <c r="J6" s="710"/>
      <c r="K6" s="410"/>
      <c r="L6" s="475" t="s">
        <v>213</v>
      </c>
      <c r="M6" s="472" t="s">
        <v>226</v>
      </c>
      <c r="N6" s="628"/>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54"/>
      <c r="K7" s="411"/>
      <c r="N7" s="628"/>
    </row>
    <row r="8" spans="1:113" s="73" customFormat="1" ht="21" thickBot="1" x14ac:dyDescent="0.35">
      <c r="A8" s="70"/>
      <c r="B8" s="155" t="s">
        <v>113</v>
      </c>
      <c r="C8" s="155"/>
      <c r="D8" s="155"/>
      <c r="E8" s="155"/>
      <c r="F8" s="155"/>
      <c r="G8" s="308">
        <f>'August''17 Financial Position'!H8</f>
        <v>42978</v>
      </c>
      <c r="H8" s="308">
        <v>42735</v>
      </c>
      <c r="I8" s="359"/>
      <c r="J8" s="308">
        <f>G8-365</f>
        <v>42613</v>
      </c>
      <c r="K8" s="412"/>
      <c r="L8" s="712" t="s">
        <v>429</v>
      </c>
      <c r="M8" s="712"/>
      <c r="N8" s="629" t="s">
        <v>212</v>
      </c>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114</v>
      </c>
      <c r="D9" s="76"/>
      <c r="E9" s="76"/>
      <c r="F9" s="74"/>
      <c r="G9" s="289">
        <v>674080.8</v>
      </c>
      <c r="H9" s="289">
        <v>1033661.42</v>
      </c>
      <c r="I9" s="362"/>
      <c r="J9" s="289">
        <v>728816.06</v>
      </c>
      <c r="K9" s="411"/>
      <c r="L9" s="430">
        <f>G9-J9</f>
        <v>-54735.260000000009</v>
      </c>
      <c r="M9" s="509">
        <f>L9/J9</f>
        <v>-7.5101610686240924E-2</v>
      </c>
      <c r="N9" s="628" t="s">
        <v>445</v>
      </c>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74"/>
      <c r="C10" s="76" t="s">
        <v>198</v>
      </c>
      <c r="D10" s="76"/>
      <c r="E10" s="76"/>
      <c r="F10" s="74"/>
      <c r="G10" s="290">
        <v>7228.39</v>
      </c>
      <c r="H10" s="290">
        <v>14248.21</v>
      </c>
      <c r="I10" s="358"/>
      <c r="J10" s="290">
        <v>11025.95</v>
      </c>
      <c r="K10" s="411"/>
      <c r="L10" s="301">
        <f>G10-J10</f>
        <v>-3797.5600000000004</v>
      </c>
      <c r="M10" s="509">
        <v>1</v>
      </c>
      <c r="N10" s="628"/>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48"/>
      <c r="C11" s="76" t="s">
        <v>167</v>
      </c>
      <c r="D11" s="76"/>
      <c r="E11" s="76"/>
      <c r="F11" s="74"/>
      <c r="G11" s="290">
        <v>112514.99</v>
      </c>
      <c r="H11" s="290">
        <f>191128.4-32</f>
        <v>191096.4</v>
      </c>
      <c r="I11" s="358"/>
      <c r="J11" s="290">
        <v>134073.48000000001</v>
      </c>
      <c r="K11" s="411"/>
      <c r="L11" s="301">
        <f t="shared" ref="L11:L24" si="0">G11-J11</f>
        <v>-21558.490000000005</v>
      </c>
      <c r="M11" s="509">
        <f t="shared" ref="M11:M26" si="1">L11/J11</f>
        <v>-0.16079607988097275</v>
      </c>
      <c r="N11" s="628" t="s">
        <v>447</v>
      </c>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48"/>
      <c r="C12" s="76" t="s">
        <v>211</v>
      </c>
      <c r="D12" s="76"/>
      <c r="E12" s="76"/>
      <c r="F12" s="74"/>
      <c r="G12" s="290">
        <v>25206.799999999999</v>
      </c>
      <c r="H12" s="290">
        <v>41517.599999999999</v>
      </c>
      <c r="I12" s="358"/>
      <c r="J12" s="290">
        <v>27333.93</v>
      </c>
      <c r="K12" s="411"/>
      <c r="L12" s="301">
        <f t="shared" si="0"/>
        <v>-2127.130000000001</v>
      </c>
      <c r="M12" s="509">
        <f t="shared" si="1"/>
        <v>-7.7820130511785213E-2</v>
      </c>
      <c r="N12" s="628"/>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48"/>
      <c r="C13" s="76" t="s">
        <v>115</v>
      </c>
      <c r="D13" s="76"/>
      <c r="E13" s="76"/>
      <c r="F13" s="74"/>
      <c r="G13" s="290"/>
      <c r="H13" s="290"/>
      <c r="I13" s="358"/>
      <c r="J13" s="290"/>
      <c r="K13" s="411"/>
      <c r="L13" s="301">
        <f t="shared" si="0"/>
        <v>0</v>
      </c>
      <c r="M13" s="509"/>
      <c r="N13" s="62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48"/>
      <c r="C14" s="78"/>
      <c r="D14" s="76" t="s">
        <v>156</v>
      </c>
      <c r="E14" s="76"/>
      <c r="F14" s="74"/>
      <c r="G14" s="290">
        <v>104179.56</v>
      </c>
      <c r="H14" s="290">
        <v>136318.39000000001</v>
      </c>
      <c r="I14" s="358"/>
      <c r="J14" s="290">
        <v>84360.43</v>
      </c>
      <c r="K14" s="411"/>
      <c r="L14" s="301">
        <f t="shared" si="0"/>
        <v>19819.130000000005</v>
      </c>
      <c r="M14" s="509">
        <f t="shared" si="1"/>
        <v>0.23493396133708666</v>
      </c>
      <c r="N14" s="628" t="s">
        <v>446</v>
      </c>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48"/>
      <c r="C15" s="78"/>
      <c r="D15" s="76" t="s">
        <v>178</v>
      </c>
      <c r="E15" s="76"/>
      <c r="F15" s="74"/>
      <c r="G15" s="290">
        <v>6962.4</v>
      </c>
      <c r="H15" s="290">
        <v>10920.9</v>
      </c>
      <c r="I15" s="358"/>
      <c r="J15" s="290">
        <v>6495.9</v>
      </c>
      <c r="K15" s="411"/>
      <c r="L15" s="301">
        <f t="shared" si="0"/>
        <v>466.5</v>
      </c>
      <c r="M15" s="509">
        <f>L15/J15</f>
        <v>7.1814529164549945E-2</v>
      </c>
      <c r="N15" s="628"/>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48"/>
      <c r="C16" s="78"/>
      <c r="D16" s="713" t="s">
        <v>264</v>
      </c>
      <c r="E16" s="713"/>
      <c r="F16" s="713"/>
      <c r="G16" s="290">
        <v>0</v>
      </c>
      <c r="H16" s="290">
        <v>633.91999999999996</v>
      </c>
      <c r="I16" s="358"/>
      <c r="J16" s="290">
        <v>633.91999999999996</v>
      </c>
      <c r="K16" s="411"/>
      <c r="L16" s="301">
        <f t="shared" si="0"/>
        <v>-633.91999999999996</v>
      </c>
      <c r="M16" s="509">
        <f>L16/J16</f>
        <v>-1</v>
      </c>
      <c r="N16" s="628"/>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48"/>
      <c r="C17" s="484" t="s">
        <v>341</v>
      </c>
      <c r="D17" s="577"/>
      <c r="E17" s="577"/>
      <c r="F17" s="577"/>
      <c r="G17" s="290">
        <v>2020</v>
      </c>
      <c r="H17" s="290">
        <f>6000+1400</f>
        <v>7400</v>
      </c>
      <c r="I17" s="358"/>
      <c r="J17" s="290">
        <v>6000</v>
      </c>
      <c r="K17" s="411"/>
      <c r="L17" s="301">
        <f t="shared" si="0"/>
        <v>-3980</v>
      </c>
      <c r="M17" s="509">
        <v>1</v>
      </c>
      <c r="N17" s="628" t="s">
        <v>385</v>
      </c>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48"/>
      <c r="C18" s="76" t="s">
        <v>116</v>
      </c>
      <c r="D18" s="76"/>
      <c r="E18" s="76"/>
      <c r="F18" s="74"/>
      <c r="G18" s="290">
        <f>'August''17 Revenues &amp; Expenses'!J54</f>
        <v>7238.25</v>
      </c>
      <c r="H18" s="290">
        <v>9721.94</v>
      </c>
      <c r="I18" s="358"/>
      <c r="J18" s="290">
        <v>6034</v>
      </c>
      <c r="K18" s="411"/>
      <c r="L18" s="301">
        <f t="shared" si="0"/>
        <v>1204.25</v>
      </c>
      <c r="M18" s="509">
        <f t="shared" si="1"/>
        <v>0.19957739476300962</v>
      </c>
      <c r="N18" s="628"/>
      <c r="O18" s="69"/>
      <c r="P18" s="69"/>
      <c r="Q18" s="288"/>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48"/>
      <c r="C19" s="444" t="s">
        <v>183</v>
      </c>
      <c r="D19" s="444"/>
      <c r="E19" s="444"/>
      <c r="F19" s="74"/>
      <c r="G19" s="290">
        <v>100</v>
      </c>
      <c r="H19" s="290">
        <v>150</v>
      </c>
      <c r="I19" s="358"/>
      <c r="J19" s="290">
        <v>150</v>
      </c>
      <c r="K19" s="411"/>
      <c r="L19" s="301">
        <f t="shared" si="0"/>
        <v>-50</v>
      </c>
      <c r="M19" s="509">
        <f t="shared" si="1"/>
        <v>-0.33333333333333331</v>
      </c>
      <c r="N19" s="628"/>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48"/>
      <c r="C20" s="76" t="s">
        <v>123</v>
      </c>
      <c r="D20" s="76"/>
      <c r="E20" s="76"/>
      <c r="F20" s="74"/>
      <c r="G20" s="290">
        <v>778.82</v>
      </c>
      <c r="H20" s="290">
        <v>1251.8699999999999</v>
      </c>
      <c r="I20" s="358"/>
      <c r="J20" s="290">
        <v>786.7</v>
      </c>
      <c r="K20" s="411"/>
      <c r="L20" s="301">
        <f t="shared" si="0"/>
        <v>-7.8799999999999955</v>
      </c>
      <c r="M20" s="509">
        <f t="shared" si="1"/>
        <v>-1.0016524723528658E-2</v>
      </c>
      <c r="N20" s="628"/>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48"/>
      <c r="C21" s="444" t="s">
        <v>298</v>
      </c>
      <c r="D21" s="444"/>
      <c r="E21" s="444"/>
      <c r="F21" s="74"/>
      <c r="G21" s="290">
        <v>2106.64</v>
      </c>
      <c r="H21" s="290">
        <f>365.07+9.54-4+35.57+53.88+113.52-10+142.31+163.2+182.91-10+1188.99</f>
        <v>2230.9900000000002</v>
      </c>
      <c r="I21" s="358"/>
      <c r="J21" s="290">
        <v>563.58000000000004</v>
      </c>
      <c r="K21" s="411"/>
      <c r="L21" s="301">
        <f t="shared" si="0"/>
        <v>1543.06</v>
      </c>
      <c r="M21" s="509">
        <f t="shared" si="1"/>
        <v>2.7379608928634798</v>
      </c>
      <c r="N21" s="628"/>
      <c r="O21" s="69"/>
      <c r="P21" s="69"/>
      <c r="Q21" s="288"/>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48"/>
      <c r="C22" s="76" t="s">
        <v>265</v>
      </c>
      <c r="D22" s="76"/>
      <c r="E22" s="76"/>
      <c r="F22" s="74"/>
      <c r="G22" s="290">
        <v>5373.24</v>
      </c>
      <c r="H22" s="290">
        <v>1631.49</v>
      </c>
      <c r="I22" s="358"/>
      <c r="J22" s="290">
        <v>542.47</v>
      </c>
      <c r="K22" s="411"/>
      <c r="L22" s="301">
        <f t="shared" si="0"/>
        <v>4830.7699999999995</v>
      </c>
      <c r="M22" s="509">
        <v>1</v>
      </c>
      <c r="N22" s="628"/>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48"/>
      <c r="C23" s="76" t="s">
        <v>299</v>
      </c>
      <c r="D23" s="76"/>
      <c r="E23" s="76"/>
      <c r="F23" s="74"/>
      <c r="G23" s="290">
        <v>32216.43</v>
      </c>
      <c r="H23" s="290">
        <v>73212.7</v>
      </c>
      <c r="I23" s="358"/>
      <c r="J23" s="290">
        <v>42050.26</v>
      </c>
      <c r="K23" s="411"/>
      <c r="L23" s="301">
        <f t="shared" si="0"/>
        <v>-9833.8300000000017</v>
      </c>
      <c r="M23" s="509">
        <f t="shared" si="1"/>
        <v>-0.23385895830370612</v>
      </c>
      <c r="N23" s="628" t="s">
        <v>449</v>
      </c>
      <c r="O23" s="69"/>
      <c r="P23" s="69"/>
      <c r="Q23" s="288"/>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48"/>
      <c r="C24" s="76" t="s">
        <v>162</v>
      </c>
      <c r="D24" s="76"/>
      <c r="E24" s="76"/>
      <c r="F24" s="74"/>
      <c r="G24" s="290">
        <f>2491.16-G17</f>
        <v>471.15999999999985</v>
      </c>
      <c r="H24" s="290">
        <f>11519.02-7400-1793.77</f>
        <v>2325.2500000000005</v>
      </c>
      <c r="I24" s="358"/>
      <c r="J24" s="290">
        <v>431.48</v>
      </c>
      <c r="K24" s="411"/>
      <c r="L24" s="301">
        <f t="shared" si="0"/>
        <v>39.679999999999836</v>
      </c>
      <c r="M24" s="509">
        <f t="shared" si="1"/>
        <v>9.1962547510892362E-2</v>
      </c>
      <c r="N24" s="630"/>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0.25" x14ac:dyDescent="0.2">
      <c r="A25" s="74"/>
      <c r="B25" s="448"/>
      <c r="C25" s="76" t="s">
        <v>187</v>
      </c>
      <c r="D25" s="76"/>
      <c r="E25" s="76"/>
      <c r="F25" s="74"/>
      <c r="G25" s="290">
        <v>5175</v>
      </c>
      <c r="H25" s="290">
        <v>0</v>
      </c>
      <c r="I25" s="358"/>
      <c r="J25" s="290">
        <v>0</v>
      </c>
      <c r="K25" s="411"/>
      <c r="L25" s="301">
        <f>G25-J25</f>
        <v>5175</v>
      </c>
      <c r="M25" s="509"/>
      <c r="N25" s="628" t="s">
        <v>448</v>
      </c>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1" thickBot="1" x14ac:dyDescent="0.25">
      <c r="A26" s="74"/>
      <c r="B26" s="448"/>
      <c r="C26" s="76" t="s">
        <v>122</v>
      </c>
      <c r="D26" s="76"/>
      <c r="E26" s="76"/>
      <c r="F26" s="74"/>
      <c r="G26" s="291">
        <v>31050</v>
      </c>
      <c r="H26" s="291">
        <v>46575</v>
      </c>
      <c r="I26" s="358"/>
      <c r="J26" s="291">
        <f>G26</f>
        <v>31050</v>
      </c>
      <c r="K26" s="411"/>
      <c r="L26" s="429">
        <f>G26-J26</f>
        <v>0</v>
      </c>
      <c r="M26" s="543">
        <f t="shared" si="1"/>
        <v>0</v>
      </c>
      <c r="N26" s="628"/>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0.25" x14ac:dyDescent="0.2">
      <c r="A27" s="74"/>
      <c r="B27" s="448"/>
      <c r="C27" s="76"/>
      <c r="D27" s="74" t="s">
        <v>118</v>
      </c>
      <c r="E27" s="76"/>
      <c r="F27" s="74"/>
      <c r="G27" s="256">
        <f>SUM(G9:G26)</f>
        <v>1016702.4800000001</v>
      </c>
      <c r="H27" s="256">
        <f>SUM(H9:H26)</f>
        <v>1572896.0799999998</v>
      </c>
      <c r="I27" s="254"/>
      <c r="J27" s="256">
        <f>SUM(J9:J26)</f>
        <v>1080348.1599999999</v>
      </c>
      <c r="K27" s="411"/>
      <c r="L27" s="256">
        <f>G27-J27</f>
        <v>-63645.679999999818</v>
      </c>
      <c r="M27" s="509">
        <f>L27/J27</f>
        <v>-5.8912193639502126E-2</v>
      </c>
      <c r="N27" s="628"/>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1" thickBot="1" x14ac:dyDescent="0.25">
      <c r="A28" s="74"/>
      <c r="B28" s="448"/>
      <c r="C28" s="74" t="s">
        <v>119</v>
      </c>
      <c r="D28" s="76"/>
      <c r="E28" s="76"/>
      <c r="F28" s="74"/>
      <c r="G28" s="264">
        <v>56576.84</v>
      </c>
      <c r="H28" s="264">
        <v>95122.27</v>
      </c>
      <c r="I28" s="254"/>
      <c r="J28" s="264">
        <v>61297.43</v>
      </c>
      <c r="K28" s="411"/>
      <c r="L28" s="264">
        <f>G28-J28</f>
        <v>-4720.5900000000038</v>
      </c>
      <c r="M28" s="543">
        <f>L28/J28</f>
        <v>-7.7011222167063187E-2</v>
      </c>
      <c r="N28" s="630"/>
      <c r="O28" s="69"/>
      <c r="P28" s="69"/>
      <c r="Q28" s="37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20.25" x14ac:dyDescent="0.2">
      <c r="A29" s="74"/>
      <c r="B29" s="448"/>
      <c r="C29" s="76"/>
      <c r="D29" s="74" t="s">
        <v>120</v>
      </c>
      <c r="E29" s="76"/>
      <c r="F29" s="74"/>
      <c r="G29" s="256">
        <f>SUM(G27:G28)</f>
        <v>1073279.32</v>
      </c>
      <c r="H29" s="256">
        <f>SUM(H27:H28)</f>
        <v>1668018.3499999999</v>
      </c>
      <c r="I29" s="254"/>
      <c r="J29" s="256">
        <f>SUM(J27:J28)</f>
        <v>1141645.5899999999</v>
      </c>
      <c r="K29" s="288"/>
      <c r="L29" s="256">
        <f>SUM(L27:L28)</f>
        <v>-68366.269999999815</v>
      </c>
      <c r="M29" s="509">
        <f>L29/J29</f>
        <v>-5.9883969770338115E-2</v>
      </c>
      <c r="N29" s="630"/>
      <c r="O29" s="288"/>
      <c r="P29" s="69"/>
      <c r="Q29" s="37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6" customHeight="1" x14ac:dyDescent="0.2">
      <c r="A30" s="74"/>
      <c r="B30" s="448"/>
      <c r="C30" s="76"/>
      <c r="D30" s="74"/>
      <c r="E30" s="76"/>
      <c r="F30" s="74"/>
      <c r="G30" s="256"/>
      <c r="H30" s="256"/>
      <c r="I30" s="254"/>
      <c r="J30" s="256"/>
      <c r="K30" s="411"/>
      <c r="L30" s="461"/>
      <c r="M30" s="611"/>
      <c r="N30" s="628"/>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75" customFormat="1" ht="21" thickBot="1" x14ac:dyDescent="0.25">
      <c r="A31" s="74"/>
      <c r="B31" s="449" t="s">
        <v>124</v>
      </c>
      <c r="C31" s="88"/>
      <c r="D31" s="88"/>
      <c r="E31" s="88"/>
      <c r="F31" s="88"/>
      <c r="G31" s="264"/>
      <c r="H31" s="264"/>
      <c r="I31" s="69"/>
      <c r="J31" s="69"/>
      <c r="K31" s="411"/>
      <c r="L31" s="461"/>
      <c r="M31" s="611"/>
      <c r="N31" s="630"/>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row>
    <row r="32" spans="1:46" s="69" customFormat="1" ht="20.25" x14ac:dyDescent="0.2">
      <c r="A32" s="68"/>
      <c r="B32" s="450"/>
      <c r="C32" s="80" t="s">
        <v>125</v>
      </c>
      <c r="D32" s="80"/>
      <c r="E32" s="80"/>
      <c r="F32" s="80"/>
      <c r="G32" s="254">
        <v>586327.93000000005</v>
      </c>
      <c r="H32" s="254">
        <v>898643.55</v>
      </c>
      <c r="I32" s="301"/>
      <c r="J32" s="456">
        <v>595823.43000000005</v>
      </c>
      <c r="K32" s="411"/>
      <c r="L32" s="301">
        <f t="shared" ref="L32:L53" si="2">G32-J32</f>
        <v>-9495.5</v>
      </c>
      <c r="M32" s="509">
        <f t="shared" ref="M32:M53" si="3">L32/J32</f>
        <v>-1.5936768381196422E-2</v>
      </c>
      <c r="N32" s="630" t="s">
        <v>450</v>
      </c>
    </row>
    <row r="33" spans="1:16" s="69" customFormat="1" ht="20.25" x14ac:dyDescent="0.2">
      <c r="A33" s="68"/>
      <c r="B33" s="450"/>
      <c r="C33" s="80" t="s">
        <v>126</v>
      </c>
      <c r="D33" s="80"/>
      <c r="E33" s="80"/>
      <c r="F33" s="80"/>
      <c r="G33" s="254">
        <v>108459.39</v>
      </c>
      <c r="H33" s="254">
        <v>186308.17</v>
      </c>
      <c r="I33" s="301"/>
      <c r="J33" s="456">
        <v>115717.5</v>
      </c>
      <c r="K33" s="411"/>
      <c r="L33" s="301">
        <f t="shared" si="2"/>
        <v>-7258.1100000000006</v>
      </c>
      <c r="M33" s="509">
        <f t="shared" si="3"/>
        <v>-6.2722665111154319E-2</v>
      </c>
      <c r="N33" s="630" t="s">
        <v>451</v>
      </c>
    </row>
    <row r="34" spans="1:16" s="69" customFormat="1" ht="20.25" x14ac:dyDescent="0.2">
      <c r="A34" s="68"/>
      <c r="B34" s="450"/>
      <c r="C34" s="80" t="s">
        <v>127</v>
      </c>
      <c r="D34" s="80"/>
      <c r="E34" s="80"/>
      <c r="F34" s="80"/>
      <c r="G34" s="254">
        <f>32250-G26</f>
        <v>1200</v>
      </c>
      <c r="H34" s="254">
        <f>49061-H26</f>
        <v>2486</v>
      </c>
      <c r="I34" s="301"/>
      <c r="J34" s="301">
        <f>32480-J35-230</f>
        <v>1200</v>
      </c>
      <c r="K34" s="411"/>
      <c r="L34" s="301">
        <f t="shared" si="2"/>
        <v>0</v>
      </c>
      <c r="M34" s="509">
        <f t="shared" si="3"/>
        <v>0</v>
      </c>
      <c r="N34" s="628"/>
    </row>
    <row r="35" spans="1:16" s="69" customFormat="1" ht="20.25" x14ac:dyDescent="0.2">
      <c r="A35" s="68"/>
      <c r="B35" s="450"/>
      <c r="C35" s="80" t="s">
        <v>117</v>
      </c>
      <c r="D35" s="80"/>
      <c r="E35" s="80"/>
      <c r="F35" s="80"/>
      <c r="G35" s="254">
        <f>G26</f>
        <v>31050</v>
      </c>
      <c r="H35" s="254">
        <f>H26</f>
        <v>46575</v>
      </c>
      <c r="I35" s="301"/>
      <c r="J35" s="301">
        <f>J26</f>
        <v>31050</v>
      </c>
      <c r="K35" s="411"/>
      <c r="L35" s="301">
        <f t="shared" si="2"/>
        <v>0</v>
      </c>
      <c r="M35" s="509">
        <f t="shared" si="3"/>
        <v>0</v>
      </c>
      <c r="N35" s="628"/>
    </row>
    <row r="36" spans="1:16" s="69" customFormat="1" ht="20.25" x14ac:dyDescent="0.2">
      <c r="A36" s="68"/>
      <c r="B36" s="450"/>
      <c r="C36" s="80" t="s">
        <v>128</v>
      </c>
      <c r="D36" s="80"/>
      <c r="E36" s="80"/>
      <c r="F36" s="80"/>
      <c r="G36" s="254">
        <v>10274.129999999999</v>
      </c>
      <c r="H36" s="254">
        <v>13855.69</v>
      </c>
      <c r="I36" s="301"/>
      <c r="J36" s="301">
        <v>9209.0300000000007</v>
      </c>
      <c r="K36" s="411"/>
      <c r="L36" s="301">
        <f t="shared" si="2"/>
        <v>1065.0999999999985</v>
      </c>
      <c r="M36" s="509">
        <f t="shared" si="3"/>
        <v>0.11565821807508483</v>
      </c>
      <c r="N36" s="628" t="s">
        <v>386</v>
      </c>
    </row>
    <row r="37" spans="1:16" s="69" customFormat="1" ht="20.25" x14ac:dyDescent="0.2">
      <c r="A37" s="68"/>
      <c r="B37" s="450"/>
      <c r="C37" s="80" t="s">
        <v>129</v>
      </c>
      <c r="D37" s="80"/>
      <c r="E37" s="80"/>
      <c r="F37" s="80"/>
      <c r="G37" s="254">
        <v>2470.59</v>
      </c>
      <c r="H37" s="254">
        <v>3281.1</v>
      </c>
      <c r="I37" s="301"/>
      <c r="J37" s="301">
        <v>2234.4299999999998</v>
      </c>
      <c r="K37" s="411"/>
      <c r="L37" s="301">
        <f t="shared" si="2"/>
        <v>236.16000000000031</v>
      </c>
      <c r="M37" s="509">
        <f t="shared" si="3"/>
        <v>0.10569138437990912</v>
      </c>
      <c r="N37" s="628"/>
    </row>
    <row r="38" spans="1:16" s="69" customFormat="1" ht="20.25" x14ac:dyDescent="0.2">
      <c r="A38" s="68"/>
      <c r="B38" s="450"/>
      <c r="C38" s="80" t="s">
        <v>130</v>
      </c>
      <c r="D38" s="80"/>
      <c r="E38" s="80"/>
      <c r="F38" s="80"/>
      <c r="G38" s="254">
        <v>3778.38</v>
      </c>
      <c r="H38" s="254">
        <v>6781.22</v>
      </c>
      <c r="I38" s="301"/>
      <c r="J38" s="301">
        <v>5132.3100000000004</v>
      </c>
      <c r="K38" s="411"/>
      <c r="L38" s="301">
        <f t="shared" si="2"/>
        <v>-1353.9300000000003</v>
      </c>
      <c r="M38" s="509">
        <f t="shared" si="3"/>
        <v>-0.26380518713795548</v>
      </c>
      <c r="N38" s="628"/>
    </row>
    <row r="39" spans="1:16" s="69" customFormat="1" ht="20.25" x14ac:dyDescent="0.2">
      <c r="A39" s="68"/>
      <c r="B39" s="450"/>
      <c r="C39" s="80" t="s">
        <v>131</v>
      </c>
      <c r="D39" s="80"/>
      <c r="E39" s="80"/>
      <c r="F39" s="80"/>
      <c r="G39" s="254">
        <v>3121.35</v>
      </c>
      <c r="H39" s="254">
        <v>12515.18</v>
      </c>
      <c r="I39" s="301"/>
      <c r="J39" s="301">
        <v>8414.9</v>
      </c>
      <c r="K39" s="411"/>
      <c r="L39" s="301">
        <f t="shared" si="2"/>
        <v>-5293.5499999999993</v>
      </c>
      <c r="M39" s="509">
        <f t="shared" si="3"/>
        <v>-0.62906867580125725</v>
      </c>
      <c r="N39" s="628" t="s">
        <v>452</v>
      </c>
    </row>
    <row r="40" spans="1:16" s="69" customFormat="1" ht="20.25" x14ac:dyDescent="0.2">
      <c r="A40" s="68"/>
      <c r="B40" s="450"/>
      <c r="C40" s="80" t="s">
        <v>132</v>
      </c>
      <c r="D40" s="80"/>
      <c r="E40" s="80"/>
      <c r="F40" s="80"/>
      <c r="G40" s="254">
        <f>17132.87+6833.28</f>
        <v>23966.149999999998</v>
      </c>
      <c r="H40" s="254">
        <f>26975.95+11407.95</f>
        <v>38383.9</v>
      </c>
      <c r="I40" s="301"/>
      <c r="J40" s="301">
        <f>16191.43+8725.18+230</f>
        <v>25146.61</v>
      </c>
      <c r="K40" s="411"/>
      <c r="L40" s="301">
        <f t="shared" si="2"/>
        <v>-1180.4600000000028</v>
      </c>
      <c r="M40" s="509">
        <f t="shared" si="3"/>
        <v>-4.694310684422285E-2</v>
      </c>
      <c r="N40" s="628"/>
    </row>
    <row r="41" spans="1:16" s="69" customFormat="1" ht="20.25" x14ac:dyDescent="0.2">
      <c r="A41" s="68"/>
      <c r="B41" s="450"/>
      <c r="C41" s="80" t="s">
        <v>133</v>
      </c>
      <c r="D41" s="80"/>
      <c r="E41" s="80"/>
      <c r="F41" s="80"/>
      <c r="G41" s="254">
        <v>3921.39</v>
      </c>
      <c r="H41" s="254">
        <v>6251.1</v>
      </c>
      <c r="I41" s="301"/>
      <c r="J41" s="301">
        <v>4321.2</v>
      </c>
      <c r="K41" s="411"/>
      <c r="L41" s="301">
        <f t="shared" si="2"/>
        <v>-399.80999999999995</v>
      </c>
      <c r="M41" s="509">
        <f t="shared" si="3"/>
        <v>-9.2522910302693689E-2</v>
      </c>
      <c r="N41" s="628"/>
    </row>
    <row r="42" spans="1:16" s="69" customFormat="1" ht="20.25" x14ac:dyDescent="0.2">
      <c r="A42" s="68"/>
      <c r="B42" s="450"/>
      <c r="C42" s="80" t="s">
        <v>134</v>
      </c>
      <c r="D42" s="80"/>
      <c r="E42" s="80"/>
      <c r="F42" s="80"/>
      <c r="G42" s="254">
        <v>1045</v>
      </c>
      <c r="H42" s="254">
        <v>1329.5</v>
      </c>
      <c r="I42" s="301"/>
      <c r="J42" s="301">
        <v>904.5</v>
      </c>
      <c r="K42" s="411"/>
      <c r="L42" s="301">
        <f t="shared" si="2"/>
        <v>140.5</v>
      </c>
      <c r="M42" s="509">
        <f t="shared" si="3"/>
        <v>0.15533443891652846</v>
      </c>
      <c r="N42" s="628"/>
    </row>
    <row r="43" spans="1:16" s="69" customFormat="1" ht="20.25" x14ac:dyDescent="0.2">
      <c r="A43" s="68"/>
      <c r="B43" s="450"/>
      <c r="C43" s="80" t="s">
        <v>189</v>
      </c>
      <c r="D43" s="80"/>
      <c r="E43" s="80"/>
      <c r="F43" s="80"/>
      <c r="G43" s="254">
        <v>11199</v>
      </c>
      <c r="H43" s="254">
        <v>12865</v>
      </c>
      <c r="I43" s="301"/>
      <c r="J43" s="301">
        <v>10513</v>
      </c>
      <c r="K43" s="411"/>
      <c r="L43" s="301">
        <f t="shared" si="2"/>
        <v>686</v>
      </c>
      <c r="M43" s="509">
        <f t="shared" si="3"/>
        <v>6.5252544468752977E-2</v>
      </c>
      <c r="N43" s="628"/>
    </row>
    <row r="44" spans="1:16" s="77" customFormat="1" ht="20.25" x14ac:dyDescent="0.2">
      <c r="A44" s="80"/>
      <c r="B44" s="446"/>
      <c r="C44" s="80" t="s">
        <v>135</v>
      </c>
      <c r="D44" s="80"/>
      <c r="E44" s="80"/>
      <c r="F44" s="80"/>
      <c r="G44" s="358">
        <v>12238.94</v>
      </c>
      <c r="H44" s="358">
        <v>13248.87</v>
      </c>
      <c r="I44" s="457"/>
      <c r="J44" s="457">
        <v>11808.99</v>
      </c>
      <c r="K44" s="413"/>
      <c r="L44" s="301">
        <f t="shared" si="2"/>
        <v>429.95000000000073</v>
      </c>
      <c r="M44" s="509">
        <f t="shared" si="3"/>
        <v>3.6408702183675382E-2</v>
      </c>
      <c r="N44" s="628"/>
    </row>
    <row r="45" spans="1:16" s="77" customFormat="1" ht="20.25" x14ac:dyDescent="0.2">
      <c r="A45" s="80"/>
      <c r="B45" s="446"/>
      <c r="C45" s="80" t="s">
        <v>136</v>
      </c>
      <c r="D45" s="80"/>
      <c r="E45" s="80"/>
      <c r="F45" s="80"/>
      <c r="G45" s="254">
        <v>9134.42</v>
      </c>
      <c r="H45" s="254">
        <v>12343.85</v>
      </c>
      <c r="I45" s="254"/>
      <c r="J45" s="358">
        <v>8227.93</v>
      </c>
      <c r="K45" s="413"/>
      <c r="L45" s="301">
        <f t="shared" si="2"/>
        <v>906.48999999999978</v>
      </c>
      <c r="M45" s="509">
        <f t="shared" si="3"/>
        <v>0.11017230336184189</v>
      </c>
      <c r="N45" s="628"/>
    </row>
    <row r="46" spans="1:16" s="77" customFormat="1" ht="20.25" x14ac:dyDescent="0.2">
      <c r="A46" s="80"/>
      <c r="B46" s="446"/>
      <c r="C46" s="80" t="s">
        <v>145</v>
      </c>
      <c r="D46" s="80"/>
      <c r="E46" s="80"/>
      <c r="F46" s="80"/>
      <c r="G46" s="254">
        <f>379+34</f>
        <v>413</v>
      </c>
      <c r="H46" s="254">
        <f>2673+293.93</f>
        <v>2966.93</v>
      </c>
      <c r="I46" s="254"/>
      <c r="J46" s="358">
        <f>2643+160.29</f>
        <v>2803.29</v>
      </c>
      <c r="K46" s="413"/>
      <c r="L46" s="301">
        <f t="shared" si="2"/>
        <v>-2390.29</v>
      </c>
      <c r="M46" s="509">
        <f>L46/J46</f>
        <v>-0.85267310909681127</v>
      </c>
      <c r="N46" s="631" t="s">
        <v>453</v>
      </c>
      <c r="P46" s="270"/>
    </row>
    <row r="47" spans="1:16" s="77" customFormat="1" ht="20.25" x14ac:dyDescent="0.2">
      <c r="A47" s="80"/>
      <c r="B47" s="446"/>
      <c r="C47" s="80" t="s">
        <v>137</v>
      </c>
      <c r="D47" s="80"/>
      <c r="E47" s="80"/>
      <c r="F47" s="80"/>
      <c r="G47" s="358">
        <f>1584.72+8878.29</f>
        <v>10463.01</v>
      </c>
      <c r="H47" s="358">
        <f>3067.88+8008.83</f>
        <v>11076.71</v>
      </c>
      <c r="I47" s="254"/>
      <c r="J47" s="254">
        <f>3067.88+7544.2</f>
        <v>10612.08</v>
      </c>
      <c r="K47" s="413"/>
      <c r="L47" s="301">
        <f t="shared" si="2"/>
        <v>-149.06999999999971</v>
      </c>
      <c r="M47" s="509">
        <f t="shared" si="3"/>
        <v>-1.4047199041092764E-2</v>
      </c>
      <c r="N47" s="630"/>
      <c r="P47" s="270"/>
    </row>
    <row r="48" spans="1:16" s="69" customFormat="1" ht="20.25" x14ac:dyDescent="0.2">
      <c r="A48" s="68"/>
      <c r="B48" s="450"/>
      <c r="C48" s="80" t="s">
        <v>235</v>
      </c>
      <c r="D48" s="80"/>
      <c r="E48" s="80"/>
      <c r="F48" s="80"/>
      <c r="G48" s="254">
        <v>11356.38</v>
      </c>
      <c r="H48" s="254">
        <v>16151.01</v>
      </c>
      <c r="I48" s="254"/>
      <c r="J48" s="254">
        <v>9387.75</v>
      </c>
      <c r="K48" s="411"/>
      <c r="L48" s="301">
        <f t="shared" si="2"/>
        <v>1968.6299999999992</v>
      </c>
      <c r="M48" s="509">
        <f t="shared" si="3"/>
        <v>0.20970200527282887</v>
      </c>
      <c r="N48" s="628" t="s">
        <v>382</v>
      </c>
    </row>
    <row r="49" spans="1:18" s="77" customFormat="1" ht="20.25" x14ac:dyDescent="0.2">
      <c r="A49" s="80"/>
      <c r="B49" s="446"/>
      <c r="C49" s="80" t="s">
        <v>138</v>
      </c>
      <c r="D49" s="80"/>
      <c r="E49" s="80"/>
      <c r="F49" s="80"/>
      <c r="G49" s="358">
        <v>24512</v>
      </c>
      <c r="H49" s="358">
        <v>40262.04</v>
      </c>
      <c r="I49" s="254"/>
      <c r="J49" s="254">
        <v>26393.360000000001</v>
      </c>
      <c r="K49" s="413"/>
      <c r="L49" s="301">
        <f t="shared" si="2"/>
        <v>-1881.3600000000006</v>
      </c>
      <c r="M49" s="509">
        <f t="shared" si="3"/>
        <v>-7.1281564757196533E-2</v>
      </c>
      <c r="N49" s="628"/>
    </row>
    <row r="50" spans="1:18" s="77" customFormat="1" ht="20.25" x14ac:dyDescent="0.2">
      <c r="A50" s="80"/>
      <c r="B50" s="446"/>
      <c r="C50" s="80" t="s">
        <v>139</v>
      </c>
      <c r="D50" s="80"/>
      <c r="E50" s="80"/>
      <c r="F50" s="80"/>
      <c r="G50" s="358">
        <f>6489.36+17478</f>
        <v>23967.360000000001</v>
      </c>
      <c r="H50" s="358">
        <f>3570+4675.64+36132.18</f>
        <v>44377.82</v>
      </c>
      <c r="I50" s="254"/>
      <c r="J50" s="254">
        <f>1800+2028+17557.26</f>
        <v>21385.26</v>
      </c>
      <c r="K50" s="413"/>
      <c r="L50" s="301">
        <f t="shared" si="2"/>
        <v>2582.1000000000022</v>
      </c>
      <c r="M50" s="509">
        <f t="shared" si="3"/>
        <v>0.12074204381896701</v>
      </c>
      <c r="N50" s="628"/>
    </row>
    <row r="51" spans="1:18" s="77" customFormat="1" ht="20.25" x14ac:dyDescent="0.2">
      <c r="A51" s="80"/>
      <c r="B51" s="446"/>
      <c r="C51" s="80" t="s">
        <v>190</v>
      </c>
      <c r="D51" s="80"/>
      <c r="E51" s="80"/>
      <c r="F51" s="80"/>
      <c r="G51" s="254">
        <v>17667.12</v>
      </c>
      <c r="H51" s="254">
        <v>35478.5</v>
      </c>
      <c r="I51" s="254"/>
      <c r="J51" s="254">
        <v>25398.32</v>
      </c>
      <c r="K51" s="413"/>
      <c r="L51" s="301">
        <f t="shared" si="2"/>
        <v>-7731.2000000000007</v>
      </c>
      <c r="M51" s="509">
        <v>1</v>
      </c>
      <c r="N51" s="628" t="s">
        <v>381</v>
      </c>
    </row>
    <row r="52" spans="1:18" s="77" customFormat="1" ht="20.25" x14ac:dyDescent="0.2">
      <c r="A52" s="80"/>
      <c r="B52" s="446"/>
      <c r="C52" s="80" t="s">
        <v>188</v>
      </c>
      <c r="D52" s="80"/>
      <c r="E52" s="80"/>
      <c r="F52" s="80"/>
      <c r="G52" s="254">
        <v>28849.15</v>
      </c>
      <c r="H52" s="254">
        <v>46701.55</v>
      </c>
      <c r="I52" s="254"/>
      <c r="J52" s="254">
        <v>31956.22</v>
      </c>
      <c r="K52" s="413"/>
      <c r="L52" s="301">
        <f t="shared" si="2"/>
        <v>-3107.0699999999997</v>
      </c>
      <c r="M52" s="509">
        <f t="shared" si="3"/>
        <v>-9.7228958869353121E-2</v>
      </c>
      <c r="N52" s="628" t="s">
        <v>454</v>
      </c>
    </row>
    <row r="53" spans="1:18" s="77" customFormat="1" ht="20.25" x14ac:dyDescent="0.2">
      <c r="A53" s="80"/>
      <c r="B53" s="446"/>
      <c r="C53" s="80" t="s">
        <v>140</v>
      </c>
      <c r="D53" s="80"/>
      <c r="E53" s="80"/>
      <c r="F53" s="80"/>
      <c r="G53" s="254">
        <f>3829.04+121570.62</f>
        <v>125399.65999999999</v>
      </c>
      <c r="H53" s="254">
        <f>2604.31+166143.24</f>
        <v>168747.55</v>
      </c>
      <c r="I53" s="254"/>
      <c r="J53" s="254">
        <f>2037.25+150687.74</f>
        <v>152724.99</v>
      </c>
      <c r="K53" s="413"/>
      <c r="L53" s="301">
        <f t="shared" si="2"/>
        <v>-27325.33</v>
      </c>
      <c r="M53" s="509">
        <f t="shared" si="3"/>
        <v>-0.17891852538343597</v>
      </c>
      <c r="N53" s="628" t="s">
        <v>455</v>
      </c>
    </row>
    <row r="54" spans="1:18" s="77" customFormat="1" ht="21" thickBot="1" x14ac:dyDescent="0.25">
      <c r="A54" s="80"/>
      <c r="B54" s="446"/>
      <c r="C54" s="80" t="s">
        <v>342</v>
      </c>
      <c r="D54" s="80"/>
      <c r="E54" s="80"/>
      <c r="F54" s="80"/>
      <c r="G54" s="264">
        <v>30</v>
      </c>
      <c r="H54" s="264"/>
      <c r="I54" s="264"/>
      <c r="J54" s="264">
        <v>0</v>
      </c>
      <c r="K54" s="661"/>
      <c r="L54" s="429">
        <f>G54-H54</f>
        <v>30</v>
      </c>
      <c r="M54" s="543"/>
      <c r="N54" s="628"/>
    </row>
    <row r="55" spans="1:18" s="77" customFormat="1" ht="21" hidden="1" thickBot="1" x14ac:dyDescent="0.25">
      <c r="A55" s="80"/>
      <c r="B55" s="446"/>
      <c r="C55" s="80"/>
      <c r="D55" s="80"/>
      <c r="E55" s="80"/>
      <c r="F55" s="80"/>
      <c r="G55" s="264"/>
      <c r="H55" s="264"/>
      <c r="I55" s="254"/>
      <c r="J55" s="264"/>
      <c r="K55" s="413"/>
      <c r="L55" s="429"/>
      <c r="M55" s="543"/>
      <c r="N55" s="628"/>
    </row>
    <row r="56" spans="1:18" s="69" customFormat="1" ht="20.25" x14ac:dyDescent="0.2">
      <c r="A56" s="68"/>
      <c r="B56" s="450"/>
      <c r="C56" s="68"/>
      <c r="D56" s="74" t="s">
        <v>141</v>
      </c>
      <c r="E56" s="68"/>
      <c r="F56" s="68"/>
      <c r="G56" s="259">
        <f>SUM(G32:G54)</f>
        <v>1050844.3500000001</v>
      </c>
      <c r="H56" s="259">
        <f>SUM(H32:H54)</f>
        <v>1620630.2400000002</v>
      </c>
      <c r="I56" s="254"/>
      <c r="J56" s="259">
        <f>SUM(J32:J54)</f>
        <v>1110365.1000000001</v>
      </c>
      <c r="K56" s="411"/>
      <c r="L56" s="256">
        <f>SUM(L32:L54)</f>
        <v>-59520.750000000007</v>
      </c>
      <c r="M56" s="509">
        <f>L56/J56</f>
        <v>-5.3604665708603415E-2</v>
      </c>
      <c r="N56" s="632"/>
    </row>
    <row r="57" spans="1:18" s="69" customFormat="1" ht="10.5" customHeight="1" thickBot="1" x14ac:dyDescent="0.25">
      <c r="A57" s="68"/>
      <c r="B57" s="450"/>
      <c r="C57" s="68"/>
      <c r="D57" s="74"/>
      <c r="E57" s="68"/>
      <c r="F57" s="68"/>
      <c r="G57" s="264"/>
      <c r="H57" s="264"/>
      <c r="I57" s="254"/>
      <c r="J57" s="264"/>
      <c r="K57" s="411"/>
      <c r="L57" s="463"/>
      <c r="M57" s="612"/>
      <c r="N57" s="628"/>
    </row>
    <row r="58" spans="1:18" s="69" customFormat="1" ht="21" thickBot="1" x14ac:dyDescent="0.25">
      <c r="A58" s="68"/>
      <c r="B58" s="450"/>
      <c r="C58" s="68"/>
      <c r="D58" s="68" t="s">
        <v>142</v>
      </c>
      <c r="E58" s="68"/>
      <c r="F58" s="68"/>
      <c r="G58" s="264">
        <f>G29-G56</f>
        <v>22434.969999999972</v>
      </c>
      <c r="H58" s="264">
        <f>H29-H56</f>
        <v>47388.109999999637</v>
      </c>
      <c r="I58" s="254"/>
      <c r="J58" s="264">
        <f>J29-J56</f>
        <v>31280.489999999758</v>
      </c>
      <c r="K58" s="411"/>
      <c r="L58" s="264">
        <f>L29-L56</f>
        <v>-8845.5199999998076</v>
      </c>
      <c r="M58" s="606">
        <f>L58/J58</f>
        <v>-0.28278073649101648</v>
      </c>
      <c r="N58" s="632"/>
    </row>
    <row r="59" spans="1:18" s="69" customFormat="1" ht="11.25" customHeight="1" x14ac:dyDescent="0.2">
      <c r="A59" s="68"/>
      <c r="B59" s="450"/>
      <c r="C59" s="68"/>
      <c r="D59" s="68"/>
      <c r="E59" s="68"/>
      <c r="F59" s="68"/>
      <c r="G59" s="254"/>
      <c r="H59" s="254"/>
      <c r="I59" s="254"/>
      <c r="J59" s="254"/>
      <c r="K59" s="411"/>
      <c r="L59" s="461"/>
      <c r="M59" s="611"/>
      <c r="N59" s="628"/>
    </row>
    <row r="60" spans="1:18" s="77" customFormat="1" ht="21" thickBot="1" x14ac:dyDescent="0.25">
      <c r="A60" s="80"/>
      <c r="B60" s="449" t="s">
        <v>143</v>
      </c>
      <c r="C60" s="88"/>
      <c r="D60" s="88"/>
      <c r="E60" s="88"/>
      <c r="F60" s="88"/>
      <c r="G60" s="460"/>
      <c r="H60" s="254"/>
      <c r="I60" s="254"/>
      <c r="J60" s="254"/>
      <c r="K60" s="413"/>
      <c r="L60" s="461"/>
      <c r="M60" s="611"/>
      <c r="N60" s="628"/>
    </row>
    <row r="61" spans="1:18" s="77" customFormat="1" ht="20.25" x14ac:dyDescent="0.2">
      <c r="A61" s="80"/>
      <c r="B61" s="450"/>
      <c r="C61" s="68"/>
      <c r="D61" s="68" t="s">
        <v>158</v>
      </c>
      <c r="E61" s="68"/>
      <c r="F61" s="68"/>
      <c r="G61" s="254"/>
      <c r="H61" s="254"/>
      <c r="I61" s="254"/>
      <c r="J61" s="254"/>
      <c r="K61" s="413"/>
      <c r="L61" s="461"/>
      <c r="M61" s="611"/>
      <c r="N61" s="628"/>
    </row>
    <row r="62" spans="1:18" s="77" customFormat="1" ht="20.25" x14ac:dyDescent="0.2">
      <c r="A62" s="80"/>
      <c r="B62" s="450"/>
      <c r="C62" s="68"/>
      <c r="D62" s="68"/>
      <c r="E62" s="80" t="s">
        <v>159</v>
      </c>
      <c r="F62" s="68"/>
      <c r="G62" s="254">
        <v>49000</v>
      </c>
      <c r="H62" s="254">
        <v>49000</v>
      </c>
      <c r="I62" s="254"/>
      <c r="J62" s="254">
        <f>G62</f>
        <v>49000</v>
      </c>
      <c r="K62" s="413"/>
      <c r="L62" s="301">
        <f>G62-J62</f>
        <v>0</v>
      </c>
      <c r="M62" s="509">
        <f>L62/J62</f>
        <v>0</v>
      </c>
      <c r="N62" s="628"/>
      <c r="R62" s="270"/>
    </row>
    <row r="63" spans="1:18" s="77" customFormat="1" ht="20.25" x14ac:dyDescent="0.2">
      <c r="A63" s="80"/>
      <c r="B63" s="450"/>
      <c r="C63" s="68"/>
      <c r="D63" s="68"/>
      <c r="E63" s="80" t="s">
        <v>193</v>
      </c>
      <c r="F63" s="68"/>
      <c r="G63" s="254">
        <v>19000</v>
      </c>
      <c r="H63" s="254">
        <v>19000</v>
      </c>
      <c r="I63" s="254"/>
      <c r="J63" s="254">
        <f>G63</f>
        <v>19000</v>
      </c>
      <c r="K63" s="413"/>
      <c r="L63" s="301">
        <f>G63-J63</f>
        <v>0</v>
      </c>
      <c r="M63" s="509">
        <f t="shared" ref="M63:M65" si="4">L63/J63</f>
        <v>0</v>
      </c>
      <c r="N63" s="628"/>
    </row>
    <row r="64" spans="1:18" s="77" customFormat="1" ht="20.25" x14ac:dyDescent="0.2">
      <c r="A64" s="80"/>
      <c r="B64" s="450"/>
      <c r="C64" s="68"/>
      <c r="D64" s="68"/>
      <c r="E64" s="80" t="s">
        <v>157</v>
      </c>
      <c r="F64" s="68"/>
      <c r="G64" s="254">
        <f>'August''17 Revenues &amp; Expenses'!H56+'August''17 Revenues &amp; Expenses'!H57+'August''17 Revenues &amp; Expenses'!H55+1</f>
        <v>8950.15</v>
      </c>
      <c r="H64" s="254">
        <f>88930-H62-H63</f>
        <v>20930</v>
      </c>
      <c r="I64" s="254"/>
      <c r="J64" s="254">
        <f>1019.71+3477.95-1</f>
        <v>4496.66</v>
      </c>
      <c r="K64" s="413"/>
      <c r="L64" s="301">
        <f>G64-J64</f>
        <v>4453.49</v>
      </c>
      <c r="M64" s="509">
        <f t="shared" si="4"/>
        <v>0.99039954099264782</v>
      </c>
      <c r="N64" s="628"/>
    </row>
    <row r="65" spans="1:14" s="77" customFormat="1" ht="21" thickBot="1" x14ac:dyDescent="0.25">
      <c r="A65" s="80"/>
      <c r="B65" s="450"/>
      <c r="C65" s="68"/>
      <c r="D65" s="68" t="s">
        <v>119</v>
      </c>
      <c r="E65" s="68"/>
      <c r="F65" s="68"/>
      <c r="G65" s="264">
        <f>-G28</f>
        <v>-56576.84</v>
      </c>
      <c r="H65" s="264">
        <f>-H28</f>
        <v>-95122.27</v>
      </c>
      <c r="I65" s="254"/>
      <c r="J65" s="264">
        <f>-J28</f>
        <v>-61297.43</v>
      </c>
      <c r="K65" s="413"/>
      <c r="L65" s="429">
        <f>G65-J65</f>
        <v>4720.5900000000038</v>
      </c>
      <c r="M65" s="543">
        <f t="shared" si="4"/>
        <v>-7.7011222167063187E-2</v>
      </c>
      <c r="N65" s="628"/>
    </row>
    <row r="66" spans="1:14" s="77" customFormat="1" ht="21" thickBot="1" x14ac:dyDescent="0.25">
      <c r="A66" s="80"/>
      <c r="B66" s="450"/>
      <c r="C66" s="68"/>
      <c r="D66" s="68"/>
      <c r="E66" s="68" t="s">
        <v>144</v>
      </c>
      <c r="F66" s="68"/>
      <c r="G66" s="264">
        <f>SUM(G61:G65)</f>
        <v>20373.309999999998</v>
      </c>
      <c r="H66" s="264">
        <f>SUM(H61:H65)</f>
        <v>-6192.2700000000041</v>
      </c>
      <c r="I66" s="254"/>
      <c r="J66" s="264">
        <f>SUM(J61:J65)</f>
        <v>11199.230000000003</v>
      </c>
      <c r="K66" s="413"/>
      <c r="L66" s="264">
        <f>SUM(L62:L65)</f>
        <v>9174.0800000000036</v>
      </c>
      <c r="M66" s="543">
        <f>L66/J66</f>
        <v>0.81917060369328976</v>
      </c>
      <c r="N66" s="628"/>
    </row>
    <row r="67" spans="1:14" s="69" customFormat="1" ht="7.5" customHeight="1" x14ac:dyDescent="0.2">
      <c r="A67" s="68"/>
      <c r="B67" s="450"/>
      <c r="C67" s="68"/>
      <c r="D67" s="68"/>
      <c r="E67" s="68"/>
      <c r="F67" s="68"/>
      <c r="G67" s="299"/>
      <c r="H67" s="299"/>
      <c r="I67" s="299"/>
      <c r="J67" s="299"/>
      <c r="K67" s="411"/>
      <c r="L67" s="461"/>
      <c r="M67" s="461"/>
      <c r="N67" s="628"/>
    </row>
    <row r="68" spans="1:14" s="69" customFormat="1" ht="20.25" x14ac:dyDescent="0.2">
      <c r="A68" s="68"/>
      <c r="B68" s="450"/>
      <c r="C68" s="68"/>
      <c r="D68" s="68"/>
      <c r="E68" s="68" t="s">
        <v>98</v>
      </c>
      <c r="F68" s="68"/>
      <c r="G68" s="259">
        <f>G58+G66</f>
        <v>42808.27999999997</v>
      </c>
      <c r="H68" s="259">
        <f>H58+H66</f>
        <v>41195.839999999633</v>
      </c>
      <c r="I68" s="259"/>
      <c r="J68" s="259">
        <f>J58+J66</f>
        <v>42479.719999999761</v>
      </c>
      <c r="K68" s="411"/>
      <c r="L68" s="259">
        <f>L58+L66</f>
        <v>328.56000000019594</v>
      </c>
      <c r="M68" s="259"/>
      <c r="N68" s="628"/>
    </row>
    <row r="69" spans="1:14" s="69" customFormat="1" ht="8.25" customHeight="1" x14ac:dyDescent="0.2">
      <c r="A69" s="68"/>
      <c r="B69" s="450"/>
      <c r="C69" s="68"/>
      <c r="D69" s="68"/>
      <c r="E69" s="68"/>
      <c r="F69" s="68"/>
      <c r="G69" s="254"/>
      <c r="H69" s="254"/>
      <c r="I69" s="254"/>
      <c r="J69" s="254"/>
      <c r="K69" s="411"/>
      <c r="L69" s="461"/>
      <c r="M69" s="461"/>
      <c r="N69" s="628"/>
    </row>
    <row r="70" spans="1:14" s="83" customFormat="1" ht="26.25" x14ac:dyDescent="0.2">
      <c r="A70" s="294"/>
      <c r="B70" s="451"/>
      <c r="C70" s="68"/>
      <c r="D70" s="68" t="s">
        <v>161</v>
      </c>
      <c r="E70" s="68"/>
      <c r="F70" s="68"/>
      <c r="G70" s="259">
        <f>H71</f>
        <v>650442</v>
      </c>
      <c r="H70" s="259">
        <v>609247</v>
      </c>
      <c r="I70" s="259"/>
      <c r="J70" s="259">
        <f>H70</f>
        <v>609247</v>
      </c>
      <c r="K70" s="414"/>
      <c r="L70" s="462"/>
      <c r="M70" s="462"/>
      <c r="N70" s="633"/>
    </row>
    <row r="71" spans="1:14" s="85" customFormat="1" ht="21" thickBot="1" x14ac:dyDescent="0.25">
      <c r="A71" s="68"/>
      <c r="B71" s="450"/>
      <c r="C71" s="68"/>
      <c r="E71" s="68" t="s">
        <v>160</v>
      </c>
      <c r="F71" s="68"/>
      <c r="G71" s="357">
        <f>G68+G70</f>
        <v>693250.28</v>
      </c>
      <c r="H71" s="357">
        <v>650442</v>
      </c>
      <c r="I71" s="299"/>
      <c r="J71" s="357">
        <f t="shared" ref="J71" si="5">J68+J70</f>
        <v>651726.71999999974</v>
      </c>
      <c r="K71" s="415"/>
      <c r="L71" s="299"/>
      <c r="M71" s="462"/>
      <c r="N71" s="633"/>
    </row>
    <row r="72" spans="1:14" s="66" customFormat="1" ht="6.75" customHeight="1" thickTop="1" x14ac:dyDescent="0.2">
      <c r="A72" s="294"/>
      <c r="B72" s="451"/>
      <c r="C72" s="68"/>
      <c r="D72" s="294"/>
      <c r="E72" s="294"/>
      <c r="F72" s="294"/>
      <c r="G72" s="296"/>
      <c r="H72" s="254"/>
      <c r="I72" s="254"/>
      <c r="J72" s="254"/>
      <c r="K72" s="410"/>
      <c r="L72" s="461"/>
      <c r="M72" s="461"/>
      <c r="N72" s="628"/>
    </row>
    <row r="73" spans="1:14" s="69" customFormat="1" ht="16.5" customHeight="1" x14ac:dyDescent="0.2">
      <c r="A73" s="68"/>
      <c r="B73" s="450"/>
      <c r="D73" s="380"/>
      <c r="E73" s="68"/>
      <c r="G73" s="254"/>
      <c r="H73" s="254"/>
      <c r="I73" s="254"/>
      <c r="J73" s="254"/>
      <c r="K73" s="411"/>
      <c r="L73" s="461"/>
      <c r="M73" s="461"/>
      <c r="N73" s="628"/>
    </row>
    <row r="74" spans="1:14" s="69" customFormat="1" ht="23.25" x14ac:dyDescent="0.2">
      <c r="A74" s="68"/>
      <c r="B74" s="452"/>
      <c r="C74" s="68"/>
      <c r="D74" s="68"/>
      <c r="E74" s="68"/>
      <c r="F74" s="68"/>
      <c r="G74" s="254"/>
      <c r="H74" s="254"/>
      <c r="I74" s="254"/>
      <c r="J74" s="254"/>
      <c r="K74" s="411"/>
      <c r="L74" s="461"/>
      <c r="M74" s="461"/>
      <c r="N74" s="628"/>
    </row>
    <row r="75" spans="1:14" s="69" customFormat="1" ht="20.25" x14ac:dyDescent="0.2">
      <c r="A75" s="68"/>
      <c r="B75" s="450"/>
      <c r="C75" s="68"/>
      <c r="D75" s="68"/>
      <c r="E75" s="68"/>
      <c r="F75" s="68"/>
      <c r="G75" s="254"/>
      <c r="H75" s="254"/>
      <c r="I75" s="254"/>
      <c r="J75" s="254"/>
      <c r="K75" s="411"/>
      <c r="L75" s="461"/>
      <c r="M75" s="461"/>
      <c r="N75" s="628"/>
    </row>
    <row r="76" spans="1:14" s="77" customFormat="1" ht="20.25" x14ac:dyDescent="0.2">
      <c r="A76" s="80"/>
      <c r="B76" s="446"/>
      <c r="C76" s="80"/>
      <c r="D76" s="80"/>
      <c r="F76" s="80"/>
      <c r="G76" s="269"/>
      <c r="H76" s="254"/>
      <c r="I76" s="254"/>
      <c r="J76" s="254"/>
      <c r="K76" s="413"/>
      <c r="L76" s="461"/>
      <c r="M76" s="461"/>
      <c r="N76" s="628"/>
    </row>
    <row r="77" spans="1:14" s="77" customFormat="1" ht="20.25" x14ac:dyDescent="0.2">
      <c r="A77" s="80"/>
      <c r="B77" s="446"/>
      <c r="C77" s="80"/>
      <c r="D77" s="80"/>
      <c r="F77" s="80"/>
      <c r="G77" s="254"/>
      <c r="H77" s="254"/>
      <c r="I77" s="254"/>
      <c r="J77" s="254"/>
      <c r="K77" s="413"/>
      <c r="L77" s="461"/>
      <c r="M77" s="461"/>
      <c r="N77" s="628"/>
    </row>
    <row r="78" spans="1:14" s="77" customFormat="1" ht="20.25" x14ac:dyDescent="0.2">
      <c r="A78" s="80"/>
      <c r="B78" s="446"/>
      <c r="C78" s="80"/>
      <c r="D78" s="80"/>
      <c r="F78" s="80"/>
      <c r="G78" s="254"/>
      <c r="H78" s="254"/>
      <c r="I78" s="254"/>
      <c r="J78" s="254"/>
      <c r="K78" s="413"/>
      <c r="L78" s="461"/>
      <c r="M78" s="461"/>
      <c r="N78" s="628"/>
    </row>
    <row r="79" spans="1:14" s="77" customFormat="1" ht="20.25" x14ac:dyDescent="0.2">
      <c r="A79" s="80"/>
      <c r="B79" s="80"/>
      <c r="C79" s="80"/>
      <c r="D79" s="80"/>
      <c r="F79" s="80"/>
      <c r="G79" s="254"/>
      <c r="H79" s="254"/>
      <c r="I79" s="254"/>
      <c r="J79" s="254"/>
      <c r="K79" s="413"/>
      <c r="L79" s="461"/>
      <c r="M79" s="461"/>
      <c r="N79" s="628"/>
    </row>
    <row r="80" spans="1:14" s="77" customFormat="1" ht="20.25" x14ac:dyDescent="0.2">
      <c r="A80" s="80"/>
      <c r="B80" s="80"/>
      <c r="C80" s="80"/>
      <c r="D80" s="80"/>
      <c r="F80" s="80"/>
      <c r="G80" s="254"/>
      <c r="H80" s="254"/>
      <c r="I80" s="254"/>
      <c r="J80" s="254"/>
      <c r="K80" s="413"/>
      <c r="L80" s="461"/>
      <c r="M80" s="461"/>
      <c r="N80" s="628"/>
    </row>
    <row r="81" spans="1:14" s="77" customFormat="1" ht="20.25" x14ac:dyDescent="0.2">
      <c r="A81" s="80"/>
      <c r="B81" s="80"/>
      <c r="C81" s="80"/>
      <c r="D81" s="80"/>
      <c r="F81" s="80"/>
      <c r="G81" s="254"/>
      <c r="H81" s="254"/>
      <c r="I81" s="254"/>
      <c r="J81" s="254"/>
      <c r="K81" s="413"/>
      <c r="L81" s="461"/>
      <c r="M81" s="461"/>
      <c r="N81" s="628"/>
    </row>
    <row r="82" spans="1:14" s="77" customFormat="1" ht="20.25" x14ac:dyDescent="0.2">
      <c r="A82" s="80"/>
      <c r="B82" s="80"/>
      <c r="C82" s="68"/>
      <c r="D82" s="80"/>
      <c r="F82" s="80"/>
      <c r="G82" s="254"/>
      <c r="H82" s="254"/>
      <c r="I82" s="254"/>
      <c r="J82" s="254"/>
      <c r="K82" s="413"/>
      <c r="L82" s="461"/>
      <c r="M82" s="461"/>
      <c r="N82" s="628"/>
    </row>
    <row r="83" spans="1:14" s="77" customFormat="1" ht="20.25" x14ac:dyDescent="0.2">
      <c r="A83" s="80"/>
      <c r="B83" s="80"/>
      <c r="C83" s="80"/>
      <c r="D83" s="80"/>
      <c r="E83" s="80"/>
      <c r="F83" s="80"/>
      <c r="G83" s="254"/>
      <c r="H83" s="254"/>
      <c r="I83" s="254"/>
      <c r="J83" s="254"/>
      <c r="K83" s="413"/>
      <c r="L83" s="461"/>
      <c r="M83" s="461"/>
      <c r="N83" s="628"/>
    </row>
    <row r="84" spans="1:14" s="77" customFormat="1" ht="20.25" x14ac:dyDescent="0.2">
      <c r="A84" s="80"/>
      <c r="B84" s="80"/>
      <c r="C84" s="68"/>
      <c r="D84" s="68"/>
      <c r="G84" s="254"/>
      <c r="H84" s="254"/>
      <c r="I84" s="254"/>
      <c r="J84" s="254"/>
      <c r="K84" s="413"/>
      <c r="L84" s="461"/>
      <c r="M84" s="461"/>
      <c r="N84" s="628"/>
    </row>
    <row r="85" spans="1:14" s="77" customFormat="1" ht="20.25" x14ac:dyDescent="0.2">
      <c r="A85" s="80"/>
      <c r="B85" s="80"/>
      <c r="C85" s="80"/>
      <c r="D85" s="80"/>
      <c r="E85" s="80"/>
      <c r="F85" s="80"/>
      <c r="G85" s="254"/>
      <c r="H85" s="254"/>
      <c r="I85" s="254"/>
      <c r="J85" s="254"/>
      <c r="K85" s="413"/>
      <c r="L85" s="461"/>
      <c r="M85" s="461"/>
      <c r="N85" s="628"/>
    </row>
    <row r="86" spans="1:14" s="77" customFormat="1" ht="20.25" x14ac:dyDescent="0.2">
      <c r="A86" s="80"/>
      <c r="B86" s="80"/>
      <c r="C86" s="80"/>
      <c r="D86" s="80"/>
      <c r="E86" s="80"/>
      <c r="F86" s="80"/>
      <c r="G86" s="254"/>
      <c r="H86" s="254"/>
      <c r="I86" s="254"/>
      <c r="J86" s="254"/>
      <c r="K86" s="413"/>
      <c r="L86" s="461"/>
      <c r="M86" s="461"/>
      <c r="N86" s="628"/>
    </row>
    <row r="87" spans="1:14" s="77" customFormat="1" ht="20.25" x14ac:dyDescent="0.2">
      <c r="A87" s="80"/>
      <c r="B87" s="80"/>
      <c r="C87" s="80"/>
      <c r="D87" s="80"/>
      <c r="E87" s="80"/>
      <c r="F87" s="80"/>
      <c r="G87" s="254"/>
      <c r="H87" s="254"/>
      <c r="I87" s="254"/>
      <c r="J87" s="254"/>
      <c r="K87" s="413"/>
      <c r="L87" s="461"/>
      <c r="M87" s="461"/>
      <c r="N87" s="628"/>
    </row>
    <row r="88" spans="1:14" s="77" customFormat="1" ht="20.25" x14ac:dyDescent="0.2">
      <c r="A88" s="80"/>
      <c r="B88" s="80"/>
      <c r="C88" s="80"/>
      <c r="D88" s="80"/>
      <c r="E88" s="80"/>
      <c r="F88" s="80"/>
      <c r="G88" s="254"/>
      <c r="H88" s="254"/>
      <c r="I88" s="254"/>
      <c r="J88" s="254"/>
      <c r="K88" s="413"/>
      <c r="L88" s="461"/>
      <c r="M88" s="461"/>
      <c r="N88" s="628"/>
    </row>
    <row r="89" spans="1:14" s="77" customFormat="1" ht="20.25" x14ac:dyDescent="0.2">
      <c r="A89" s="80"/>
      <c r="B89" s="80"/>
      <c r="C89" s="68"/>
      <c r="D89" s="80"/>
      <c r="F89" s="80"/>
      <c r="G89" s="254"/>
      <c r="H89" s="254"/>
      <c r="I89" s="254"/>
      <c r="J89" s="254"/>
      <c r="K89" s="413"/>
      <c r="L89" s="461"/>
      <c r="M89" s="461"/>
      <c r="N89" s="628"/>
    </row>
    <row r="90" spans="1:14" s="77" customFormat="1" ht="20.25" x14ac:dyDescent="0.2">
      <c r="A90" s="80"/>
      <c r="B90" s="80"/>
      <c r="C90" s="80"/>
      <c r="D90" s="80"/>
      <c r="E90" s="80"/>
      <c r="F90" s="80"/>
      <c r="G90" s="254"/>
      <c r="H90" s="254"/>
      <c r="I90" s="254"/>
      <c r="J90" s="254"/>
      <c r="K90" s="413"/>
      <c r="L90" s="461"/>
      <c r="M90" s="461"/>
      <c r="N90" s="628"/>
    </row>
    <row r="91" spans="1:14" s="69" customFormat="1" ht="20.25" x14ac:dyDescent="0.2">
      <c r="A91" s="68"/>
      <c r="B91" s="68"/>
      <c r="C91" s="68"/>
      <c r="D91" s="68"/>
      <c r="E91" s="68"/>
      <c r="F91" s="68"/>
      <c r="G91" s="259"/>
      <c r="H91" s="259"/>
      <c r="I91" s="259"/>
      <c r="J91" s="259"/>
      <c r="K91" s="411"/>
      <c r="N91" s="628"/>
    </row>
    <row r="92" spans="1:14" s="69" customFormat="1" ht="20.25" x14ac:dyDescent="0.2">
      <c r="A92" s="68"/>
      <c r="B92" s="68"/>
      <c r="C92" s="68"/>
      <c r="D92" s="68"/>
      <c r="E92" s="68"/>
      <c r="F92" s="68"/>
      <c r="G92" s="259"/>
      <c r="H92" s="259"/>
      <c r="I92" s="259"/>
      <c r="J92" s="259"/>
      <c r="K92" s="411"/>
      <c r="N92" s="628"/>
    </row>
    <row r="93" spans="1:14" s="69" customFormat="1" ht="23.25" x14ac:dyDescent="0.2">
      <c r="A93" s="68"/>
      <c r="B93" s="297"/>
      <c r="C93" s="68"/>
      <c r="D93" s="68"/>
      <c r="E93" s="68"/>
      <c r="F93" s="68"/>
      <c r="G93" s="254"/>
      <c r="H93" s="254"/>
      <c r="I93" s="254"/>
      <c r="J93" s="254"/>
      <c r="K93" s="411"/>
      <c r="N93" s="628"/>
    </row>
    <row r="94" spans="1:14" s="77" customFormat="1" ht="20.25" x14ac:dyDescent="0.2">
      <c r="A94" s="80"/>
      <c r="B94" s="80"/>
      <c r="D94" s="80"/>
      <c r="E94" s="80"/>
      <c r="F94" s="80"/>
      <c r="G94" s="254"/>
      <c r="H94" s="254"/>
      <c r="I94" s="254"/>
      <c r="J94" s="254"/>
      <c r="K94" s="413"/>
      <c r="N94" s="628"/>
    </row>
    <row r="95" spans="1:14" s="77" customFormat="1" ht="20.25" x14ac:dyDescent="0.2">
      <c r="A95" s="80"/>
      <c r="B95" s="80"/>
      <c r="D95" s="80"/>
      <c r="E95" s="80"/>
      <c r="F95" s="80"/>
      <c r="G95" s="254"/>
      <c r="H95" s="254"/>
      <c r="I95" s="254"/>
      <c r="J95" s="254"/>
      <c r="K95" s="413"/>
      <c r="N95" s="628"/>
    </row>
    <row r="96" spans="1:14" s="69" customFormat="1" ht="20.25" x14ac:dyDescent="0.2">
      <c r="A96" s="68"/>
      <c r="B96" s="68"/>
      <c r="D96" s="80"/>
      <c r="E96" s="68"/>
      <c r="F96" s="68"/>
      <c r="G96" s="254"/>
      <c r="H96" s="254"/>
      <c r="I96" s="254"/>
      <c r="J96" s="254"/>
      <c r="K96" s="411"/>
      <c r="N96" s="628"/>
    </row>
    <row r="97" spans="1:14" s="69" customFormat="1" ht="23.25" x14ac:dyDescent="0.2">
      <c r="A97" s="68"/>
      <c r="B97" s="297"/>
      <c r="C97" s="68"/>
      <c r="D97" s="68"/>
      <c r="E97" s="68"/>
      <c r="F97" s="68"/>
      <c r="G97" s="259"/>
      <c r="H97" s="259"/>
      <c r="I97" s="259"/>
      <c r="J97" s="259"/>
      <c r="K97" s="411"/>
      <c r="N97" s="628"/>
    </row>
    <row r="98" spans="1:14" s="69" customFormat="1" ht="20.25" x14ac:dyDescent="0.2">
      <c r="A98" s="68"/>
      <c r="B98" s="68"/>
      <c r="C98" s="68"/>
      <c r="D98" s="68"/>
      <c r="E98" s="68"/>
      <c r="F98" s="68"/>
      <c r="G98" s="254"/>
      <c r="H98" s="254"/>
      <c r="I98" s="254"/>
      <c r="J98" s="254"/>
      <c r="K98" s="411"/>
      <c r="N98" s="628"/>
    </row>
    <row r="99" spans="1:14" s="83" customFormat="1" ht="26.25" x14ac:dyDescent="0.2">
      <c r="A99" s="294"/>
      <c r="B99" s="294"/>
      <c r="C99" s="294"/>
      <c r="D99" s="294"/>
      <c r="E99" s="294"/>
      <c r="F99" s="294"/>
      <c r="G99" s="295"/>
      <c r="H99" s="259"/>
      <c r="I99" s="259"/>
      <c r="J99" s="259"/>
      <c r="K99" s="414"/>
      <c r="N99" s="633"/>
    </row>
    <row r="100" spans="1:14" s="18" customFormat="1" ht="20.25" x14ac:dyDescent="0.3">
      <c r="A100" s="123"/>
      <c r="B100" s="123"/>
      <c r="C100" s="123"/>
      <c r="D100" s="123"/>
      <c r="E100" s="123"/>
      <c r="F100" s="123"/>
      <c r="G100" s="298"/>
      <c r="H100" s="303"/>
      <c r="I100" s="303"/>
      <c r="J100" s="303"/>
      <c r="K100" s="416"/>
      <c r="N100" s="634"/>
    </row>
    <row r="101" spans="1:14" ht="20.25" x14ac:dyDescent="0.3">
      <c r="H101" s="303"/>
      <c r="I101" s="303"/>
      <c r="J101" s="303"/>
    </row>
    <row r="102" spans="1:14" ht="20.25" x14ac:dyDescent="0.3">
      <c r="H102" s="303"/>
      <c r="I102" s="303"/>
      <c r="J102" s="303"/>
    </row>
    <row r="103" spans="1:14" ht="20.25" x14ac:dyDescent="0.3">
      <c r="H103" s="300"/>
      <c r="I103" s="300"/>
      <c r="J103" s="300"/>
    </row>
  </sheetData>
  <mergeCells count="3">
    <mergeCell ref="L8:M8"/>
    <mergeCell ref="G6:J6"/>
    <mergeCell ref="D16:F16"/>
  </mergeCells>
  <pageMargins left="0.9" right="0.15" top="0.25" bottom="0.25" header="0.3" footer="0.3"/>
  <pageSetup scale="44"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80"/>
  <sheetViews>
    <sheetView zoomScale="75" zoomScaleNormal="75" workbookViewId="0">
      <selection sqref="A1:R50"/>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2.25" style="266" hidden="1" customWidth="1"/>
    <col min="8" max="8" width="23.125" style="18" hidden="1" customWidth="1"/>
    <col min="9" max="9" width="1.625" style="18" hidden="1" customWidth="1"/>
    <col min="10" max="10" width="26.875" style="18" customWidth="1"/>
    <col min="11" max="11" width="22.625" style="18" customWidth="1"/>
    <col min="12" max="12" width="1.625" style="18" customWidth="1"/>
    <col min="13" max="13" width="23.125" style="18" customWidth="1"/>
    <col min="14" max="14" width="2.125" style="18" hidden="1" customWidth="1"/>
    <col min="15" max="15" width="21.625" style="18" hidden="1" customWidth="1"/>
    <col min="16" max="16" width="1.75" style="18" hidden="1" customWidth="1"/>
    <col min="17" max="17" width="15.25" style="18" bestFit="1" customWidth="1"/>
    <col min="18" max="18" width="10.625" style="18" customWidth="1"/>
    <col min="19" max="19" width="9" style="18"/>
    <col min="20" max="20" width="16.875" style="18" bestFit="1" customWidth="1"/>
    <col min="21" max="21" width="10" style="18" bestFit="1" customWidth="1"/>
    <col min="22"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106</v>
      </c>
      <c r="B1" s="60"/>
      <c r="C1" s="61"/>
      <c r="D1" s="61"/>
      <c r="E1" s="61"/>
      <c r="F1" s="60"/>
      <c r="G1" s="252"/>
      <c r="H1" s="60"/>
      <c r="I1" s="60"/>
      <c r="J1" s="60"/>
      <c r="K1" s="60"/>
      <c r="L1" s="542"/>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266</v>
      </c>
      <c r="B2" s="60"/>
      <c r="C2" s="61"/>
      <c r="D2" s="61"/>
      <c r="E2" s="61"/>
      <c r="F2" s="60"/>
      <c r="G2" s="252"/>
      <c r="H2" s="60"/>
      <c r="I2" s="60"/>
      <c r="J2" s="60"/>
      <c r="K2" s="60"/>
      <c r="L2" s="542"/>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75" customHeight="1" x14ac:dyDescent="0.4">
      <c r="A3" s="59" t="str">
        <f>'August''17 State of Activities'!A3</f>
        <v>Twelve Months Ended December 31 2016</v>
      </c>
      <c r="B3" s="60"/>
      <c r="C3" s="61"/>
      <c r="D3" s="61"/>
      <c r="E3" s="61"/>
      <c r="F3" s="60"/>
      <c r="G3" s="252"/>
      <c r="H3" s="60"/>
      <c r="I3" s="60"/>
      <c r="J3" s="60"/>
      <c r="K3" s="60"/>
      <c r="L3" s="542"/>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22.5" customHeight="1" x14ac:dyDescent="0.4">
      <c r="A4" s="59" t="str">
        <f>'August''17 State of Activities'!A4</f>
        <v>Eight Months Ended August 31, 2017 and 2016</v>
      </c>
      <c r="B4" s="60"/>
      <c r="C4" s="61"/>
      <c r="D4" s="61"/>
      <c r="E4" s="61"/>
      <c r="F4" s="60"/>
      <c r="G4" s="252"/>
      <c r="H4" s="60"/>
      <c r="I4" s="60"/>
      <c r="J4" s="60"/>
      <c r="K4" s="60"/>
      <c r="L4" s="542"/>
      <c r="M4" s="60"/>
      <c r="N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s="64" customFormat="1" ht="8.25" customHeight="1" thickBot="1" x14ac:dyDescent="0.25">
      <c r="A5" s="62"/>
      <c r="B5" s="62"/>
      <c r="C5" s="62"/>
      <c r="D5" s="62"/>
      <c r="E5" s="62"/>
      <c r="F5" s="62"/>
      <c r="G5" s="25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row>
    <row r="6" spans="1:130" s="67" customFormat="1" ht="24.75" customHeight="1" thickTop="1" thickBot="1" x14ac:dyDescent="0.25">
      <c r="A6" s="65" t="s">
        <v>121</v>
      </c>
      <c r="B6" s="65"/>
      <c r="C6" s="65"/>
      <c r="D6" s="65"/>
      <c r="E6" s="65"/>
      <c r="F6" s="65"/>
      <c r="G6" s="604"/>
      <c r="H6" s="263" t="s">
        <v>59</v>
      </c>
      <c r="I6" s="263"/>
      <c r="J6" s="710" t="s">
        <v>59</v>
      </c>
      <c r="K6" s="710"/>
      <c r="L6" s="710"/>
      <c r="M6" s="710"/>
      <c r="P6" s="66"/>
      <c r="Q6" s="475" t="s">
        <v>213</v>
      </c>
      <c r="R6" s="472" t="s">
        <v>226</v>
      </c>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row>
    <row r="7" spans="1:130" s="69" customFormat="1" ht="8.25" customHeight="1" thickTop="1" x14ac:dyDescent="0.2">
      <c r="A7" s="68"/>
      <c r="B7" s="68"/>
      <c r="C7" s="68"/>
      <c r="D7" s="68"/>
      <c r="E7" s="68"/>
      <c r="F7" s="68"/>
      <c r="G7" s="254"/>
    </row>
    <row r="8" spans="1:130" s="73" customFormat="1" ht="21" thickBot="1" x14ac:dyDescent="0.35">
      <c r="A8" s="70"/>
      <c r="B8" s="155" t="s">
        <v>113</v>
      </c>
      <c r="C8" s="155"/>
      <c r="D8" s="155"/>
      <c r="E8" s="155"/>
      <c r="F8" s="155"/>
      <c r="G8" s="308">
        <v>41090</v>
      </c>
      <c r="H8" s="308">
        <v>41274</v>
      </c>
      <c r="I8" s="359"/>
      <c r="J8" s="308">
        <f>'August''17 State of Activities'!G8</f>
        <v>42978</v>
      </c>
      <c r="K8" s="545">
        <v>42735</v>
      </c>
      <c r="L8" s="359"/>
      <c r="M8" s="308">
        <f>'August''17 State of Activities'!J8</f>
        <v>42613</v>
      </c>
      <c r="N8" s="72"/>
      <c r="O8" s="308">
        <v>42369</v>
      </c>
      <c r="P8" s="72"/>
      <c r="Q8" s="712" t="s">
        <v>429</v>
      </c>
      <c r="R8" s="71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row>
    <row r="9" spans="1:130" s="75" customFormat="1" ht="20.25" x14ac:dyDescent="0.2">
      <c r="A9" s="74"/>
      <c r="B9" s="74"/>
      <c r="C9" s="484" t="s">
        <v>167</v>
      </c>
      <c r="D9" s="484"/>
      <c r="E9" s="484"/>
      <c r="F9" s="74"/>
      <c r="G9" s="290">
        <v>127719</v>
      </c>
      <c r="H9" s="290">
        <v>67566.5</v>
      </c>
      <c r="I9" s="358"/>
      <c r="J9" s="362">
        <f>'August''17 State of Activities'!G11</f>
        <v>112514.99</v>
      </c>
      <c r="K9" s="362">
        <v>191095.92</v>
      </c>
      <c r="L9" s="362"/>
      <c r="M9" s="362">
        <f>'August''17 State of Activities'!J11</f>
        <v>134073.48000000001</v>
      </c>
      <c r="N9" s="580"/>
      <c r="O9" s="362">
        <v>156115.99</v>
      </c>
      <c r="P9" s="69"/>
      <c r="Q9" s="430">
        <f>J9-M9</f>
        <v>-21558.490000000005</v>
      </c>
      <c r="R9" s="473">
        <f>Q9/K9</f>
        <v>-0.11281501980785358</v>
      </c>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130" s="75" customFormat="1" ht="20.25" x14ac:dyDescent="0.2">
      <c r="A10" s="74"/>
      <c r="B10" s="74"/>
      <c r="C10" s="484" t="s">
        <v>267</v>
      </c>
      <c r="D10" s="484"/>
      <c r="E10" s="484"/>
      <c r="F10" s="74"/>
      <c r="G10" s="289">
        <v>875436</v>
      </c>
      <c r="H10" s="289">
        <v>372424.1</v>
      </c>
      <c r="I10" s="362"/>
      <c r="J10" s="358">
        <f>(2435.19+1402.42)*1.14+3870.53</f>
        <v>8245.4053999999996</v>
      </c>
      <c r="K10" s="358">
        <v>20748.673000000003</v>
      </c>
      <c r="L10" s="362"/>
      <c r="M10" s="358">
        <f>(4369.24+2827.5)*1.14+7060</f>
        <v>15264.283599999999</v>
      </c>
      <c r="N10" s="418"/>
      <c r="O10" s="358">
        <v>19926.495000000003</v>
      </c>
      <c r="P10" s="69"/>
      <c r="Q10" s="607">
        <f>J10-M10</f>
        <v>-7018.8781999999992</v>
      </c>
      <c r="R10" s="509">
        <f>Q10/K10</f>
        <v>-0.3382808240314934</v>
      </c>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5" customFormat="1" ht="20.25" x14ac:dyDescent="0.2">
      <c r="A11" s="74"/>
      <c r="B11" s="74"/>
      <c r="C11" s="484" t="s">
        <v>115</v>
      </c>
      <c r="D11" s="484"/>
      <c r="E11" s="484"/>
      <c r="F11" s="74"/>
      <c r="G11" s="290"/>
      <c r="H11" s="290"/>
      <c r="I11" s="358"/>
      <c r="J11" s="358"/>
      <c r="K11" s="358"/>
      <c r="L11" s="358"/>
      <c r="M11" s="358"/>
      <c r="N11" s="418"/>
      <c r="O11" s="358"/>
      <c r="P11" s="69"/>
      <c r="Q11" s="607"/>
      <c r="R11" s="491"/>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row>
    <row r="12" spans="1:130" s="75" customFormat="1" ht="20.25" x14ac:dyDescent="0.2">
      <c r="A12" s="74"/>
      <c r="B12" s="74"/>
      <c r="C12" s="78"/>
      <c r="D12" s="484" t="s">
        <v>268</v>
      </c>
      <c r="E12" s="484"/>
      <c r="F12" s="74"/>
      <c r="G12" s="290">
        <v>94235.25</v>
      </c>
      <c r="H12" s="290">
        <v>37190.379999999997</v>
      </c>
      <c r="I12" s="358"/>
      <c r="J12" s="358">
        <f>41500/12*8</f>
        <v>27666.666666666668</v>
      </c>
      <c r="K12" s="358">
        <v>40000</v>
      </c>
      <c r="L12" s="358"/>
      <c r="M12" s="358">
        <f>3333*8</f>
        <v>26664</v>
      </c>
      <c r="N12" s="418"/>
      <c r="O12" s="358">
        <v>30000</v>
      </c>
      <c r="P12" s="69"/>
      <c r="Q12" s="607">
        <f t="shared" ref="Q12:Q17" si="0">J12-M12</f>
        <v>1002.6666666666679</v>
      </c>
      <c r="R12" s="509">
        <f>Q12/K12</f>
        <v>2.5066666666666695E-2</v>
      </c>
      <c r="S12" s="69"/>
      <c r="T12" s="549"/>
      <c r="U12" s="550"/>
      <c r="V12" s="549"/>
      <c r="W12" s="54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row>
    <row r="13" spans="1:130" s="75" customFormat="1" ht="20.25" x14ac:dyDescent="0.2">
      <c r="A13" s="74"/>
      <c r="B13" s="74"/>
      <c r="C13" s="78"/>
      <c r="D13" s="484" t="s">
        <v>178</v>
      </c>
      <c r="E13" s="484"/>
      <c r="F13" s="74"/>
      <c r="G13" s="290"/>
      <c r="H13" s="290"/>
      <c r="I13" s="358"/>
      <c r="J13" s="358">
        <f>750*8</f>
        <v>6000</v>
      </c>
      <c r="K13" s="358">
        <v>6500</v>
      </c>
      <c r="L13" s="358"/>
      <c r="M13" s="358">
        <f>540+540+545+540+540+545+540+540</f>
        <v>4330</v>
      </c>
      <c r="N13" s="418"/>
      <c r="O13" s="358">
        <v>5416.6666666666661</v>
      </c>
      <c r="P13" s="69"/>
      <c r="Q13" s="607">
        <f t="shared" si="0"/>
        <v>1670</v>
      </c>
      <c r="R13" s="509">
        <f t="shared" ref="R13:R15" si="1">Q13/K13</f>
        <v>0.25692307692307692</v>
      </c>
      <c r="S13" s="69"/>
      <c r="T13" s="69"/>
      <c r="U13" s="442"/>
      <c r="V13" s="551"/>
      <c r="W13" s="411"/>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row>
    <row r="14" spans="1:130" s="75" customFormat="1" ht="20.25" x14ac:dyDescent="0.2">
      <c r="A14" s="74"/>
      <c r="B14" s="74"/>
      <c r="C14" s="484" t="s">
        <v>116</v>
      </c>
      <c r="D14" s="484"/>
      <c r="E14" s="484"/>
      <c r="F14" s="74"/>
      <c r="G14" s="290">
        <v>0</v>
      </c>
      <c r="H14" s="290">
        <v>3517</v>
      </c>
      <c r="I14" s="358"/>
      <c r="J14" s="358">
        <f>'August''17 State of Activities'!G18</f>
        <v>7238.25</v>
      </c>
      <c r="K14" s="358">
        <v>9721.94</v>
      </c>
      <c r="L14" s="358"/>
      <c r="M14" s="358">
        <f>'August''17 State of Activities'!J18</f>
        <v>6034</v>
      </c>
      <c r="N14" s="418"/>
      <c r="O14" s="358">
        <v>7518.43</v>
      </c>
      <c r="P14" s="69"/>
      <c r="Q14" s="607">
        <f t="shared" si="0"/>
        <v>1204.25</v>
      </c>
      <c r="R14" s="509">
        <f t="shared" si="1"/>
        <v>0.12386931003482843</v>
      </c>
      <c r="S14" s="69"/>
      <c r="T14" s="69"/>
      <c r="U14" s="442"/>
      <c r="V14" s="551"/>
      <c r="W14" s="411"/>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484" t="s">
        <v>269</v>
      </c>
      <c r="D15" s="484"/>
      <c r="E15" s="484"/>
      <c r="F15" s="74"/>
      <c r="G15" s="290">
        <v>31459</v>
      </c>
      <c r="H15" s="290">
        <v>13920.35</v>
      </c>
      <c r="I15" s="358"/>
      <c r="J15" s="358">
        <f>'August''17 Revenues &amp; Expenses'!H37</f>
        <v>16218.23</v>
      </c>
      <c r="K15" s="358">
        <v>25000</v>
      </c>
      <c r="L15" s="358"/>
      <c r="M15" s="358">
        <v>15792.99</v>
      </c>
      <c r="N15" s="418"/>
      <c r="O15" s="358">
        <v>21179.81</v>
      </c>
      <c r="P15" s="69"/>
      <c r="Q15" s="607">
        <f t="shared" si="0"/>
        <v>425.23999999999978</v>
      </c>
      <c r="R15" s="509">
        <f t="shared" si="1"/>
        <v>1.7009599999999993E-2</v>
      </c>
      <c r="S15" s="69"/>
      <c r="T15" s="69"/>
      <c r="U15" s="442"/>
      <c r="V15" s="551"/>
      <c r="W15" s="411"/>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5" customFormat="1" ht="20.25" x14ac:dyDescent="0.2">
      <c r="A16" s="74"/>
      <c r="B16" s="74"/>
      <c r="C16" s="484" t="s">
        <v>290</v>
      </c>
      <c r="D16" s="484"/>
      <c r="E16" s="484"/>
      <c r="F16" s="74"/>
      <c r="G16" s="290">
        <v>1125</v>
      </c>
      <c r="H16" s="290">
        <v>6050</v>
      </c>
      <c r="I16" s="358"/>
      <c r="J16" s="358">
        <f>'August''17 State of Activities'!G25</f>
        <v>5175</v>
      </c>
      <c r="K16" s="358"/>
      <c r="L16" s="358"/>
      <c r="M16" s="358">
        <v>0</v>
      </c>
      <c r="N16" s="418"/>
      <c r="O16" s="358">
        <v>-6085</v>
      </c>
      <c r="P16" s="69"/>
      <c r="Q16" s="607">
        <f t="shared" si="0"/>
        <v>5175</v>
      </c>
      <c r="R16" s="509">
        <v>1</v>
      </c>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21" thickBot="1" x14ac:dyDescent="0.25">
      <c r="A17" s="74"/>
      <c r="B17" s="74"/>
      <c r="C17" s="484" t="s">
        <v>270</v>
      </c>
      <c r="D17" s="484"/>
      <c r="E17" s="484"/>
      <c r="F17" s="74"/>
      <c r="G17" s="291">
        <v>31250</v>
      </c>
      <c r="H17" s="291">
        <v>15624.98</v>
      </c>
      <c r="I17" s="358"/>
      <c r="J17" s="291">
        <f>'August''17 State of Activities'!G26*0.2</f>
        <v>6210</v>
      </c>
      <c r="K17" s="291">
        <v>9315</v>
      </c>
      <c r="L17" s="358"/>
      <c r="M17" s="291">
        <f>'August''17 State of Activities'!J26*0.2</f>
        <v>6210</v>
      </c>
      <c r="N17" s="418"/>
      <c r="O17" s="291">
        <v>9315</v>
      </c>
      <c r="P17" s="69"/>
      <c r="Q17" s="608">
        <f t="shared" si="0"/>
        <v>0</v>
      </c>
      <c r="R17" s="474">
        <v>0</v>
      </c>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0.25" x14ac:dyDescent="0.2">
      <c r="A18" s="74"/>
      <c r="B18" s="74"/>
      <c r="C18" s="484"/>
      <c r="D18" s="74" t="s">
        <v>118</v>
      </c>
      <c r="E18" s="484"/>
      <c r="F18" s="74"/>
      <c r="G18" s="256">
        <v>1161224.25</v>
      </c>
      <c r="H18" s="256">
        <v>516293.30999999994</v>
      </c>
      <c r="I18" s="254"/>
      <c r="J18" s="290">
        <f>SUM(J9:J17)</f>
        <v>189268.54206666668</v>
      </c>
      <c r="K18" s="290">
        <f>SUM(K9:K17)</f>
        <v>302381.533</v>
      </c>
      <c r="L18" s="358"/>
      <c r="M18" s="290">
        <f>SUM(M9:M17)</f>
        <v>208368.7536</v>
      </c>
      <c r="N18" s="418"/>
      <c r="O18" s="290">
        <v>293387.3916666666</v>
      </c>
      <c r="P18" s="69"/>
      <c r="Q18" s="301">
        <f>SUM(Q9:Q17)</f>
        <v>-19100.211533333335</v>
      </c>
      <c r="R18" s="509">
        <f>Q18/K18</f>
        <v>-6.3165932601225799E-2</v>
      </c>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1" thickBot="1" x14ac:dyDescent="0.25">
      <c r="A19" s="74"/>
      <c r="B19" s="74"/>
      <c r="C19" s="74" t="s">
        <v>271</v>
      </c>
      <c r="D19" s="484"/>
      <c r="E19" s="484"/>
      <c r="F19" s="74"/>
      <c r="G19" s="264">
        <v>150176</v>
      </c>
      <c r="H19" s="264">
        <v>47700.27</v>
      </c>
      <c r="I19" s="254"/>
      <c r="J19" s="358">
        <f>19000/12*8</f>
        <v>12666.666666666666</v>
      </c>
      <c r="K19" s="358">
        <v>19000</v>
      </c>
      <c r="L19" s="358"/>
      <c r="M19" s="358">
        <f>J19</f>
        <v>12666.666666666666</v>
      </c>
      <c r="N19" s="418"/>
      <c r="O19" s="574">
        <v>15833.333333333332</v>
      </c>
      <c r="P19" s="69"/>
      <c r="Q19" s="607">
        <f>J19-M19</f>
        <v>0</v>
      </c>
      <c r="R19" s="473">
        <f>Q19/K19</f>
        <v>0</v>
      </c>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75" customFormat="1" ht="21" thickBot="1" x14ac:dyDescent="0.25">
      <c r="A20" s="74"/>
      <c r="B20" s="74"/>
      <c r="C20" s="74" t="s">
        <v>272</v>
      </c>
      <c r="D20" s="484"/>
      <c r="E20" s="484"/>
      <c r="F20" s="74"/>
      <c r="G20" s="254"/>
      <c r="H20" s="254"/>
      <c r="I20" s="254"/>
      <c r="J20" s="291">
        <v>22618.61</v>
      </c>
      <c r="K20" s="291">
        <v>35496.31</v>
      </c>
      <c r="L20" s="358"/>
      <c r="M20" s="291">
        <v>23396.17</v>
      </c>
      <c r="N20" s="418"/>
      <c r="O20" s="291">
        <v>29553.69</v>
      </c>
      <c r="P20" s="69"/>
      <c r="Q20" s="429">
        <f>J20-M20</f>
        <v>-777.55999999999767</v>
      </c>
      <c r="R20" s="543">
        <f>Q20/K20</f>
        <v>-2.1905375516497284E-2</v>
      </c>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row>
    <row r="21" spans="1:63" s="75" customFormat="1" ht="20.25" x14ac:dyDescent="0.2">
      <c r="A21" s="74"/>
      <c r="B21" s="74"/>
      <c r="C21" s="484"/>
      <c r="D21" s="74" t="s">
        <v>120</v>
      </c>
      <c r="E21" s="484"/>
      <c r="F21" s="74"/>
      <c r="G21" s="256">
        <v>1311400.25</v>
      </c>
      <c r="H21" s="256">
        <v>563993.57999999996</v>
      </c>
      <c r="I21" s="254"/>
      <c r="J21" s="290">
        <f>SUM(J18:J20)</f>
        <v>224553.81873333332</v>
      </c>
      <c r="K21" s="290">
        <f>SUM(K18:K20)</f>
        <v>356877.84299999999</v>
      </c>
      <c r="L21" s="358"/>
      <c r="M21" s="290">
        <f>SUM(M18:M20)</f>
        <v>244431.59026666667</v>
      </c>
      <c r="N21" s="418"/>
      <c r="O21" s="290">
        <v>338774.41499999992</v>
      </c>
      <c r="P21" s="69"/>
      <c r="Q21" s="301">
        <f>J21-M21</f>
        <v>-19877.771533333347</v>
      </c>
      <c r="R21" s="509">
        <f>Q21/K21</f>
        <v>-5.5699091224706121E-2</v>
      </c>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row>
    <row r="22" spans="1:63" s="75" customFormat="1" ht="20.25" x14ac:dyDescent="0.2">
      <c r="A22" s="74"/>
      <c r="B22" s="74"/>
      <c r="C22" s="484"/>
      <c r="D22" s="74"/>
      <c r="E22" s="484"/>
      <c r="F22" s="74"/>
      <c r="G22" s="256"/>
      <c r="H22" s="256"/>
      <c r="I22" s="254"/>
      <c r="J22" s="358"/>
      <c r="K22" s="358"/>
      <c r="L22" s="358"/>
      <c r="M22" s="358"/>
      <c r="N22" s="418"/>
      <c r="O22" s="358"/>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row>
    <row r="23" spans="1:63" s="75" customFormat="1" ht="21" thickBot="1" x14ac:dyDescent="0.25">
      <c r="A23" s="74"/>
      <c r="B23" s="88" t="s">
        <v>124</v>
      </c>
      <c r="C23" s="88"/>
      <c r="D23" s="88"/>
      <c r="E23" s="88"/>
      <c r="F23" s="88"/>
      <c r="G23" s="264"/>
      <c r="H23" s="69"/>
      <c r="I23" s="69"/>
      <c r="J23" s="358"/>
      <c r="K23" s="418"/>
      <c r="L23" s="418"/>
      <c r="M23" s="418"/>
      <c r="N23" s="418"/>
      <c r="O23" s="418"/>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69" customFormat="1" ht="20.25" x14ac:dyDescent="0.2">
      <c r="A24" s="68"/>
      <c r="B24" s="68"/>
      <c r="C24" s="80" t="s">
        <v>273</v>
      </c>
      <c r="D24" s="80"/>
      <c r="E24" s="80"/>
      <c r="F24" s="80"/>
      <c r="G24" s="254">
        <v>733747.79999999993</v>
      </c>
      <c r="H24" s="301">
        <v>361976</v>
      </c>
      <c r="I24" s="301"/>
      <c r="J24" s="358"/>
      <c r="K24" s="456"/>
      <c r="L24" s="456"/>
      <c r="M24" s="456"/>
      <c r="N24" s="418"/>
      <c r="O24" s="456"/>
    </row>
    <row r="25" spans="1:63" s="69" customFormat="1" ht="20.25" x14ac:dyDescent="0.2">
      <c r="A25" s="68"/>
      <c r="B25" s="68"/>
      <c r="C25" s="80"/>
      <c r="D25" s="715" t="s">
        <v>274</v>
      </c>
      <c r="E25" s="715"/>
      <c r="F25" s="715"/>
      <c r="G25" s="254"/>
      <c r="H25" s="301"/>
      <c r="I25" s="301"/>
      <c r="J25" s="358">
        <v>84973.3</v>
      </c>
      <c r="K25" s="456">
        <v>138470.71</v>
      </c>
      <c r="L25" s="456"/>
      <c r="M25" s="456">
        <v>94647.7</v>
      </c>
      <c r="N25" s="418"/>
      <c r="O25" s="456">
        <v>107250.37</v>
      </c>
      <c r="Q25" s="301">
        <f t="shared" ref="Q25:Q46" si="2">J25-M25</f>
        <v>-9674.3999999999942</v>
      </c>
      <c r="R25" s="509">
        <f>Q25/K25</f>
        <v>-6.9866038817884266E-2</v>
      </c>
    </row>
    <row r="26" spans="1:63" s="69" customFormat="1" ht="20.25" x14ac:dyDescent="0.2">
      <c r="A26" s="68"/>
      <c r="B26" s="68"/>
      <c r="C26" s="80"/>
      <c r="D26" s="715" t="s">
        <v>275</v>
      </c>
      <c r="E26" s="715"/>
      <c r="F26" s="715"/>
      <c r="G26" s="254"/>
      <c r="H26" s="301"/>
      <c r="I26" s="301"/>
      <c r="J26" s="358">
        <f>23280.2+15051.27+49.2+470.47+163.5</f>
        <v>39014.639999999999</v>
      </c>
      <c r="K26" s="456">
        <v>57547.01</v>
      </c>
      <c r="L26" s="456"/>
      <c r="M26" s="456">
        <f>22254.83+14584.51+908.02+224</f>
        <v>37971.360000000001</v>
      </c>
      <c r="N26" s="418"/>
      <c r="O26" s="456">
        <v>45647.57</v>
      </c>
      <c r="Q26" s="301">
        <f t="shared" si="2"/>
        <v>1043.2799999999988</v>
      </c>
      <c r="R26" s="509">
        <f t="shared" ref="R26:R43" si="3">Q26/K26</f>
        <v>1.8129178214471939E-2</v>
      </c>
      <c r="T26" s="288"/>
    </row>
    <row r="27" spans="1:63" s="69" customFormat="1" ht="20.25" x14ac:dyDescent="0.2">
      <c r="A27" s="68"/>
      <c r="B27" s="68"/>
      <c r="C27" s="80"/>
      <c r="D27" s="715" t="s">
        <v>126</v>
      </c>
      <c r="E27" s="715"/>
      <c r="F27" s="715"/>
      <c r="G27" s="254"/>
      <c r="H27" s="301"/>
      <c r="I27" s="301"/>
      <c r="J27" s="358">
        <f>(J25+J26)*0.22</f>
        <v>27277.346799999999</v>
      </c>
      <c r="K27" s="456">
        <v>41163.7212</v>
      </c>
      <c r="L27" s="456"/>
      <c r="M27" s="358">
        <f>(M25+M26)*0.22</f>
        <v>29176.193199999998</v>
      </c>
      <c r="N27" s="418"/>
      <c r="O27" s="456">
        <v>32108.5674</v>
      </c>
      <c r="Q27" s="301">
        <f t="shared" si="2"/>
        <v>-1898.8463999999985</v>
      </c>
      <c r="R27" s="509">
        <f t="shared" si="3"/>
        <v>-4.6129124011266467E-2</v>
      </c>
    </row>
    <row r="28" spans="1:63" s="69" customFormat="1" ht="20.25" x14ac:dyDescent="0.2">
      <c r="A28" s="68"/>
      <c r="B28" s="68"/>
      <c r="C28" s="80" t="s">
        <v>276</v>
      </c>
      <c r="D28" s="80"/>
      <c r="E28" s="80"/>
      <c r="F28" s="80"/>
      <c r="G28" s="254">
        <v>44745.18</v>
      </c>
      <c r="H28" s="254">
        <v>20974.21</v>
      </c>
      <c r="I28" s="254"/>
      <c r="J28" s="358"/>
      <c r="K28" s="358"/>
      <c r="L28" s="358"/>
      <c r="M28" s="358"/>
      <c r="N28" s="418"/>
      <c r="O28" s="358"/>
      <c r="Q28" s="301">
        <f t="shared" si="2"/>
        <v>0</v>
      </c>
      <c r="R28" s="509"/>
    </row>
    <row r="29" spans="1:63" s="69" customFormat="1" ht="20.25" x14ac:dyDescent="0.2">
      <c r="A29" s="68"/>
      <c r="B29" s="68"/>
      <c r="C29" s="80"/>
      <c r="D29" s="715" t="s">
        <v>277</v>
      </c>
      <c r="E29" s="715"/>
      <c r="F29" s="715"/>
      <c r="G29" s="254"/>
      <c r="H29" s="254"/>
      <c r="I29" s="254"/>
      <c r="J29" s="358">
        <v>11202.49</v>
      </c>
      <c r="K29" s="358">
        <v>18398.63</v>
      </c>
      <c r="L29" s="358"/>
      <c r="M29" s="358">
        <v>12478.42</v>
      </c>
      <c r="N29" s="418"/>
      <c r="O29" s="358">
        <v>15165.56</v>
      </c>
      <c r="Q29" s="301">
        <f t="shared" si="2"/>
        <v>-1275.9300000000003</v>
      </c>
      <c r="R29" s="509">
        <f t="shared" si="3"/>
        <v>-6.9349185238248734E-2</v>
      </c>
    </row>
    <row r="30" spans="1:63" s="69" customFormat="1" ht="20.25" x14ac:dyDescent="0.2">
      <c r="A30" s="68"/>
      <c r="B30" s="68"/>
      <c r="C30" s="80"/>
      <c r="D30" s="715" t="s">
        <v>278</v>
      </c>
      <c r="E30" s="715"/>
      <c r="F30" s="715"/>
      <c r="G30" s="254"/>
      <c r="H30" s="254"/>
      <c r="I30" s="254"/>
      <c r="J30" s="358">
        <v>9202.74</v>
      </c>
      <c r="K30" s="358">
        <v>13843.42</v>
      </c>
      <c r="L30" s="358"/>
      <c r="M30" s="358">
        <v>9305.06</v>
      </c>
      <c r="N30" s="418"/>
      <c r="O30" s="358">
        <v>12730.77</v>
      </c>
      <c r="Q30" s="301">
        <f t="shared" si="2"/>
        <v>-102.31999999999971</v>
      </c>
      <c r="R30" s="509">
        <f t="shared" si="3"/>
        <v>-7.3912371364879279E-3</v>
      </c>
    </row>
    <row r="31" spans="1:63" s="69" customFormat="1" ht="20.25" x14ac:dyDescent="0.2">
      <c r="A31" s="68"/>
      <c r="B31" s="68"/>
      <c r="C31" s="80"/>
      <c r="D31" s="715" t="s">
        <v>279</v>
      </c>
      <c r="E31" s="715"/>
      <c r="F31" s="715"/>
      <c r="G31" s="254"/>
      <c r="H31" s="254"/>
      <c r="I31" s="254"/>
      <c r="J31" s="358">
        <v>6329.42</v>
      </c>
      <c r="K31" s="358">
        <v>7312.22</v>
      </c>
      <c r="L31" s="358"/>
      <c r="M31" s="358">
        <v>5683.74</v>
      </c>
      <c r="N31" s="418"/>
      <c r="O31" s="358">
        <v>6887.16</v>
      </c>
      <c r="Q31" s="301">
        <f t="shared" si="2"/>
        <v>645.68000000000029</v>
      </c>
      <c r="R31" s="509">
        <f t="shared" si="3"/>
        <v>8.8301500775414349E-2</v>
      </c>
    </row>
    <row r="32" spans="1:63" s="69" customFormat="1" ht="20.25" x14ac:dyDescent="0.2">
      <c r="A32" s="68"/>
      <c r="B32" s="68"/>
      <c r="C32" s="80"/>
      <c r="D32" s="715" t="s">
        <v>280</v>
      </c>
      <c r="E32" s="715"/>
      <c r="F32" s="715"/>
      <c r="G32" s="254"/>
      <c r="H32" s="254"/>
      <c r="I32" s="254"/>
      <c r="J32" s="358">
        <v>1100</v>
      </c>
      <c r="K32" s="358">
        <v>6600</v>
      </c>
      <c r="L32" s="358"/>
      <c r="M32" s="358">
        <v>4400</v>
      </c>
      <c r="N32" s="418"/>
      <c r="O32" s="358">
        <v>5500</v>
      </c>
      <c r="Q32" s="301">
        <f t="shared" si="2"/>
        <v>-3300</v>
      </c>
      <c r="R32" s="509">
        <f t="shared" si="3"/>
        <v>-0.5</v>
      </c>
    </row>
    <row r="33" spans="1:18" s="69" customFormat="1" ht="20.25" x14ac:dyDescent="0.2">
      <c r="A33" s="68"/>
      <c r="B33" s="68"/>
      <c r="C33" s="80"/>
      <c r="D33" s="715" t="s">
        <v>281</v>
      </c>
      <c r="E33" s="715"/>
      <c r="F33" s="715"/>
      <c r="G33" s="254"/>
      <c r="H33" s="254"/>
      <c r="I33" s="254"/>
      <c r="J33" s="358">
        <v>1014.5</v>
      </c>
      <c r="K33" s="358">
        <v>112</v>
      </c>
      <c r="L33" s="358"/>
      <c r="M33" s="358">
        <v>89</v>
      </c>
      <c r="N33" s="418"/>
      <c r="O33" s="358">
        <v>491.5</v>
      </c>
      <c r="Q33" s="301">
        <f t="shared" si="2"/>
        <v>925.5</v>
      </c>
      <c r="R33" s="509">
        <f t="shared" si="3"/>
        <v>8.2633928571428577</v>
      </c>
    </row>
    <row r="34" spans="1:18" s="69" customFormat="1" ht="20.25" x14ac:dyDescent="0.2">
      <c r="A34" s="68"/>
      <c r="B34" s="68"/>
      <c r="C34" s="80" t="s">
        <v>282</v>
      </c>
      <c r="D34" s="80"/>
      <c r="E34" s="80"/>
      <c r="F34" s="80"/>
      <c r="G34" s="254">
        <v>27200</v>
      </c>
      <c r="H34" s="254">
        <v>11327</v>
      </c>
      <c r="I34" s="254"/>
      <c r="J34" s="358">
        <f>1241.36+13622.64</f>
        <v>14864</v>
      </c>
      <c r="K34" s="358">
        <v>24566.04</v>
      </c>
      <c r="L34" s="358"/>
      <c r="M34" s="358">
        <f>1052.64+15324.72</f>
        <v>16377.359999999999</v>
      </c>
      <c r="N34" s="418"/>
      <c r="O34" s="358">
        <v>19880</v>
      </c>
      <c r="Q34" s="301">
        <f t="shared" si="2"/>
        <v>-1513.3599999999988</v>
      </c>
      <c r="R34" s="509">
        <f t="shared" si="3"/>
        <v>-6.1603742402112784E-2</v>
      </c>
    </row>
    <row r="35" spans="1:18" s="69" customFormat="1" ht="20.25" x14ac:dyDescent="0.2">
      <c r="A35" s="68"/>
      <c r="B35" s="68"/>
      <c r="C35" s="80" t="s">
        <v>117</v>
      </c>
      <c r="D35" s="80"/>
      <c r="E35" s="80"/>
      <c r="F35" s="80"/>
      <c r="G35" s="254">
        <v>150176</v>
      </c>
      <c r="H35" s="301">
        <v>47700.27</v>
      </c>
      <c r="I35" s="301"/>
      <c r="J35" s="358">
        <f>J17</f>
        <v>6210</v>
      </c>
      <c r="K35" s="456">
        <v>9315</v>
      </c>
      <c r="L35" s="456"/>
      <c r="M35" s="456">
        <f>M17</f>
        <v>6210</v>
      </c>
      <c r="N35" s="418"/>
      <c r="O35" s="456">
        <v>9315</v>
      </c>
      <c r="Q35" s="301">
        <f t="shared" si="2"/>
        <v>0</v>
      </c>
      <c r="R35" s="509">
        <f t="shared" si="3"/>
        <v>0</v>
      </c>
    </row>
    <row r="36" spans="1:18" s="69" customFormat="1" ht="20.25" x14ac:dyDescent="0.2">
      <c r="A36" s="68"/>
      <c r="B36" s="68"/>
      <c r="C36" s="80" t="s">
        <v>289</v>
      </c>
      <c r="D36" s="80"/>
      <c r="E36" s="80"/>
      <c r="F36" s="80"/>
      <c r="G36" s="254"/>
      <c r="H36" s="301"/>
      <c r="I36" s="301"/>
      <c r="J36" s="358">
        <f>197.36+2445.64</f>
        <v>2643</v>
      </c>
      <c r="K36" s="456">
        <v>3335</v>
      </c>
      <c r="L36" s="456"/>
      <c r="M36" s="456">
        <v>2028</v>
      </c>
      <c r="N36" s="418"/>
      <c r="O36" s="456"/>
      <c r="Q36" s="301">
        <f t="shared" si="2"/>
        <v>615</v>
      </c>
      <c r="R36" s="509">
        <f t="shared" si="3"/>
        <v>0.18440779610194902</v>
      </c>
    </row>
    <row r="37" spans="1:18" s="69" customFormat="1" ht="20.25" x14ac:dyDescent="0.2">
      <c r="A37" s="68"/>
      <c r="B37" s="68"/>
      <c r="C37" s="80" t="s">
        <v>283</v>
      </c>
      <c r="D37" s="80"/>
      <c r="E37" s="80"/>
      <c r="F37" s="80"/>
      <c r="G37" s="254"/>
      <c r="H37" s="301"/>
      <c r="I37" s="301"/>
      <c r="J37" s="358">
        <v>665</v>
      </c>
      <c r="K37" s="456">
        <v>471.15</v>
      </c>
      <c r="L37" s="456"/>
      <c r="M37" s="456">
        <f>38+433.15</f>
        <v>471.15</v>
      </c>
      <c r="N37" s="418"/>
      <c r="O37" s="456">
        <v>1454.17</v>
      </c>
      <c r="Q37" s="301">
        <f t="shared" si="2"/>
        <v>193.85000000000002</v>
      </c>
      <c r="R37" s="509">
        <f t="shared" si="3"/>
        <v>0.4114400933885175</v>
      </c>
    </row>
    <row r="38" spans="1:18" s="69" customFormat="1" ht="20.25" x14ac:dyDescent="0.2">
      <c r="A38" s="68"/>
      <c r="B38" s="68"/>
      <c r="C38" s="80" t="s">
        <v>128</v>
      </c>
      <c r="D38" s="80"/>
      <c r="E38" s="80"/>
      <c r="F38" s="80"/>
      <c r="G38" s="254">
        <v>10993.12</v>
      </c>
      <c r="H38" s="301">
        <v>4904.57</v>
      </c>
      <c r="I38" s="301"/>
      <c r="J38" s="358">
        <f>32.08+1605.97</f>
        <v>1638.05</v>
      </c>
      <c r="K38" s="456">
        <v>2515.2600000000002</v>
      </c>
      <c r="L38" s="456"/>
      <c r="M38" s="456">
        <f>33.48+1648.07</f>
        <v>1681.55</v>
      </c>
      <c r="N38" s="418"/>
      <c r="O38" s="456">
        <v>2085.69</v>
      </c>
      <c r="Q38" s="301">
        <f t="shared" si="2"/>
        <v>-43.5</v>
      </c>
      <c r="R38" s="509">
        <f t="shared" si="3"/>
        <v>-1.7294434770162924E-2</v>
      </c>
    </row>
    <row r="39" spans="1:18" s="69" customFormat="1" ht="20.25" x14ac:dyDescent="0.2">
      <c r="A39" s="68"/>
      <c r="B39" s="68"/>
      <c r="C39" s="80" t="s">
        <v>284</v>
      </c>
      <c r="D39" s="80"/>
      <c r="E39" s="80"/>
      <c r="F39" s="80"/>
      <c r="G39" s="254">
        <v>10250.949999999999</v>
      </c>
      <c r="H39" s="301">
        <v>3982.99</v>
      </c>
      <c r="I39" s="301"/>
      <c r="J39" s="358">
        <f>84.91+331.73+6.7+44.4</f>
        <v>467.73999999999995</v>
      </c>
      <c r="K39" s="456">
        <v>616.14</v>
      </c>
      <c r="L39" s="456"/>
      <c r="M39" s="456">
        <f>33.9+292.39+5.6+47.5</f>
        <v>379.39</v>
      </c>
      <c r="N39" s="418"/>
      <c r="O39" s="456">
        <v>701.85</v>
      </c>
      <c r="Q39" s="301">
        <f t="shared" si="2"/>
        <v>88.349999999999966</v>
      </c>
      <c r="R39" s="509">
        <f t="shared" si="3"/>
        <v>0.14339273541727524</v>
      </c>
    </row>
    <row r="40" spans="1:18" s="69" customFormat="1" ht="20.25" x14ac:dyDescent="0.2">
      <c r="A40" s="68"/>
      <c r="B40" s="68"/>
      <c r="C40" s="80" t="s">
        <v>135</v>
      </c>
      <c r="D40" s="80"/>
      <c r="E40" s="80"/>
      <c r="F40" s="80"/>
      <c r="G40" s="254">
        <v>4412.53</v>
      </c>
      <c r="H40" s="302">
        <v>5667</v>
      </c>
      <c r="I40" s="302"/>
      <c r="J40" s="358">
        <f>87.78+531.88</f>
        <v>619.66</v>
      </c>
      <c r="K40" s="457">
        <v>1097.4100000000001</v>
      </c>
      <c r="L40" s="457"/>
      <c r="M40" s="457">
        <v>949.79</v>
      </c>
      <c r="N40" s="418"/>
      <c r="O40" s="358">
        <v>904.99</v>
      </c>
      <c r="Q40" s="301">
        <f t="shared" si="2"/>
        <v>-330.13</v>
      </c>
      <c r="R40" s="509">
        <f t="shared" si="3"/>
        <v>-0.30082649146627055</v>
      </c>
    </row>
    <row r="41" spans="1:18" s="69" customFormat="1" ht="20.25" x14ac:dyDescent="0.2">
      <c r="A41" s="68"/>
      <c r="B41" s="68"/>
      <c r="C41" s="80" t="s">
        <v>133</v>
      </c>
      <c r="D41" s="80"/>
      <c r="E41" s="80"/>
      <c r="F41" s="80"/>
      <c r="G41" s="254">
        <v>7901</v>
      </c>
      <c r="H41" s="301">
        <v>4149.6000000000004</v>
      </c>
      <c r="I41" s="301"/>
      <c r="J41" s="358">
        <f>4.1+331.44</f>
        <v>335.54</v>
      </c>
      <c r="K41" s="456">
        <v>389.77</v>
      </c>
      <c r="L41" s="456"/>
      <c r="M41" s="456">
        <f>43.01+288.62</f>
        <v>331.63</v>
      </c>
      <c r="N41" s="418"/>
      <c r="O41" s="456">
        <v>587.55999999999995</v>
      </c>
      <c r="Q41" s="301">
        <f t="shared" si="2"/>
        <v>3.910000000000025</v>
      </c>
      <c r="R41" s="509">
        <f t="shared" si="3"/>
        <v>1.003155707211952E-2</v>
      </c>
    </row>
    <row r="42" spans="1:18" s="69" customFormat="1" ht="20.25" x14ac:dyDescent="0.2">
      <c r="A42" s="68"/>
      <c r="B42" s="68"/>
      <c r="C42" s="80" t="s">
        <v>285</v>
      </c>
      <c r="D42" s="80"/>
      <c r="E42" s="80"/>
      <c r="F42" s="80"/>
      <c r="G42" s="254"/>
      <c r="H42" s="301"/>
      <c r="I42" s="301"/>
      <c r="J42" s="358"/>
      <c r="K42" s="456">
        <v>105.52</v>
      </c>
      <c r="L42" s="456"/>
      <c r="M42" s="456">
        <v>0</v>
      </c>
      <c r="N42" s="418"/>
      <c r="O42" s="456">
        <v>570</v>
      </c>
      <c r="Q42" s="301">
        <f t="shared" si="2"/>
        <v>0</v>
      </c>
      <c r="R42" s="509">
        <f t="shared" si="3"/>
        <v>0</v>
      </c>
    </row>
    <row r="43" spans="1:18" s="77" customFormat="1" ht="20.25" x14ac:dyDescent="0.2">
      <c r="A43" s="80"/>
      <c r="B43" s="80"/>
      <c r="C43" s="80" t="s">
        <v>129</v>
      </c>
      <c r="D43" s="80"/>
      <c r="E43" s="80"/>
      <c r="F43" s="80"/>
      <c r="G43" s="254">
        <v>5428.37</v>
      </c>
      <c r="H43" s="301">
        <v>2024.52</v>
      </c>
      <c r="I43" s="301"/>
      <c r="J43" s="358">
        <v>149.51</v>
      </c>
      <c r="K43" s="456">
        <v>191.15</v>
      </c>
      <c r="L43" s="456"/>
      <c r="M43" s="456">
        <v>149.21</v>
      </c>
      <c r="N43" s="417"/>
      <c r="O43" s="456">
        <v>90.95</v>
      </c>
      <c r="Q43" s="301">
        <f t="shared" si="2"/>
        <v>0.29999999999998295</v>
      </c>
      <c r="R43" s="509">
        <f t="shared" si="3"/>
        <v>1.5694480774260159E-3</v>
      </c>
    </row>
    <row r="44" spans="1:18" s="77" customFormat="1" ht="20.25" x14ac:dyDescent="0.2">
      <c r="A44" s="80"/>
      <c r="B44" s="80"/>
      <c r="C44" s="80" t="s">
        <v>286</v>
      </c>
      <c r="D44" s="80"/>
      <c r="E44" s="80"/>
      <c r="F44" s="80"/>
      <c r="G44" s="254">
        <v>83462.91</v>
      </c>
      <c r="H44" s="254">
        <v>18995.71</v>
      </c>
      <c r="I44" s="254"/>
      <c r="J44" s="455"/>
      <c r="K44" s="358">
        <v>43.1</v>
      </c>
      <c r="L44" s="358"/>
      <c r="M44" s="358">
        <v>43.1</v>
      </c>
      <c r="N44" s="417"/>
      <c r="O44" s="358">
        <v>18</v>
      </c>
      <c r="Q44" s="610">
        <f t="shared" si="2"/>
        <v>-43.1</v>
      </c>
      <c r="R44" s="609">
        <f>Q44/K44</f>
        <v>-1</v>
      </c>
    </row>
    <row r="45" spans="1:18" s="69" customFormat="1" ht="21" thickBot="1" x14ac:dyDescent="0.25">
      <c r="A45" s="68"/>
      <c r="B45" s="68"/>
      <c r="C45" s="68"/>
      <c r="D45" s="74" t="s">
        <v>141</v>
      </c>
      <c r="E45" s="68"/>
      <c r="F45" s="68"/>
      <c r="G45" s="264">
        <v>1078317.8599999999</v>
      </c>
      <c r="H45" s="264">
        <v>481701.87000000005</v>
      </c>
      <c r="I45" s="254"/>
      <c r="J45" s="546">
        <f>SUM(J25:J44)</f>
        <v>207706.9368</v>
      </c>
      <c r="K45" s="546">
        <v>326093.2512</v>
      </c>
      <c r="L45" s="358"/>
      <c r="M45" s="546">
        <f>SUM(M25:M44)</f>
        <v>222372.6532</v>
      </c>
      <c r="N45" s="418"/>
      <c r="O45" s="546">
        <v>261389.70740000001</v>
      </c>
      <c r="Q45" s="546">
        <f t="shared" si="2"/>
        <v>-14665.716400000005</v>
      </c>
      <c r="R45" s="543">
        <f>Q45/K45</f>
        <v>-4.4973995463049941E-2</v>
      </c>
    </row>
    <row r="46" spans="1:18" s="69" customFormat="1" ht="21" thickBot="1" x14ac:dyDescent="0.25">
      <c r="A46" s="68"/>
      <c r="B46" s="68"/>
      <c r="C46" s="68"/>
      <c r="D46" s="68" t="s">
        <v>142</v>
      </c>
      <c r="E46" s="68"/>
      <c r="F46" s="68"/>
      <c r="G46" s="264">
        <v>233082.39000000013</v>
      </c>
      <c r="H46" s="264">
        <v>82291.709999999905</v>
      </c>
      <c r="I46" s="254"/>
      <c r="J46" s="547">
        <f>J21-J45</f>
        <v>16846.881933333323</v>
      </c>
      <c r="K46" s="547">
        <f>K21-K45</f>
        <v>30784.591799999995</v>
      </c>
      <c r="L46" s="358"/>
      <c r="M46" s="547">
        <f>M21-M45</f>
        <v>22058.937066666665</v>
      </c>
      <c r="N46" s="418"/>
      <c r="O46" s="547">
        <v>77384.707599999907</v>
      </c>
      <c r="Q46" s="429">
        <f t="shared" si="2"/>
        <v>-5212.0551333333424</v>
      </c>
      <c r="R46" s="543">
        <f>Q46/K46</f>
        <v>-0.16930726797336787</v>
      </c>
    </row>
    <row r="47" spans="1:18" s="69" customFormat="1" ht="20.25" x14ac:dyDescent="0.2">
      <c r="A47" s="68"/>
      <c r="B47" s="68"/>
      <c r="C47" s="68"/>
      <c r="D47" s="68"/>
      <c r="E47" s="68"/>
      <c r="F47" s="68"/>
      <c r="G47" s="254"/>
      <c r="H47" s="254"/>
      <c r="I47" s="254"/>
      <c r="J47" s="254"/>
      <c r="K47" s="358"/>
      <c r="L47" s="358"/>
      <c r="M47" s="358"/>
      <c r="N47" s="418"/>
      <c r="O47" s="358"/>
    </row>
    <row r="48" spans="1:18" s="66" customFormat="1" ht="26.25" x14ac:dyDescent="0.2">
      <c r="A48" s="294"/>
      <c r="B48" s="294"/>
      <c r="C48" s="80" t="s">
        <v>357</v>
      </c>
      <c r="E48" s="80"/>
      <c r="F48" s="80"/>
      <c r="G48" s="296"/>
      <c r="H48" s="254"/>
      <c r="I48" s="254"/>
      <c r="J48" s="254">
        <v>-49047.4</v>
      </c>
      <c r="K48" s="358"/>
      <c r="L48" s="358"/>
      <c r="M48" s="358"/>
      <c r="N48" s="581"/>
      <c r="O48" s="358">
        <v>-50000</v>
      </c>
      <c r="Q48" s="301">
        <f>J48-M48</f>
        <v>-49047.4</v>
      </c>
      <c r="R48" s="473"/>
    </row>
    <row r="49" spans="1:18" s="69" customFormat="1" ht="20.25" x14ac:dyDescent="0.2">
      <c r="A49" s="68"/>
      <c r="B49" s="68"/>
      <c r="C49" s="80" t="s">
        <v>287</v>
      </c>
      <c r="E49" s="68"/>
      <c r="G49" s="254"/>
      <c r="H49" s="254"/>
      <c r="I49" s="254"/>
      <c r="J49" s="254">
        <f>J34</f>
        <v>14864</v>
      </c>
      <c r="K49" s="358">
        <v>24566.04</v>
      </c>
      <c r="L49" s="358"/>
      <c r="M49" s="358">
        <f>M34</f>
        <v>16377.359999999999</v>
      </c>
      <c r="N49" s="418"/>
      <c r="O49" s="358">
        <v>19880</v>
      </c>
      <c r="Q49" s="301">
        <f>J49-M49</f>
        <v>-1513.3599999999988</v>
      </c>
      <c r="R49" s="473">
        <v>3.5414486921529216E-2</v>
      </c>
    </row>
    <row r="50" spans="1:18" s="69" customFormat="1" ht="24" thickBot="1" x14ac:dyDescent="0.25">
      <c r="A50" s="68"/>
      <c r="B50" s="452"/>
      <c r="C50" s="68"/>
      <c r="D50" s="714" t="s">
        <v>288</v>
      </c>
      <c r="E50" s="714"/>
      <c r="F50" s="714"/>
      <c r="G50" s="254"/>
      <c r="H50" s="254"/>
      <c r="I50" s="254"/>
      <c r="J50" s="548">
        <f>J46+J48+J49</f>
        <v>-17336.518066666678</v>
      </c>
      <c r="K50" s="548">
        <v>55350.631799999996</v>
      </c>
      <c r="L50" s="362"/>
      <c r="M50" s="548">
        <f>M46+M48+M49</f>
        <v>38436.297066666666</v>
      </c>
      <c r="N50" s="580"/>
      <c r="O50" s="548">
        <v>47264.707599999907</v>
      </c>
      <c r="P50" s="442"/>
      <c r="Q50" s="544">
        <f>J50-M50</f>
        <v>-55772.815133333344</v>
      </c>
      <c r="R50" s="598">
        <v>2.1062768618503362E-2</v>
      </c>
    </row>
    <row r="51" spans="1:18" s="69" customFormat="1" ht="21" thickTop="1" x14ac:dyDescent="0.2">
      <c r="A51" s="68"/>
      <c r="B51" s="68"/>
      <c r="C51" s="68"/>
      <c r="D51" s="68"/>
      <c r="E51" s="68"/>
      <c r="F51" s="68"/>
      <c r="G51" s="254"/>
      <c r="H51" s="254"/>
      <c r="I51" s="254"/>
      <c r="J51" s="254"/>
      <c r="K51" s="254"/>
      <c r="L51" s="254"/>
      <c r="M51" s="254"/>
      <c r="O51" s="254"/>
    </row>
    <row r="52" spans="1:18" s="72" customFormat="1" ht="20.25" x14ac:dyDescent="0.3">
      <c r="A52" s="292"/>
      <c r="B52" s="292"/>
      <c r="D52" s="292"/>
      <c r="E52" s="292"/>
      <c r="F52" s="292"/>
      <c r="G52" s="293"/>
      <c r="H52" s="293"/>
      <c r="I52" s="293"/>
      <c r="J52" s="293"/>
      <c r="K52" s="293"/>
      <c r="L52" s="293"/>
      <c r="M52" s="293"/>
      <c r="O52" s="254"/>
    </row>
    <row r="53" spans="1:18" s="77" customFormat="1" ht="20.25" x14ac:dyDescent="0.2">
      <c r="A53" s="80"/>
      <c r="B53" s="80"/>
      <c r="C53" s="80"/>
      <c r="D53" s="80"/>
      <c r="F53" s="80"/>
      <c r="G53" s="269"/>
      <c r="H53" s="254"/>
      <c r="I53" s="254"/>
      <c r="J53" s="254"/>
      <c r="K53" s="254"/>
      <c r="L53" s="254"/>
      <c r="M53" s="254"/>
    </row>
    <row r="54" spans="1:18" s="77" customFormat="1" ht="20.25" x14ac:dyDescent="0.2">
      <c r="A54" s="80"/>
      <c r="B54" s="80"/>
      <c r="C54" s="80"/>
      <c r="D54" s="80"/>
      <c r="F54" s="80"/>
      <c r="G54" s="254"/>
      <c r="H54" s="254"/>
      <c r="I54" s="254"/>
      <c r="J54" s="254"/>
      <c r="K54" s="254"/>
      <c r="L54" s="254"/>
      <c r="M54" s="254"/>
    </row>
    <row r="55" spans="1:18" s="77" customFormat="1" ht="20.25" x14ac:dyDescent="0.2">
      <c r="A55" s="80"/>
      <c r="B55" s="80"/>
      <c r="C55" s="80"/>
      <c r="D55" s="80"/>
      <c r="F55" s="80"/>
      <c r="G55" s="254"/>
      <c r="H55" s="254"/>
      <c r="I55" s="254"/>
      <c r="J55" s="254"/>
      <c r="K55" s="254"/>
      <c r="L55" s="254"/>
      <c r="M55" s="254"/>
    </row>
    <row r="56" spans="1:18" s="77" customFormat="1" ht="20.25" x14ac:dyDescent="0.2">
      <c r="A56" s="80"/>
      <c r="B56" s="80"/>
      <c r="C56" s="80"/>
      <c r="D56" s="80"/>
      <c r="F56" s="80"/>
      <c r="G56" s="254"/>
      <c r="H56" s="254"/>
      <c r="I56" s="254"/>
      <c r="J56" s="254"/>
      <c r="K56" s="254"/>
      <c r="L56" s="254"/>
      <c r="M56" s="254"/>
    </row>
    <row r="57" spans="1:18" s="77" customFormat="1" ht="20.25" x14ac:dyDescent="0.2">
      <c r="A57" s="80"/>
      <c r="B57" s="80"/>
      <c r="C57" s="80"/>
      <c r="D57" s="80"/>
      <c r="F57" s="80"/>
      <c r="G57" s="254"/>
      <c r="H57" s="254"/>
      <c r="I57" s="254"/>
      <c r="J57" s="254"/>
      <c r="K57" s="254"/>
      <c r="L57" s="254"/>
      <c r="M57" s="254"/>
    </row>
    <row r="58" spans="1:18" s="77" customFormat="1" ht="20.25" x14ac:dyDescent="0.2">
      <c r="A58" s="80"/>
      <c r="B58" s="80"/>
      <c r="C58" s="80"/>
      <c r="D58" s="80"/>
      <c r="F58" s="80"/>
      <c r="G58" s="254"/>
      <c r="H58" s="254"/>
      <c r="I58" s="254"/>
      <c r="J58" s="254"/>
      <c r="K58" s="254"/>
      <c r="L58" s="254"/>
      <c r="M58" s="254"/>
    </row>
    <row r="59" spans="1:18" s="77" customFormat="1" ht="20.25" x14ac:dyDescent="0.2">
      <c r="A59" s="80"/>
      <c r="B59" s="80"/>
      <c r="C59" s="68"/>
      <c r="D59" s="80"/>
      <c r="F59" s="80"/>
      <c r="G59" s="254"/>
      <c r="H59" s="254"/>
      <c r="I59" s="254"/>
      <c r="J59" s="254"/>
      <c r="K59" s="254"/>
      <c r="L59" s="254"/>
      <c r="M59" s="254"/>
    </row>
    <row r="60" spans="1:18" s="77" customFormat="1" ht="20.25" x14ac:dyDescent="0.2">
      <c r="A60" s="80"/>
      <c r="B60" s="80"/>
      <c r="C60" s="80"/>
      <c r="D60" s="80"/>
      <c r="E60" s="80"/>
      <c r="F60" s="80"/>
      <c r="G60" s="254"/>
      <c r="H60" s="254"/>
      <c r="I60" s="254"/>
      <c r="J60" s="254"/>
      <c r="K60" s="254"/>
      <c r="L60" s="254"/>
      <c r="M60" s="254"/>
    </row>
    <row r="61" spans="1:18" s="77" customFormat="1" ht="20.25" x14ac:dyDescent="0.2">
      <c r="A61" s="80"/>
      <c r="B61" s="80"/>
      <c r="C61" s="68"/>
      <c r="D61" s="68"/>
      <c r="G61" s="254"/>
      <c r="H61" s="254"/>
      <c r="I61" s="254"/>
      <c r="J61" s="254"/>
      <c r="K61" s="254"/>
      <c r="L61" s="254"/>
      <c r="M61" s="254"/>
    </row>
    <row r="62" spans="1:18" s="77" customFormat="1" ht="20.25" x14ac:dyDescent="0.2">
      <c r="A62" s="80"/>
      <c r="B62" s="80"/>
      <c r="C62" s="80"/>
      <c r="D62" s="80"/>
      <c r="E62" s="80"/>
      <c r="F62" s="80"/>
      <c r="G62" s="254"/>
      <c r="H62" s="254"/>
      <c r="I62" s="254"/>
      <c r="J62" s="254"/>
      <c r="K62" s="254"/>
      <c r="L62" s="254"/>
      <c r="M62" s="254"/>
    </row>
    <row r="63" spans="1:18" s="77" customFormat="1" ht="20.25" x14ac:dyDescent="0.2">
      <c r="A63" s="80"/>
      <c r="B63" s="80"/>
      <c r="C63" s="80"/>
      <c r="D63" s="80"/>
      <c r="E63" s="80"/>
      <c r="F63" s="80"/>
      <c r="G63" s="254"/>
      <c r="H63" s="254"/>
      <c r="I63" s="254"/>
      <c r="J63" s="254"/>
      <c r="K63" s="254"/>
      <c r="L63" s="254"/>
      <c r="M63" s="254"/>
    </row>
    <row r="64" spans="1:18" s="77" customFormat="1" ht="20.25" x14ac:dyDescent="0.2">
      <c r="A64" s="80"/>
      <c r="B64" s="80"/>
      <c r="C64" s="80"/>
      <c r="D64" s="80"/>
      <c r="E64" s="80"/>
      <c r="F64" s="80"/>
      <c r="G64" s="254"/>
      <c r="H64" s="254"/>
      <c r="I64" s="254"/>
      <c r="J64" s="254"/>
      <c r="K64" s="254"/>
      <c r="L64" s="254"/>
      <c r="M64" s="254"/>
    </row>
    <row r="65" spans="1:13" s="77" customFormat="1" ht="20.25" x14ac:dyDescent="0.2">
      <c r="A65" s="80"/>
      <c r="B65" s="80"/>
      <c r="C65" s="80"/>
      <c r="D65" s="80"/>
      <c r="E65" s="80"/>
      <c r="F65" s="80"/>
      <c r="G65" s="254"/>
      <c r="H65" s="254"/>
      <c r="I65" s="254"/>
      <c r="J65" s="254"/>
      <c r="K65" s="254"/>
      <c r="L65" s="254"/>
      <c r="M65" s="254"/>
    </row>
    <row r="66" spans="1:13" s="77" customFormat="1" ht="20.25" x14ac:dyDescent="0.2">
      <c r="A66" s="80"/>
      <c r="B66" s="80"/>
      <c r="C66" s="68"/>
      <c r="D66" s="80"/>
      <c r="F66" s="80"/>
      <c r="G66" s="254"/>
      <c r="H66" s="254"/>
      <c r="I66" s="254"/>
      <c r="J66" s="254"/>
      <c r="K66" s="254"/>
      <c r="L66" s="254"/>
      <c r="M66" s="254"/>
    </row>
    <row r="67" spans="1:13" s="77" customFormat="1" ht="20.25" x14ac:dyDescent="0.2">
      <c r="A67" s="80"/>
      <c r="B67" s="80"/>
      <c r="C67" s="80"/>
      <c r="D67" s="80"/>
      <c r="E67" s="80"/>
      <c r="F67" s="80"/>
      <c r="G67" s="254"/>
      <c r="H67" s="254"/>
      <c r="I67" s="254"/>
      <c r="J67" s="254"/>
      <c r="K67" s="254"/>
      <c r="L67" s="254"/>
      <c r="M67" s="254"/>
    </row>
    <row r="68" spans="1:13" s="69" customFormat="1" ht="20.25" x14ac:dyDescent="0.2">
      <c r="A68" s="68"/>
      <c r="B68" s="68"/>
      <c r="C68" s="68"/>
      <c r="D68" s="68"/>
      <c r="E68" s="68"/>
      <c r="F68" s="68"/>
      <c r="G68" s="259"/>
      <c r="H68" s="259"/>
      <c r="I68" s="259"/>
      <c r="J68" s="259"/>
      <c r="K68" s="259"/>
      <c r="L68" s="259"/>
      <c r="M68" s="259"/>
    </row>
    <row r="69" spans="1:13" s="69" customFormat="1" ht="20.25" x14ac:dyDescent="0.2">
      <c r="A69" s="68"/>
      <c r="B69" s="68"/>
      <c r="C69" s="68"/>
      <c r="D69" s="68"/>
      <c r="E69" s="68"/>
      <c r="F69" s="68"/>
      <c r="G69" s="259"/>
      <c r="H69" s="259"/>
      <c r="I69" s="259"/>
      <c r="J69" s="259"/>
      <c r="K69" s="259"/>
      <c r="L69" s="259"/>
      <c r="M69" s="259"/>
    </row>
    <row r="70" spans="1:13" s="69" customFormat="1" ht="23.25" x14ac:dyDescent="0.2">
      <c r="A70" s="68"/>
      <c r="B70" s="297"/>
      <c r="C70" s="68"/>
      <c r="D70" s="68"/>
      <c r="E70" s="68"/>
      <c r="F70" s="68"/>
      <c r="G70" s="254"/>
      <c r="H70" s="254"/>
      <c r="I70" s="254"/>
      <c r="J70" s="254"/>
      <c r="K70" s="254"/>
      <c r="L70" s="254"/>
      <c r="M70" s="254"/>
    </row>
    <row r="71" spans="1:13" s="77" customFormat="1" ht="20.25" x14ac:dyDescent="0.2">
      <c r="A71" s="80"/>
      <c r="B71" s="80"/>
      <c r="D71" s="80"/>
      <c r="E71" s="80"/>
      <c r="F71" s="80"/>
      <c r="G71" s="254"/>
      <c r="H71" s="254"/>
      <c r="I71" s="254"/>
      <c r="J71" s="254"/>
      <c r="K71" s="254"/>
      <c r="L71" s="254"/>
      <c r="M71" s="254"/>
    </row>
    <row r="72" spans="1:13" s="77" customFormat="1" ht="20.25" x14ac:dyDescent="0.2">
      <c r="A72" s="80"/>
      <c r="B72" s="80"/>
      <c r="D72" s="80"/>
      <c r="E72" s="80"/>
      <c r="F72" s="80"/>
      <c r="G72" s="254"/>
      <c r="H72" s="254"/>
      <c r="I72" s="254"/>
      <c r="J72" s="254"/>
      <c r="K72" s="254"/>
      <c r="L72" s="254"/>
      <c r="M72" s="254"/>
    </row>
    <row r="73" spans="1:13" s="69" customFormat="1" ht="20.25" x14ac:dyDescent="0.2">
      <c r="A73" s="68"/>
      <c r="B73" s="68"/>
      <c r="D73" s="80"/>
      <c r="E73" s="68"/>
      <c r="F73" s="68"/>
      <c r="G73" s="254"/>
      <c r="H73" s="254"/>
      <c r="I73" s="254"/>
      <c r="J73" s="254"/>
      <c r="K73" s="254"/>
      <c r="L73" s="254"/>
      <c r="M73" s="254"/>
    </row>
    <row r="74" spans="1:13" s="69" customFormat="1" ht="23.25" x14ac:dyDescent="0.2">
      <c r="A74" s="68"/>
      <c r="B74" s="297"/>
      <c r="C74" s="68"/>
      <c r="D74" s="68"/>
      <c r="E74" s="68"/>
      <c r="F74" s="68"/>
      <c r="G74" s="259"/>
      <c r="H74" s="259"/>
      <c r="I74" s="259"/>
      <c r="J74" s="259"/>
      <c r="K74" s="259"/>
      <c r="L74" s="259"/>
      <c r="M74" s="259"/>
    </row>
    <row r="75" spans="1:13" s="69" customFormat="1" ht="20.25" x14ac:dyDescent="0.2">
      <c r="A75" s="68"/>
      <c r="B75" s="68"/>
      <c r="C75" s="68"/>
      <c r="D75" s="68"/>
      <c r="E75" s="68"/>
      <c r="F75" s="68"/>
      <c r="G75" s="254"/>
      <c r="H75" s="254"/>
      <c r="I75" s="254"/>
      <c r="J75" s="254"/>
      <c r="K75" s="254"/>
      <c r="L75" s="254"/>
      <c r="M75" s="254"/>
    </row>
    <row r="76" spans="1:13" s="83" customFormat="1" ht="26.25" x14ac:dyDescent="0.2">
      <c r="A76" s="294"/>
      <c r="B76" s="294"/>
      <c r="C76" s="294"/>
      <c r="D76" s="294"/>
      <c r="E76" s="294"/>
      <c r="F76" s="294"/>
      <c r="G76" s="295"/>
      <c r="H76" s="259"/>
      <c r="I76" s="259"/>
      <c r="J76" s="259"/>
      <c r="K76" s="259"/>
      <c r="L76" s="259"/>
      <c r="M76" s="259"/>
    </row>
    <row r="77" spans="1:13" s="18" customFormat="1" ht="20.25" x14ac:dyDescent="0.3">
      <c r="A77" s="123"/>
      <c r="B77" s="123"/>
      <c r="C77" s="123"/>
      <c r="D77" s="123"/>
      <c r="E77" s="123"/>
      <c r="F77" s="123"/>
      <c r="G77" s="298"/>
      <c r="H77" s="303"/>
      <c r="I77" s="303"/>
      <c r="J77" s="303"/>
      <c r="K77" s="303"/>
      <c r="L77" s="303"/>
      <c r="M77" s="303"/>
    </row>
    <row r="78" spans="1:13" ht="20.25" x14ac:dyDescent="0.3">
      <c r="H78" s="303"/>
      <c r="I78" s="303"/>
      <c r="J78" s="303"/>
      <c r="K78" s="303"/>
      <c r="L78" s="303"/>
      <c r="M78" s="303"/>
    </row>
    <row r="79" spans="1:13" ht="20.25" x14ac:dyDescent="0.3">
      <c r="H79" s="303"/>
      <c r="I79" s="303"/>
      <c r="J79" s="303"/>
      <c r="K79" s="303"/>
      <c r="L79" s="303"/>
      <c r="M79" s="303"/>
    </row>
    <row r="80" spans="1:13" ht="20.25" x14ac:dyDescent="0.3">
      <c r="H80" s="300"/>
      <c r="I80" s="300"/>
      <c r="J80" s="300"/>
      <c r="K80" s="300"/>
      <c r="L80" s="300"/>
      <c r="M80" s="300"/>
    </row>
  </sheetData>
  <mergeCells count="11">
    <mergeCell ref="J6:M6"/>
    <mergeCell ref="D30:F30"/>
    <mergeCell ref="D31:F31"/>
    <mergeCell ref="D32:F32"/>
    <mergeCell ref="D33:F33"/>
    <mergeCell ref="D50:F50"/>
    <mergeCell ref="Q8:R8"/>
    <mergeCell ref="D25:F25"/>
    <mergeCell ref="D26:F26"/>
    <mergeCell ref="D27:F27"/>
    <mergeCell ref="D29:F29"/>
  </mergeCells>
  <pageMargins left="0.2" right="0" top="0.5" bottom="0.5" header="0.3" footer="0.3"/>
  <pageSetup scale="55"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106</v>
      </c>
      <c r="B1" s="60"/>
      <c r="C1" s="61"/>
      <c r="D1" s="61"/>
      <c r="E1" s="61"/>
      <c r="F1" s="60"/>
      <c r="G1" s="252"/>
      <c r="H1" s="600"/>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353</v>
      </c>
      <c r="B2" s="60"/>
      <c r="C2" s="61"/>
      <c r="D2" s="61"/>
      <c r="E2" s="61"/>
      <c r="F2" s="60"/>
      <c r="G2" s="252"/>
      <c r="H2" s="600"/>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340</v>
      </c>
      <c r="B3" s="60"/>
      <c r="C3" s="61"/>
      <c r="D3" s="61"/>
      <c r="E3" s="61"/>
      <c r="F3" s="60"/>
      <c r="G3" s="252"/>
      <c r="H3" s="600"/>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354</v>
      </c>
      <c r="B4" s="60"/>
      <c r="C4" s="61"/>
      <c r="D4" s="61"/>
      <c r="E4" s="61"/>
      <c r="F4" s="60"/>
      <c r="G4" s="252"/>
      <c r="H4" s="600"/>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53"/>
      <c r="H5" s="601"/>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95" t="s">
        <v>59</v>
      </c>
      <c r="H6" s="581"/>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54"/>
      <c r="H7" s="418"/>
    </row>
    <row r="8" spans="1:143" s="73" customFormat="1" ht="21" thickBot="1" x14ac:dyDescent="0.35">
      <c r="A8" s="70"/>
      <c r="B8" s="155" t="s">
        <v>113</v>
      </c>
      <c r="C8" s="155"/>
      <c r="D8" s="155"/>
      <c r="E8" s="155"/>
      <c r="F8" s="155"/>
      <c r="G8" s="308"/>
      <c r="H8" s="60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84" t="s">
        <v>114</v>
      </c>
      <c r="D9" s="484"/>
      <c r="E9" s="484"/>
      <c r="F9" s="74"/>
      <c r="G9" s="289">
        <v>1015000</v>
      </c>
      <c r="H9" s="418"/>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84" t="s">
        <v>198</v>
      </c>
      <c r="D10" s="484"/>
      <c r="E10" s="484"/>
      <c r="F10" s="74"/>
      <c r="G10" s="290">
        <v>13000</v>
      </c>
      <c r="H10" s="418"/>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48"/>
      <c r="C11" s="484" t="s">
        <v>167</v>
      </c>
      <c r="D11" s="484"/>
      <c r="E11" s="484"/>
      <c r="F11" s="74"/>
      <c r="G11" s="290">
        <v>195000</v>
      </c>
      <c r="H11" s="418"/>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48"/>
      <c r="C12" s="484" t="s">
        <v>211</v>
      </c>
      <c r="D12" s="484"/>
      <c r="E12" s="484"/>
      <c r="F12" s="74"/>
      <c r="G12" s="290">
        <v>40000</v>
      </c>
      <c r="H12" s="418"/>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48"/>
      <c r="C13" s="484" t="s">
        <v>115</v>
      </c>
      <c r="D13" s="484"/>
      <c r="E13" s="484"/>
      <c r="F13" s="74"/>
      <c r="G13" s="290"/>
      <c r="H13" s="418"/>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48"/>
      <c r="C14" s="78"/>
      <c r="D14" s="484" t="s">
        <v>156</v>
      </c>
      <c r="E14" s="484"/>
      <c r="F14" s="74"/>
      <c r="G14" s="290">
        <f>43900+41500+122000</f>
        <v>207400</v>
      </c>
      <c r="H14" s="418"/>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48"/>
      <c r="C15" s="78"/>
      <c r="D15" s="484" t="s">
        <v>178</v>
      </c>
      <c r="E15" s="484"/>
      <c r="F15" s="74"/>
      <c r="G15" s="290">
        <v>11000</v>
      </c>
      <c r="H15" s="418"/>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48"/>
      <c r="C16" s="484" t="s">
        <v>116</v>
      </c>
      <c r="D16" s="484"/>
      <c r="E16" s="484"/>
      <c r="F16" s="74"/>
      <c r="G16" s="290">
        <v>9500</v>
      </c>
      <c r="H16" s="418"/>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48"/>
      <c r="C17" s="484" t="s">
        <v>123</v>
      </c>
      <c r="D17" s="484"/>
      <c r="E17" s="484"/>
      <c r="F17" s="74"/>
      <c r="G17" s="290">
        <v>1000</v>
      </c>
      <c r="H17" s="418"/>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48"/>
      <c r="C18" s="484" t="s">
        <v>298</v>
      </c>
      <c r="D18" s="484"/>
      <c r="E18" s="484"/>
      <c r="F18" s="74"/>
      <c r="G18" s="290">
        <v>3000</v>
      </c>
      <c r="H18" s="418"/>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48"/>
      <c r="C19" s="484" t="s">
        <v>299</v>
      </c>
      <c r="D19" s="484"/>
      <c r="E19" s="484"/>
      <c r="F19" s="74"/>
      <c r="G19" s="290">
        <f>25000+8000+20000</f>
        <v>53000</v>
      </c>
      <c r="H19" s="418"/>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48"/>
      <c r="C20" s="484" t="s">
        <v>162</v>
      </c>
      <c r="D20" s="484"/>
      <c r="E20" s="484"/>
      <c r="F20" s="74"/>
      <c r="G20" s="290">
        <v>500</v>
      </c>
      <c r="H20" s="418"/>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48"/>
      <c r="C21" s="484" t="s">
        <v>187</v>
      </c>
      <c r="D21" s="484"/>
      <c r="E21" s="484"/>
      <c r="F21" s="74"/>
      <c r="G21" s="290"/>
      <c r="H21" s="41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48"/>
      <c r="C22" s="484" t="s">
        <v>122</v>
      </c>
      <c r="D22" s="484"/>
      <c r="E22" s="484"/>
      <c r="F22" s="74"/>
      <c r="G22" s="291">
        <v>46575</v>
      </c>
      <c r="H22" s="418"/>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48"/>
      <c r="C23" s="484"/>
      <c r="D23" s="74" t="s">
        <v>118</v>
      </c>
      <c r="E23" s="484"/>
      <c r="F23" s="74"/>
      <c r="G23" s="256">
        <f>SUM(G9:G22)</f>
        <v>1594975</v>
      </c>
      <c r="H23" s="418"/>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48"/>
      <c r="C24" s="74" t="s">
        <v>119</v>
      </c>
      <c r="D24" s="484"/>
      <c r="E24" s="484"/>
      <c r="F24" s="74"/>
      <c r="G24" s="264">
        <f>68000+18000</f>
        <v>86000</v>
      </c>
      <c r="H24" s="418"/>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48"/>
      <c r="C25" s="484"/>
      <c r="D25" s="74" t="s">
        <v>120</v>
      </c>
      <c r="E25" s="484"/>
      <c r="F25" s="74"/>
      <c r="G25" s="256">
        <f>SUM(G23:G24)</f>
        <v>1680975</v>
      </c>
      <c r="H25" s="418"/>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48"/>
      <c r="C26" s="484"/>
      <c r="D26" s="74"/>
      <c r="E26" s="484"/>
      <c r="F26" s="74"/>
      <c r="G26" s="256"/>
      <c r="H26" s="418"/>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49" t="s">
        <v>124</v>
      </c>
      <c r="C27" s="88"/>
      <c r="D27" s="88"/>
      <c r="E27" s="88"/>
      <c r="F27" s="88"/>
      <c r="G27" s="264"/>
      <c r="H27" s="418"/>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50"/>
      <c r="C28" s="80" t="s">
        <v>125</v>
      </c>
      <c r="D28" s="80"/>
      <c r="E28" s="80"/>
      <c r="F28" s="80"/>
      <c r="G28" s="254">
        <f>ROUND((898643.55+40000)*1.02,-2)</f>
        <v>957400</v>
      </c>
      <c r="H28" s="418"/>
    </row>
    <row r="29" spans="1:143" s="69" customFormat="1" ht="20.25" x14ac:dyDescent="0.2">
      <c r="A29" s="68"/>
      <c r="B29" s="450"/>
      <c r="C29" s="80" t="s">
        <v>126</v>
      </c>
      <c r="D29" s="80"/>
      <c r="E29" s="80"/>
      <c r="F29" s="80"/>
      <c r="G29" s="254">
        <f>ROUNDUP(G28*0.195,-2)</f>
        <v>186700</v>
      </c>
      <c r="H29" s="418"/>
    </row>
    <row r="30" spans="1:143" s="69" customFormat="1" ht="20.25" x14ac:dyDescent="0.2">
      <c r="A30" s="68"/>
      <c r="B30" s="450"/>
      <c r="C30" s="80" t="s">
        <v>127</v>
      </c>
      <c r="D30" s="80"/>
      <c r="E30" s="80"/>
      <c r="F30" s="80"/>
      <c r="G30" s="254">
        <f>48831-G22</f>
        <v>2256</v>
      </c>
      <c r="H30" s="418"/>
    </row>
    <row r="31" spans="1:143" s="69" customFormat="1" ht="20.25" x14ac:dyDescent="0.2">
      <c r="A31" s="68"/>
      <c r="B31" s="450"/>
      <c r="C31" s="80" t="s">
        <v>117</v>
      </c>
      <c r="D31" s="80"/>
      <c r="E31" s="80"/>
      <c r="F31" s="80"/>
      <c r="G31" s="254">
        <f>G22</f>
        <v>46575</v>
      </c>
      <c r="H31" s="418"/>
    </row>
    <row r="32" spans="1:143" s="69" customFormat="1" ht="20.25" x14ac:dyDescent="0.2">
      <c r="A32" s="68"/>
      <c r="B32" s="450"/>
      <c r="C32" s="80" t="s">
        <v>128</v>
      </c>
      <c r="D32" s="80"/>
      <c r="E32" s="80"/>
      <c r="F32" s="80"/>
      <c r="G32" s="254">
        <v>14000</v>
      </c>
      <c r="H32" s="418"/>
    </row>
    <row r="33" spans="1:8" s="69" customFormat="1" ht="20.25" x14ac:dyDescent="0.2">
      <c r="A33" s="68"/>
      <c r="B33" s="450"/>
      <c r="C33" s="80" t="s">
        <v>129</v>
      </c>
      <c r="D33" s="80"/>
      <c r="E33" s="80"/>
      <c r="F33" s="80"/>
      <c r="G33" s="254">
        <v>3500</v>
      </c>
      <c r="H33" s="418"/>
    </row>
    <row r="34" spans="1:8" s="69" customFormat="1" ht="20.25" x14ac:dyDescent="0.2">
      <c r="A34" s="68"/>
      <c r="B34" s="450"/>
      <c r="C34" s="80" t="s">
        <v>130</v>
      </c>
      <c r="D34" s="80"/>
      <c r="E34" s="80"/>
      <c r="F34" s="80"/>
      <c r="G34" s="254">
        <v>7000</v>
      </c>
      <c r="H34" s="418"/>
    </row>
    <row r="35" spans="1:8" s="69" customFormat="1" ht="20.25" x14ac:dyDescent="0.2">
      <c r="A35" s="68"/>
      <c r="B35" s="450"/>
      <c r="C35" s="80" t="s">
        <v>131</v>
      </c>
      <c r="D35" s="80"/>
      <c r="E35" s="80"/>
      <c r="F35" s="80"/>
      <c r="G35" s="254">
        <v>13500</v>
      </c>
      <c r="H35" s="418"/>
    </row>
    <row r="36" spans="1:8" s="69" customFormat="1" ht="20.25" x14ac:dyDescent="0.2">
      <c r="A36" s="68"/>
      <c r="B36" s="450"/>
      <c r="C36" s="80" t="s">
        <v>132</v>
      </c>
      <c r="D36" s="80"/>
      <c r="E36" s="80"/>
      <c r="F36" s="80"/>
      <c r="G36" s="254">
        <v>40000</v>
      </c>
      <c r="H36" s="418"/>
    </row>
    <row r="37" spans="1:8" s="69" customFormat="1" ht="20.25" x14ac:dyDescent="0.2">
      <c r="A37" s="68"/>
      <c r="B37" s="450"/>
      <c r="C37" s="80" t="s">
        <v>133</v>
      </c>
      <c r="D37" s="80"/>
      <c r="E37" s="80"/>
      <c r="F37" s="80"/>
      <c r="G37" s="254">
        <v>6600</v>
      </c>
      <c r="H37" s="418"/>
    </row>
    <row r="38" spans="1:8" s="69" customFormat="1" ht="20.25" x14ac:dyDescent="0.2">
      <c r="A38" s="68"/>
      <c r="B38" s="450"/>
      <c r="C38" s="80" t="s">
        <v>134</v>
      </c>
      <c r="D38" s="80"/>
      <c r="E38" s="80"/>
      <c r="F38" s="80"/>
      <c r="G38" s="254">
        <v>1500</v>
      </c>
      <c r="H38" s="418"/>
    </row>
    <row r="39" spans="1:8" s="69" customFormat="1" ht="20.25" x14ac:dyDescent="0.2">
      <c r="A39" s="68"/>
      <c r="B39" s="450"/>
      <c r="C39" s="80" t="s">
        <v>189</v>
      </c>
      <c r="D39" s="80"/>
      <c r="E39" s="80"/>
      <c r="F39" s="80"/>
      <c r="G39" s="254">
        <v>13700</v>
      </c>
      <c r="H39" s="418"/>
    </row>
    <row r="40" spans="1:8" s="77" customFormat="1" ht="20.25" x14ac:dyDescent="0.2">
      <c r="A40" s="80"/>
      <c r="B40" s="446"/>
      <c r="C40" s="80" t="s">
        <v>135</v>
      </c>
      <c r="D40" s="80"/>
      <c r="E40" s="80"/>
      <c r="F40" s="80"/>
      <c r="G40" s="358">
        <f>ROUNDUP(13248.87*1.05,-2)</f>
        <v>14000</v>
      </c>
      <c r="H40" s="417"/>
    </row>
    <row r="41" spans="1:8" s="77" customFormat="1" ht="20.25" x14ac:dyDescent="0.2">
      <c r="A41" s="80"/>
      <c r="B41" s="446"/>
      <c r="C41" s="80" t="s">
        <v>136</v>
      </c>
      <c r="D41" s="80"/>
      <c r="E41" s="80"/>
      <c r="F41" s="80"/>
      <c r="G41" s="254">
        <f>ROUNDUP(12343.85*1.03,-2)</f>
        <v>12800</v>
      </c>
      <c r="H41" s="417"/>
    </row>
    <row r="42" spans="1:8" s="77" customFormat="1" ht="20.25" x14ac:dyDescent="0.2">
      <c r="A42" s="80"/>
      <c r="B42" s="446"/>
      <c r="C42" s="80" t="s">
        <v>145</v>
      </c>
      <c r="D42" s="80"/>
      <c r="E42" s="80"/>
      <c r="F42" s="80"/>
      <c r="G42" s="254">
        <v>3000</v>
      </c>
      <c r="H42" s="417"/>
    </row>
    <row r="43" spans="1:8" s="77" customFormat="1" ht="20.25" x14ac:dyDescent="0.2">
      <c r="A43" s="80"/>
      <c r="B43" s="446"/>
      <c r="C43" s="80" t="s">
        <v>137</v>
      </c>
      <c r="D43" s="80"/>
      <c r="E43" s="80"/>
      <c r="F43" s="80"/>
      <c r="G43" s="358">
        <f>ROUNDUP((3067.88+8008.83)*1.05,-2)</f>
        <v>11700</v>
      </c>
      <c r="H43" s="417"/>
    </row>
    <row r="44" spans="1:8" s="69" customFormat="1" ht="20.25" x14ac:dyDescent="0.2">
      <c r="A44" s="68"/>
      <c r="B44" s="450"/>
      <c r="C44" s="80" t="s">
        <v>235</v>
      </c>
      <c r="D44" s="80"/>
      <c r="E44" s="80"/>
      <c r="F44" s="80"/>
      <c r="G44" s="254">
        <v>17000</v>
      </c>
      <c r="H44" s="418"/>
    </row>
    <row r="45" spans="1:8" s="77" customFormat="1" ht="20.25" x14ac:dyDescent="0.2">
      <c r="A45" s="80"/>
      <c r="B45" s="446"/>
      <c r="C45" s="80" t="s">
        <v>138</v>
      </c>
      <c r="D45" s="80"/>
      <c r="E45" s="80"/>
      <c r="F45" s="80"/>
      <c r="G45" s="358">
        <v>41000</v>
      </c>
      <c r="H45" s="417"/>
    </row>
    <row r="46" spans="1:8" s="77" customFormat="1" ht="20.25" x14ac:dyDescent="0.2">
      <c r="A46" s="80"/>
      <c r="B46" s="446"/>
      <c r="C46" s="80" t="s">
        <v>139</v>
      </c>
      <c r="D46" s="80"/>
      <c r="E46" s="80"/>
      <c r="F46" s="80"/>
      <c r="G46" s="358">
        <f>ROUNDUP((1800+4675.64+34905.29+1033.01-10000-2673-17150-1033+14000)*1.01,-2)</f>
        <v>25900</v>
      </c>
      <c r="H46" s="417"/>
    </row>
    <row r="47" spans="1:8" s="77" customFormat="1" ht="20.25" x14ac:dyDescent="0.2">
      <c r="A47" s="80"/>
      <c r="B47" s="446"/>
      <c r="C47" s="80" t="s">
        <v>190</v>
      </c>
      <c r="D47" s="80"/>
      <c r="E47" s="80"/>
      <c r="F47" s="80"/>
      <c r="G47" s="254">
        <v>36000</v>
      </c>
      <c r="H47" s="417"/>
    </row>
    <row r="48" spans="1:8" s="77" customFormat="1" ht="20.25" x14ac:dyDescent="0.2">
      <c r="A48" s="80"/>
      <c r="B48" s="446"/>
      <c r="C48" s="80" t="s">
        <v>188</v>
      </c>
      <c r="D48" s="80"/>
      <c r="E48" s="80"/>
      <c r="F48" s="80"/>
      <c r="G48" s="254">
        <f>ROUNDUP(46266.27*1.02,-2)</f>
        <v>47200</v>
      </c>
      <c r="H48" s="417"/>
    </row>
    <row r="49" spans="1:8" s="77" customFormat="1" ht="20.25" x14ac:dyDescent="0.2">
      <c r="A49" s="80"/>
      <c r="B49" s="446"/>
      <c r="C49" s="80" t="s">
        <v>140</v>
      </c>
      <c r="D49" s="80"/>
      <c r="E49" s="80"/>
      <c r="F49" s="80"/>
      <c r="G49" s="254">
        <f>ROUND((2604.31+166143.24-12000)*1.01,-2)</f>
        <v>158300</v>
      </c>
      <c r="H49" s="417"/>
    </row>
    <row r="50" spans="1:8" s="77" customFormat="1" ht="20.25" hidden="1" x14ac:dyDescent="0.2">
      <c r="A50" s="80"/>
      <c r="B50" s="446"/>
      <c r="C50" s="80" t="s">
        <v>342</v>
      </c>
      <c r="D50" s="80"/>
      <c r="E50" s="80"/>
      <c r="F50" s="80"/>
      <c r="G50" s="254"/>
      <c r="H50" s="417"/>
    </row>
    <row r="51" spans="1:8" s="69" customFormat="1" ht="20.25" x14ac:dyDescent="0.2">
      <c r="A51" s="68"/>
      <c r="B51" s="450"/>
      <c r="C51" s="68"/>
      <c r="D51" s="74" t="s">
        <v>141</v>
      </c>
      <c r="E51" s="68"/>
      <c r="F51" s="68"/>
      <c r="G51" s="259">
        <f>SUM(G28:G50)</f>
        <v>1659631</v>
      </c>
      <c r="H51" s="418"/>
    </row>
    <row r="52" spans="1:8" s="69" customFormat="1" ht="10.5" customHeight="1" thickBot="1" x14ac:dyDescent="0.25">
      <c r="A52" s="68"/>
      <c r="B52" s="450"/>
      <c r="C52" s="68"/>
      <c r="D52" s="74"/>
      <c r="E52" s="68"/>
      <c r="F52" s="68"/>
      <c r="G52" s="264"/>
      <c r="H52" s="418"/>
    </row>
    <row r="53" spans="1:8" s="69" customFormat="1" ht="21" thickBot="1" x14ac:dyDescent="0.25">
      <c r="A53" s="68"/>
      <c r="B53" s="450"/>
      <c r="C53" s="68"/>
      <c r="D53" s="68" t="s">
        <v>142</v>
      </c>
      <c r="E53" s="68"/>
      <c r="F53" s="68"/>
      <c r="G53" s="264">
        <f>G25-G51</f>
        <v>21344</v>
      </c>
      <c r="H53" s="418"/>
    </row>
    <row r="54" spans="1:8" s="69" customFormat="1" ht="11.25" customHeight="1" x14ac:dyDescent="0.2">
      <c r="A54" s="68"/>
      <c r="B54" s="450"/>
      <c r="C54" s="68"/>
      <c r="D54" s="68"/>
      <c r="E54" s="68"/>
      <c r="F54" s="68"/>
      <c r="G54" s="254"/>
      <c r="H54" s="418"/>
    </row>
    <row r="55" spans="1:8" s="77" customFormat="1" ht="20.25" x14ac:dyDescent="0.2">
      <c r="A55" s="80"/>
      <c r="B55" s="446"/>
      <c r="C55" s="80"/>
      <c r="D55" s="80"/>
      <c r="F55" s="80"/>
      <c r="G55" s="269"/>
      <c r="H55" s="417"/>
    </row>
    <row r="56" spans="1:8" s="77" customFormat="1" ht="20.25" x14ac:dyDescent="0.2">
      <c r="A56" s="80"/>
      <c r="B56" s="446"/>
      <c r="C56" s="80"/>
      <c r="D56" s="80"/>
      <c r="F56" s="80"/>
      <c r="G56" s="254"/>
      <c r="H56" s="417"/>
    </row>
    <row r="57" spans="1:8" s="77" customFormat="1" ht="20.25" x14ac:dyDescent="0.2">
      <c r="A57" s="80"/>
      <c r="B57" s="446"/>
      <c r="C57" s="80"/>
      <c r="D57" s="80"/>
      <c r="F57" s="80"/>
      <c r="G57" s="254"/>
      <c r="H57" s="417"/>
    </row>
    <row r="58" spans="1:8" s="77" customFormat="1" ht="20.25" x14ac:dyDescent="0.2">
      <c r="A58" s="80"/>
      <c r="B58" s="80"/>
      <c r="C58" s="80"/>
      <c r="D58" s="80"/>
      <c r="F58" s="80"/>
      <c r="G58" s="254"/>
      <c r="H58" s="417"/>
    </row>
    <row r="59" spans="1:8" s="77" customFormat="1" ht="20.25" x14ac:dyDescent="0.2">
      <c r="A59" s="80"/>
      <c r="B59" s="80"/>
      <c r="C59" s="80"/>
      <c r="D59" s="80"/>
      <c r="F59" s="80"/>
      <c r="G59" s="254"/>
      <c r="H59" s="417"/>
    </row>
    <row r="60" spans="1:8" s="77" customFormat="1" ht="20.25" x14ac:dyDescent="0.2">
      <c r="A60" s="80"/>
      <c r="B60" s="80"/>
      <c r="C60" s="80"/>
      <c r="D60" s="80"/>
      <c r="F60" s="80"/>
      <c r="G60" s="254"/>
      <c r="H60" s="417"/>
    </row>
    <row r="61" spans="1:8" s="77" customFormat="1" ht="20.25" x14ac:dyDescent="0.2">
      <c r="A61" s="80"/>
      <c r="B61" s="80"/>
      <c r="C61" s="68"/>
      <c r="D61" s="80"/>
      <c r="F61" s="80"/>
      <c r="G61" s="254"/>
      <c r="H61" s="417"/>
    </row>
    <row r="62" spans="1:8" s="77" customFormat="1" ht="20.25" x14ac:dyDescent="0.2">
      <c r="A62" s="80"/>
      <c r="B62" s="80"/>
      <c r="C62" s="80"/>
      <c r="D62" s="80"/>
      <c r="E62" s="80"/>
      <c r="F62" s="80"/>
      <c r="G62" s="254"/>
      <c r="H62" s="417"/>
    </row>
    <row r="63" spans="1:8" s="77" customFormat="1" ht="20.25" x14ac:dyDescent="0.2">
      <c r="A63" s="80"/>
      <c r="B63" s="80"/>
      <c r="C63" s="68"/>
      <c r="D63" s="68"/>
      <c r="G63" s="254"/>
      <c r="H63" s="417"/>
    </row>
    <row r="64" spans="1:8" s="77" customFormat="1" ht="20.25" x14ac:dyDescent="0.2">
      <c r="A64" s="80"/>
      <c r="B64" s="80"/>
      <c r="C64" s="80"/>
      <c r="D64" s="80"/>
      <c r="E64" s="80"/>
      <c r="F64" s="80"/>
      <c r="G64" s="254"/>
      <c r="H64" s="417"/>
    </row>
    <row r="65" spans="1:8" s="77" customFormat="1" ht="20.25" x14ac:dyDescent="0.2">
      <c r="A65" s="80"/>
      <c r="B65" s="80"/>
      <c r="C65" s="80"/>
      <c r="D65" s="80"/>
      <c r="E65" s="80"/>
      <c r="F65" s="80"/>
      <c r="G65" s="254"/>
      <c r="H65" s="417"/>
    </row>
    <row r="66" spans="1:8" s="77" customFormat="1" ht="20.25" x14ac:dyDescent="0.2">
      <c r="A66" s="80"/>
      <c r="B66" s="80"/>
      <c r="C66" s="80"/>
      <c r="D66" s="80"/>
      <c r="E66" s="80"/>
      <c r="F66" s="80"/>
      <c r="G66" s="254"/>
      <c r="H66" s="417"/>
    </row>
    <row r="67" spans="1:8" s="77" customFormat="1" ht="20.25" x14ac:dyDescent="0.2">
      <c r="A67" s="80"/>
      <c r="B67" s="80"/>
      <c r="C67" s="80"/>
      <c r="D67" s="80"/>
      <c r="E67" s="80"/>
      <c r="F67" s="80"/>
      <c r="G67" s="254"/>
      <c r="H67" s="417"/>
    </row>
    <row r="68" spans="1:8" s="77" customFormat="1" ht="20.25" x14ac:dyDescent="0.2">
      <c r="A68" s="80"/>
      <c r="B68" s="80"/>
      <c r="C68" s="68"/>
      <c r="D68" s="80"/>
      <c r="F68" s="80"/>
      <c r="G68" s="254"/>
      <c r="H68" s="417"/>
    </row>
    <row r="69" spans="1:8" s="77" customFormat="1" ht="20.25" x14ac:dyDescent="0.2">
      <c r="A69" s="80"/>
      <c r="B69" s="80"/>
      <c r="C69" s="80"/>
      <c r="D69" s="80"/>
      <c r="E69" s="80"/>
      <c r="F69" s="80"/>
      <c r="G69" s="254"/>
      <c r="H69" s="417"/>
    </row>
    <row r="70" spans="1:8" s="69" customFormat="1" ht="20.25" x14ac:dyDescent="0.2">
      <c r="A70" s="68"/>
      <c r="B70" s="68"/>
      <c r="C70" s="68"/>
      <c r="D70" s="68"/>
      <c r="E70" s="68"/>
      <c r="F70" s="68"/>
      <c r="G70" s="259"/>
      <c r="H70" s="418"/>
    </row>
    <row r="71" spans="1:8" s="69" customFormat="1" ht="20.25" x14ac:dyDescent="0.2">
      <c r="A71" s="68"/>
      <c r="B71" s="68"/>
      <c r="C71" s="68"/>
      <c r="D71" s="68"/>
      <c r="E71" s="68"/>
      <c r="F71" s="68"/>
      <c r="G71" s="259"/>
      <c r="H71" s="418"/>
    </row>
    <row r="72" spans="1:8" s="69" customFormat="1" ht="23.25" x14ac:dyDescent="0.2">
      <c r="A72" s="68"/>
      <c r="B72" s="297"/>
      <c r="C72" s="68"/>
      <c r="D72" s="68"/>
      <c r="E72" s="68"/>
      <c r="F72" s="68"/>
      <c r="G72" s="254"/>
      <c r="H72" s="418"/>
    </row>
    <row r="73" spans="1:8" s="77" customFormat="1" ht="20.25" x14ac:dyDescent="0.2">
      <c r="A73" s="80"/>
      <c r="B73" s="80"/>
      <c r="D73" s="80"/>
      <c r="E73" s="80"/>
      <c r="F73" s="80"/>
      <c r="G73" s="254"/>
      <c r="H73" s="417"/>
    </row>
    <row r="74" spans="1:8" s="77" customFormat="1" ht="20.25" x14ac:dyDescent="0.2">
      <c r="A74" s="80"/>
      <c r="B74" s="80"/>
      <c r="D74" s="80"/>
      <c r="E74" s="80"/>
      <c r="F74" s="80"/>
      <c r="G74" s="254"/>
      <c r="H74" s="417"/>
    </row>
    <row r="75" spans="1:8" s="69" customFormat="1" ht="20.25" x14ac:dyDescent="0.2">
      <c r="A75" s="68"/>
      <c r="B75" s="68"/>
      <c r="D75" s="80"/>
      <c r="E75" s="68"/>
      <c r="F75" s="68"/>
      <c r="G75" s="254"/>
      <c r="H75" s="418"/>
    </row>
    <row r="76" spans="1:8" s="69" customFormat="1" ht="23.25" x14ac:dyDescent="0.2">
      <c r="A76" s="68"/>
      <c r="B76" s="297"/>
      <c r="C76" s="68"/>
      <c r="D76" s="68"/>
      <c r="E76" s="68"/>
      <c r="F76" s="68"/>
      <c r="G76" s="259"/>
      <c r="H76" s="418"/>
    </row>
    <row r="77" spans="1:8" s="69" customFormat="1" ht="20.25" x14ac:dyDescent="0.2">
      <c r="A77" s="68"/>
      <c r="B77" s="68"/>
      <c r="C77" s="68"/>
      <c r="D77" s="68"/>
      <c r="E77" s="68"/>
      <c r="F77" s="68"/>
      <c r="G77" s="254"/>
      <c r="H77" s="418"/>
    </row>
    <row r="78" spans="1:8" s="83" customFormat="1" ht="26.25" x14ac:dyDescent="0.2">
      <c r="A78" s="294"/>
      <c r="B78" s="294"/>
      <c r="C78" s="294"/>
      <c r="D78" s="294"/>
      <c r="E78" s="294"/>
      <c r="F78" s="294"/>
      <c r="G78" s="295"/>
      <c r="H78" s="603"/>
    </row>
    <row r="79" spans="1:8" s="18" customFormat="1" x14ac:dyDescent="0.2">
      <c r="A79" s="123"/>
      <c r="B79" s="123"/>
      <c r="C79" s="123"/>
      <c r="D79" s="123"/>
      <c r="E79" s="123"/>
      <c r="F79" s="123"/>
      <c r="G79" s="298"/>
      <c r="H79" s="1"/>
    </row>
  </sheetData>
  <pageMargins left="0.45" right="0.45" top="0.5" bottom="0.5" header="0.3" footer="0.3"/>
  <pageSetup scale="7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106</v>
      </c>
      <c r="B1" s="60"/>
      <c r="C1" s="61"/>
      <c r="D1" s="61"/>
      <c r="E1" s="61"/>
      <c r="F1" s="60"/>
      <c r="G1" s="60"/>
    </row>
    <row r="2" spans="1:23" ht="26.25" x14ac:dyDescent="0.4">
      <c r="A2" s="59" t="s">
        <v>214</v>
      </c>
      <c r="B2" s="60"/>
      <c r="C2" s="61"/>
      <c r="D2" s="61"/>
      <c r="E2" s="61"/>
      <c r="F2" s="60"/>
      <c r="G2" s="60"/>
    </row>
    <row r="3" spans="1:23" ht="11.25" customHeight="1" thickBot="1" x14ac:dyDescent="0.25">
      <c r="A3" s="62"/>
      <c r="B3" s="62"/>
      <c r="C3" s="62"/>
      <c r="D3" s="62"/>
      <c r="E3" s="62"/>
      <c r="F3" s="62"/>
      <c r="G3" s="356"/>
    </row>
    <row r="4" spans="1:23" ht="27.75" thickTop="1" thickBot="1" x14ac:dyDescent="0.25">
      <c r="A4" s="65"/>
      <c r="B4" s="65"/>
      <c r="C4" s="65"/>
      <c r="D4" s="65" t="s">
        <v>58</v>
      </c>
      <c r="E4" s="65"/>
      <c r="F4" s="65"/>
      <c r="G4" s="465" t="s">
        <v>59</v>
      </c>
      <c r="H4" s="465"/>
      <c r="I4" s="465"/>
      <c r="J4" s="465"/>
      <c r="K4" s="465"/>
      <c r="L4" s="465"/>
      <c r="M4" s="465"/>
      <c r="N4" s="465"/>
      <c r="O4" s="465"/>
      <c r="P4" s="465"/>
      <c r="Q4" s="465"/>
      <c r="R4" s="465"/>
      <c r="S4" s="465"/>
      <c r="T4" s="465"/>
      <c r="U4" s="465"/>
      <c r="V4" s="465"/>
      <c r="W4" s="465"/>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68"/>
      <c r="B6" s="716" t="s">
        <v>215</v>
      </c>
      <c r="C6" s="716"/>
      <c r="D6" s="716"/>
      <c r="E6" s="716"/>
      <c r="F6" s="716"/>
      <c r="G6" s="469">
        <v>42004</v>
      </c>
      <c r="H6" s="469">
        <v>41639</v>
      </c>
      <c r="I6" s="469">
        <v>41274</v>
      </c>
      <c r="J6" s="469">
        <v>41090</v>
      </c>
      <c r="K6" s="469">
        <v>40724</v>
      </c>
      <c r="L6" s="469">
        <v>40359</v>
      </c>
      <c r="M6" s="469">
        <v>39994</v>
      </c>
      <c r="N6" s="469">
        <v>39629</v>
      </c>
      <c r="O6" s="469">
        <v>39263</v>
      </c>
      <c r="P6" s="469">
        <v>38898</v>
      </c>
      <c r="Q6" s="469">
        <v>38533</v>
      </c>
      <c r="R6" s="469">
        <v>38168</v>
      </c>
      <c r="S6" s="469">
        <v>37802</v>
      </c>
      <c r="T6" s="469">
        <v>37437</v>
      </c>
      <c r="U6" s="469">
        <v>37072</v>
      </c>
      <c r="V6" s="469">
        <v>36707</v>
      </c>
      <c r="W6" s="469">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216</v>
      </c>
      <c r="D8" s="74"/>
      <c r="E8" s="74"/>
      <c r="F8" s="74"/>
      <c r="G8" s="267">
        <v>333525.67</v>
      </c>
      <c r="H8" s="267">
        <v>210919</v>
      </c>
      <c r="I8" s="267">
        <v>214148</v>
      </c>
      <c r="J8" s="267">
        <v>156809</v>
      </c>
      <c r="K8" s="267">
        <v>240314</v>
      </c>
      <c r="L8" s="267">
        <v>142815</v>
      </c>
      <c r="M8" s="267">
        <v>82502</v>
      </c>
      <c r="N8" s="267">
        <v>45758</v>
      </c>
      <c r="O8" s="267">
        <v>105458</v>
      </c>
      <c r="P8" s="267">
        <v>29475</v>
      </c>
      <c r="Q8" s="267">
        <v>22537</v>
      </c>
      <c r="R8" s="267">
        <v>42935</v>
      </c>
      <c r="S8" s="267">
        <v>144393</v>
      </c>
      <c r="T8" s="267">
        <v>42414</v>
      </c>
      <c r="U8" s="267">
        <f>69880+9123</f>
        <v>79003</v>
      </c>
      <c r="V8" s="267">
        <v>92767</v>
      </c>
      <c r="W8" s="267">
        <v>13150</v>
      </c>
    </row>
    <row r="9" spans="1:23" ht="20.25" x14ac:dyDescent="0.2">
      <c r="A9" s="466"/>
      <c r="B9" s="466"/>
      <c r="C9" s="74" t="s">
        <v>217</v>
      </c>
      <c r="D9" s="80"/>
      <c r="E9" s="80"/>
      <c r="F9" s="80"/>
      <c r="G9" s="307">
        <v>247907.12</v>
      </c>
      <c r="H9" s="307">
        <v>311775</v>
      </c>
      <c r="I9" s="307">
        <v>243797</v>
      </c>
      <c r="J9" s="307">
        <v>347870</v>
      </c>
      <c r="K9" s="307">
        <v>298266</v>
      </c>
      <c r="L9" s="307">
        <v>296605</v>
      </c>
      <c r="M9" s="307">
        <v>349918</v>
      </c>
      <c r="N9" s="307">
        <v>366842</v>
      </c>
      <c r="O9" s="307">
        <v>209667</v>
      </c>
      <c r="P9" s="307">
        <v>234735</v>
      </c>
      <c r="Q9" s="307">
        <v>254712</v>
      </c>
      <c r="R9" s="307">
        <v>250225</v>
      </c>
      <c r="S9" s="307">
        <v>85795</v>
      </c>
      <c r="T9" s="307">
        <v>185461</v>
      </c>
      <c r="U9" s="307">
        <v>99322</v>
      </c>
      <c r="V9" s="307">
        <v>80619</v>
      </c>
      <c r="W9" s="307">
        <v>49127</v>
      </c>
    </row>
    <row r="10" spans="1:23" ht="20.25" x14ac:dyDescent="0.2">
      <c r="A10" s="466"/>
      <c r="B10" s="466"/>
      <c r="C10" s="717" t="s">
        <v>182</v>
      </c>
      <c r="D10" s="717"/>
      <c r="E10" s="717"/>
      <c r="F10" s="717"/>
      <c r="G10" s="307">
        <v>0</v>
      </c>
      <c r="H10" s="307">
        <v>5142</v>
      </c>
      <c r="I10" s="307"/>
      <c r="J10" s="307"/>
      <c r="K10" s="307"/>
      <c r="L10" s="307"/>
      <c r="M10" s="307"/>
      <c r="N10" s="307"/>
      <c r="O10" s="307"/>
      <c r="P10" s="307"/>
      <c r="Q10" s="307"/>
      <c r="R10" s="307">
        <v>23</v>
      </c>
      <c r="S10" s="307">
        <v>4823</v>
      </c>
      <c r="T10" s="307">
        <v>6130</v>
      </c>
      <c r="U10" s="307">
        <v>19833</v>
      </c>
      <c r="V10" s="307"/>
      <c r="W10" s="307"/>
    </row>
    <row r="11" spans="1:23" ht="20.25" x14ac:dyDescent="0.2">
      <c r="A11" s="466"/>
      <c r="B11" s="466"/>
      <c r="C11" s="74" t="s">
        <v>218</v>
      </c>
      <c r="D11" s="466"/>
      <c r="E11" s="466"/>
      <c r="F11" s="466"/>
      <c r="G11" s="256">
        <v>31129.64</v>
      </c>
      <c r="H11" s="256">
        <v>30012</v>
      </c>
      <c r="I11" s="256">
        <v>30964</v>
      </c>
      <c r="J11" s="256">
        <v>30506</v>
      </c>
      <c r="K11" s="256">
        <v>28900</v>
      </c>
      <c r="L11" s="256">
        <v>28036</v>
      </c>
      <c r="M11" s="256"/>
      <c r="N11" s="256"/>
      <c r="O11" s="256"/>
      <c r="P11" s="256"/>
      <c r="Q11" s="256"/>
      <c r="R11" s="256"/>
      <c r="S11" s="256"/>
      <c r="T11" s="256"/>
      <c r="U11" s="256"/>
      <c r="V11" s="256"/>
      <c r="W11" s="256"/>
    </row>
    <row r="12" spans="1:23" ht="20.25" x14ac:dyDescent="0.2">
      <c r="A12" s="466"/>
      <c r="B12" s="466"/>
      <c r="C12" s="74" t="s">
        <v>176</v>
      </c>
      <c r="D12" s="79"/>
      <c r="E12" s="79"/>
      <c r="F12" s="79"/>
      <c r="G12" s="257">
        <v>5968.8799999999992</v>
      </c>
      <c r="H12" s="257">
        <v>4730</v>
      </c>
      <c r="I12" s="257">
        <v>3598</v>
      </c>
      <c r="J12" s="257">
        <f>1663+577</f>
        <v>2240</v>
      </c>
      <c r="K12" s="257">
        <f>5202</f>
        <v>5202</v>
      </c>
      <c r="L12" s="257">
        <v>1840</v>
      </c>
      <c r="M12" s="257">
        <v>1427</v>
      </c>
      <c r="N12" s="257">
        <v>360</v>
      </c>
      <c r="O12" s="257">
        <v>312</v>
      </c>
      <c r="P12" s="257"/>
      <c r="Q12" s="257">
        <v>5593</v>
      </c>
      <c r="R12" s="257">
        <v>3952</v>
      </c>
      <c r="S12" s="257">
        <v>13154</v>
      </c>
      <c r="T12" s="257">
        <v>2441</v>
      </c>
      <c r="U12" s="257"/>
      <c r="V12" s="257"/>
      <c r="W12" s="257"/>
    </row>
    <row r="13" spans="1:23" ht="20.25" x14ac:dyDescent="0.2">
      <c r="A13" s="74"/>
      <c r="B13" s="68"/>
      <c r="C13" s="68" t="s">
        <v>66</v>
      </c>
      <c r="D13" s="68"/>
      <c r="E13" s="68"/>
      <c r="F13" s="68"/>
      <c r="G13" s="259">
        <f>SUM(G8:G12)</f>
        <v>618531.31000000006</v>
      </c>
      <c r="H13" s="259">
        <f>SUM(H8:H12)</f>
        <v>562578</v>
      </c>
      <c r="I13" s="259">
        <f>SUM(I8:I12)</f>
        <v>492507</v>
      </c>
      <c r="J13" s="259">
        <f>SUM(J8:J12)</f>
        <v>537425</v>
      </c>
      <c r="K13" s="259">
        <f>SUM(K8:K12)</f>
        <v>572682</v>
      </c>
      <c r="L13" s="259">
        <f t="shared" ref="L13:W13" si="0">SUM(L8:L12)</f>
        <v>469296</v>
      </c>
      <c r="M13" s="259">
        <f t="shared" si="0"/>
        <v>433847</v>
      </c>
      <c r="N13" s="259">
        <f t="shared" si="0"/>
        <v>412960</v>
      </c>
      <c r="O13" s="259">
        <f t="shared" si="0"/>
        <v>315437</v>
      </c>
      <c r="P13" s="259">
        <f t="shared" si="0"/>
        <v>264210</v>
      </c>
      <c r="Q13" s="259">
        <f t="shared" si="0"/>
        <v>282842</v>
      </c>
      <c r="R13" s="259">
        <f t="shared" si="0"/>
        <v>297135</v>
      </c>
      <c r="S13" s="259">
        <f t="shared" si="0"/>
        <v>248165</v>
      </c>
      <c r="T13" s="259">
        <f t="shared" si="0"/>
        <v>236446</v>
      </c>
      <c r="U13" s="259">
        <f t="shared" si="0"/>
        <v>198158</v>
      </c>
      <c r="V13" s="259">
        <f t="shared" si="0"/>
        <v>173386</v>
      </c>
      <c r="W13" s="259">
        <f t="shared" si="0"/>
        <v>62277</v>
      </c>
    </row>
    <row r="14" spans="1:23" ht="20.25" x14ac:dyDescent="0.2">
      <c r="A14" s="74"/>
      <c r="B14" s="74"/>
      <c r="C14" s="74"/>
      <c r="D14" s="74"/>
      <c r="E14" s="74"/>
      <c r="F14" s="74"/>
      <c r="G14" s="258"/>
      <c r="H14" s="258"/>
      <c r="I14" s="258"/>
      <c r="J14" s="258"/>
      <c r="K14" s="258"/>
      <c r="L14" s="258"/>
      <c r="M14" s="258"/>
      <c r="N14" s="258"/>
      <c r="O14" s="258"/>
      <c r="P14" s="258"/>
      <c r="Q14" s="258"/>
      <c r="R14" s="258"/>
      <c r="S14" s="258"/>
      <c r="T14" s="258"/>
      <c r="U14" s="258"/>
      <c r="V14" s="258"/>
      <c r="W14" s="258"/>
    </row>
    <row r="15" spans="1:23" ht="20.25" x14ac:dyDescent="0.3">
      <c r="A15" s="70"/>
      <c r="B15" s="292" t="s">
        <v>219</v>
      </c>
      <c r="C15" s="292"/>
      <c r="D15" s="292"/>
      <c r="E15" s="292"/>
      <c r="F15" s="292"/>
      <c r="G15" s="293"/>
      <c r="H15" s="293"/>
      <c r="I15" s="293"/>
      <c r="J15" s="293"/>
      <c r="K15" s="293"/>
      <c r="L15" s="293"/>
      <c r="M15" s="293"/>
      <c r="N15" s="293"/>
      <c r="O15" s="293"/>
      <c r="P15" s="293"/>
      <c r="Q15" s="293"/>
      <c r="R15" s="293"/>
      <c r="S15" s="293"/>
      <c r="T15" s="293"/>
      <c r="U15" s="293"/>
      <c r="V15" s="293"/>
      <c r="W15" s="293"/>
    </row>
    <row r="16" spans="1:23" ht="20.25" x14ac:dyDescent="0.3">
      <c r="A16" s="70"/>
      <c r="B16" s="292"/>
      <c r="C16" s="292"/>
      <c r="D16" s="292"/>
      <c r="E16" s="292"/>
      <c r="F16" s="292"/>
      <c r="G16" s="293">
        <v>121148.45000000001</v>
      </c>
      <c r="H16" s="293">
        <v>88948</v>
      </c>
      <c r="I16" s="293">
        <v>81381</v>
      </c>
      <c r="J16" s="293">
        <v>85951</v>
      </c>
      <c r="K16" s="293">
        <v>75213</v>
      </c>
      <c r="L16" s="293">
        <v>103757</v>
      </c>
      <c r="M16" s="293">
        <v>72661</v>
      </c>
      <c r="N16" s="293">
        <v>91918</v>
      </c>
      <c r="O16" s="293">
        <v>80411</v>
      </c>
      <c r="P16" s="293">
        <v>57354</v>
      </c>
      <c r="Q16" s="293">
        <v>59451</v>
      </c>
      <c r="R16" s="293">
        <v>70947</v>
      </c>
      <c r="S16" s="293">
        <v>80279</v>
      </c>
      <c r="T16" s="293">
        <v>84266</v>
      </c>
      <c r="U16" s="293">
        <v>45164</v>
      </c>
      <c r="V16" s="293">
        <v>15210</v>
      </c>
      <c r="W16" s="293">
        <v>15599</v>
      </c>
    </row>
    <row r="17" spans="1:23" ht="20.25" hidden="1" x14ac:dyDescent="0.2">
      <c r="A17" s="74"/>
      <c r="B17" s="74"/>
      <c r="C17" s="74"/>
      <c r="D17" s="74"/>
      <c r="E17" s="74"/>
      <c r="F17" s="74"/>
      <c r="G17" s="258"/>
      <c r="H17" s="258"/>
      <c r="I17" s="258"/>
      <c r="J17" s="258"/>
      <c r="K17" s="258"/>
      <c r="L17" s="258"/>
      <c r="M17" s="258"/>
      <c r="N17" s="258"/>
      <c r="O17" s="258"/>
      <c r="P17" s="258"/>
      <c r="Q17" s="258"/>
      <c r="R17" s="258"/>
      <c r="S17" s="258"/>
      <c r="T17" s="258"/>
      <c r="U17" s="258"/>
      <c r="V17" s="258"/>
      <c r="W17" s="258"/>
    </row>
    <row r="18" spans="1:23" ht="20.25" hidden="1" x14ac:dyDescent="0.2">
      <c r="A18" s="74"/>
      <c r="B18" s="74"/>
      <c r="C18" s="74"/>
      <c r="D18" s="74"/>
      <c r="E18" s="74"/>
      <c r="F18" s="74"/>
      <c r="G18" s="254"/>
      <c r="H18" s="254"/>
      <c r="I18" s="254"/>
      <c r="J18" s="254"/>
      <c r="K18" s="254"/>
      <c r="L18" s="254"/>
      <c r="M18" s="254"/>
      <c r="N18" s="254"/>
      <c r="O18" s="254"/>
      <c r="P18" s="254"/>
      <c r="Q18" s="254"/>
      <c r="R18" s="254"/>
      <c r="S18" s="254"/>
      <c r="T18" s="254"/>
      <c r="U18" s="254"/>
      <c r="V18" s="254"/>
      <c r="W18" s="254"/>
    </row>
    <row r="19" spans="1:23" ht="27" thickBot="1" x14ac:dyDescent="0.25">
      <c r="A19" s="82" t="s">
        <v>69</v>
      </c>
      <c r="B19" s="82"/>
      <c r="C19" s="82"/>
      <c r="D19" s="82"/>
      <c r="E19" s="82"/>
      <c r="F19" s="82"/>
      <c r="G19" s="268">
        <f>G13+G16</f>
        <v>739679.76</v>
      </c>
      <c r="H19" s="268">
        <f>H13+H16</f>
        <v>651526</v>
      </c>
      <c r="I19" s="268">
        <f>I13+I16</f>
        <v>573888</v>
      </c>
      <c r="J19" s="268">
        <f>J13+J16</f>
        <v>623376</v>
      </c>
      <c r="K19" s="268">
        <f>K13+K16</f>
        <v>647895</v>
      </c>
      <c r="L19" s="268">
        <f t="shared" ref="L19:W19" si="1">L13+L16</f>
        <v>573053</v>
      </c>
      <c r="M19" s="268">
        <f t="shared" si="1"/>
        <v>506508</v>
      </c>
      <c r="N19" s="268">
        <f t="shared" si="1"/>
        <v>504878</v>
      </c>
      <c r="O19" s="268">
        <f t="shared" si="1"/>
        <v>395848</v>
      </c>
      <c r="P19" s="268">
        <f t="shared" si="1"/>
        <v>321564</v>
      </c>
      <c r="Q19" s="268">
        <f t="shared" si="1"/>
        <v>342293</v>
      </c>
      <c r="R19" s="268">
        <f t="shared" si="1"/>
        <v>368082</v>
      </c>
      <c r="S19" s="268">
        <f t="shared" si="1"/>
        <v>328444</v>
      </c>
      <c r="T19" s="268">
        <f t="shared" si="1"/>
        <v>320712</v>
      </c>
      <c r="U19" s="268">
        <f t="shared" si="1"/>
        <v>243322</v>
      </c>
      <c r="V19" s="268">
        <f t="shared" si="1"/>
        <v>188596</v>
      </c>
      <c r="W19" s="268">
        <f t="shared" si="1"/>
        <v>77876</v>
      </c>
    </row>
    <row r="20" spans="1:23" ht="21.75" thickTop="1" thickBot="1" x14ac:dyDescent="0.25">
      <c r="A20" s="74"/>
      <c r="B20" s="74"/>
      <c r="C20" s="74"/>
      <c r="D20" s="74"/>
      <c r="E20" s="74"/>
      <c r="F20" s="74"/>
      <c r="G20" s="361"/>
      <c r="H20" s="361"/>
      <c r="I20" s="361"/>
      <c r="J20" s="361"/>
      <c r="K20" s="361"/>
      <c r="L20" s="361"/>
      <c r="M20" s="361"/>
      <c r="N20" s="361"/>
      <c r="O20" s="361"/>
      <c r="P20" s="361"/>
      <c r="Q20" s="361"/>
      <c r="R20" s="361"/>
      <c r="S20" s="361"/>
      <c r="T20" s="361"/>
      <c r="U20" s="361"/>
      <c r="V20" s="361"/>
      <c r="W20" s="361"/>
    </row>
    <row r="21" spans="1:23" ht="27.75" thickTop="1" thickBot="1" x14ac:dyDescent="0.25">
      <c r="A21" s="65"/>
      <c r="B21" s="65"/>
      <c r="C21" s="65"/>
      <c r="D21" s="65" t="s">
        <v>70</v>
      </c>
      <c r="E21" s="65"/>
      <c r="F21" s="65"/>
      <c r="G21" s="263"/>
      <c r="H21" s="263"/>
      <c r="I21" s="263"/>
      <c r="J21" s="263"/>
      <c r="K21" s="263"/>
      <c r="L21" s="263"/>
      <c r="M21" s="263"/>
      <c r="N21" s="263"/>
      <c r="O21" s="263"/>
      <c r="P21" s="263"/>
      <c r="Q21" s="263"/>
      <c r="R21" s="263"/>
      <c r="S21" s="263"/>
      <c r="T21" s="263"/>
      <c r="U21" s="263"/>
      <c r="V21" s="263"/>
      <c r="W21" s="263"/>
    </row>
    <row r="22" spans="1:23" ht="21" thickTop="1" x14ac:dyDescent="0.2">
      <c r="A22" s="74"/>
      <c r="B22" s="74"/>
      <c r="C22" s="74"/>
      <c r="D22" s="74"/>
      <c r="E22" s="74"/>
      <c r="F22" s="74"/>
      <c r="G22" s="256"/>
      <c r="H22" s="256"/>
      <c r="I22" s="256"/>
      <c r="J22" s="256"/>
      <c r="K22" s="256"/>
      <c r="L22" s="256"/>
      <c r="M22" s="256"/>
      <c r="N22" s="256"/>
      <c r="O22" s="256"/>
      <c r="P22" s="256"/>
      <c r="Q22" s="256"/>
      <c r="R22" s="256"/>
      <c r="S22" s="256"/>
      <c r="T22" s="256"/>
      <c r="U22" s="256"/>
      <c r="V22" s="256"/>
      <c r="W22" s="256"/>
    </row>
    <row r="23" spans="1:23" ht="24" hidden="1" thickBot="1" x14ac:dyDescent="0.25">
      <c r="A23" s="74"/>
      <c r="B23" s="87" t="s">
        <v>71</v>
      </c>
      <c r="C23" s="88"/>
      <c r="D23" s="88"/>
      <c r="E23" s="88"/>
      <c r="F23" s="88"/>
      <c r="G23" s="264"/>
      <c r="H23" s="264"/>
      <c r="I23" s="264"/>
      <c r="J23" s="264"/>
      <c r="K23" s="264"/>
      <c r="L23" s="264"/>
      <c r="M23" s="264"/>
      <c r="N23" s="264"/>
      <c r="O23" s="264"/>
      <c r="P23" s="264"/>
      <c r="Q23" s="264"/>
      <c r="R23" s="264"/>
      <c r="S23" s="264"/>
      <c r="T23" s="264"/>
      <c r="U23" s="264"/>
      <c r="V23" s="264"/>
      <c r="W23" s="264"/>
    </row>
    <row r="24" spans="1:23" ht="20.25" hidden="1" x14ac:dyDescent="0.2">
      <c r="A24" s="74"/>
      <c r="B24" s="74"/>
      <c r="C24" s="74"/>
      <c r="D24" s="74"/>
      <c r="E24" s="74"/>
      <c r="F24" s="74"/>
      <c r="G24" s="256"/>
      <c r="H24" s="256"/>
      <c r="I24" s="256"/>
      <c r="J24" s="256"/>
      <c r="K24" s="256"/>
      <c r="L24" s="256"/>
      <c r="M24" s="256"/>
      <c r="N24" s="256"/>
      <c r="O24" s="256"/>
      <c r="P24" s="256"/>
      <c r="Q24" s="256"/>
      <c r="R24" s="256"/>
      <c r="S24" s="256"/>
      <c r="T24" s="256"/>
      <c r="U24" s="256"/>
      <c r="V24" s="256"/>
      <c r="W24" s="256"/>
    </row>
    <row r="25" spans="1:23" ht="21" thickBot="1" x14ac:dyDescent="0.35">
      <c r="A25" s="70"/>
      <c r="B25" s="155" t="s">
        <v>220</v>
      </c>
      <c r="C25" s="156"/>
      <c r="D25" s="155"/>
      <c r="E25" s="155"/>
      <c r="F25" s="155"/>
      <c r="G25" s="255"/>
      <c r="H25" s="255"/>
      <c r="I25" s="255"/>
      <c r="J25" s="255"/>
      <c r="K25" s="255"/>
      <c r="L25" s="255"/>
      <c r="M25" s="255"/>
      <c r="N25" s="255"/>
      <c r="O25" s="255"/>
      <c r="P25" s="255"/>
      <c r="Q25" s="255"/>
      <c r="R25" s="255"/>
      <c r="S25" s="255"/>
      <c r="T25" s="255"/>
      <c r="U25" s="255"/>
      <c r="V25" s="255"/>
      <c r="W25" s="255"/>
    </row>
    <row r="26" spans="1:23" ht="20.25" x14ac:dyDescent="0.2">
      <c r="A26" s="466"/>
      <c r="B26" s="466"/>
      <c r="C26" s="466"/>
      <c r="D26" s="466" t="s">
        <v>166</v>
      </c>
      <c r="E26" s="78"/>
      <c r="F26" s="466"/>
      <c r="G26" s="269">
        <v>31278.429999999997</v>
      </c>
      <c r="H26" s="269">
        <v>51714</v>
      </c>
      <c r="I26" s="269">
        <v>52083</v>
      </c>
      <c r="J26" s="269">
        <v>69820</v>
      </c>
      <c r="K26" s="269">
        <v>81032</v>
      </c>
      <c r="L26" s="269">
        <v>64928</v>
      </c>
      <c r="M26" s="269">
        <v>89064</v>
      </c>
      <c r="N26" s="269">
        <v>102814</v>
      </c>
      <c r="O26" s="269">
        <v>27734</v>
      </c>
      <c r="P26" s="269">
        <v>33537</v>
      </c>
      <c r="Q26" s="269">
        <v>47914</v>
      </c>
      <c r="R26" s="269">
        <v>42054</v>
      </c>
      <c r="S26" s="269">
        <v>32004</v>
      </c>
      <c r="T26" s="269">
        <v>28904</v>
      </c>
      <c r="U26" s="269">
        <v>2405</v>
      </c>
      <c r="V26" s="269">
        <v>7686</v>
      </c>
      <c r="W26" s="269">
        <v>0</v>
      </c>
    </row>
    <row r="27" spans="1:23" ht="20.25" x14ac:dyDescent="0.2">
      <c r="A27" s="466"/>
      <c r="B27" s="466"/>
      <c r="C27" s="466"/>
      <c r="D27" s="466" t="s">
        <v>221</v>
      </c>
      <c r="E27" s="78"/>
      <c r="F27" s="466"/>
      <c r="G27" s="254">
        <v>16019.88</v>
      </c>
      <c r="H27" s="254">
        <v>26466</v>
      </c>
      <c r="I27" s="254">
        <v>33722</v>
      </c>
      <c r="J27" s="254">
        <v>37279</v>
      </c>
      <c r="K27" s="254">
        <v>34130</v>
      </c>
      <c r="L27" s="254">
        <v>30917</v>
      </c>
      <c r="M27" s="254">
        <v>24891</v>
      </c>
      <c r="N27" s="254">
        <v>22167</v>
      </c>
      <c r="O27" s="254">
        <v>16739</v>
      </c>
      <c r="P27" s="254">
        <v>13502</v>
      </c>
      <c r="Q27" s="254">
        <v>10581</v>
      </c>
      <c r="R27" s="254">
        <v>28556</v>
      </c>
      <c r="S27" s="254">
        <v>22953</v>
      </c>
      <c r="T27" s="254">
        <v>13246</v>
      </c>
      <c r="U27" s="254">
        <v>10214</v>
      </c>
      <c r="V27" s="254">
        <v>5966</v>
      </c>
      <c r="W27" s="254">
        <v>2341</v>
      </c>
    </row>
    <row r="28" spans="1:23" ht="20.25" x14ac:dyDescent="0.2">
      <c r="A28" s="466"/>
      <c r="B28" s="466"/>
      <c r="C28" s="466"/>
      <c r="D28" s="466" t="s">
        <v>100</v>
      </c>
      <c r="E28" s="78"/>
      <c r="F28" s="466"/>
      <c r="G28" s="256">
        <v>19094</v>
      </c>
      <c r="H28" s="256">
        <v>21990</v>
      </c>
      <c r="I28" s="256">
        <v>17053</v>
      </c>
      <c r="J28" s="256">
        <v>23081</v>
      </c>
      <c r="K28" s="256">
        <v>20125</v>
      </c>
      <c r="L28" s="256">
        <v>23900</v>
      </c>
      <c r="M28" s="256">
        <v>25993</v>
      </c>
      <c r="N28" s="256">
        <v>25084</v>
      </c>
      <c r="O28" s="256">
        <v>17164</v>
      </c>
      <c r="P28" s="256">
        <v>23194</v>
      </c>
      <c r="Q28" s="256">
        <v>17986</v>
      </c>
      <c r="R28" s="256">
        <v>19684</v>
      </c>
      <c r="S28" s="256">
        <v>15461</v>
      </c>
      <c r="T28" s="256">
        <v>11736</v>
      </c>
      <c r="U28" s="256">
        <v>6552</v>
      </c>
      <c r="V28" s="256">
        <v>4625</v>
      </c>
      <c r="W28" s="256"/>
    </row>
    <row r="29" spans="1:23" ht="20.25" x14ac:dyDescent="0.2">
      <c r="A29" s="466"/>
      <c r="B29" s="466"/>
      <c r="C29" s="466"/>
      <c r="D29" s="466" t="s">
        <v>222</v>
      </c>
      <c r="E29" s="78"/>
      <c r="F29" s="466"/>
      <c r="G29" s="256"/>
      <c r="H29" s="256">
        <v>463</v>
      </c>
      <c r="I29" s="256">
        <f>1236+16400</f>
        <v>17636</v>
      </c>
      <c r="J29" s="256">
        <v>13302</v>
      </c>
      <c r="K29" s="256">
        <v>5311</v>
      </c>
      <c r="L29" s="256">
        <v>12315</v>
      </c>
      <c r="M29" s="256"/>
      <c r="N29" s="256"/>
      <c r="O29" s="256"/>
      <c r="P29" s="256">
        <v>20000</v>
      </c>
      <c r="Q29" s="256"/>
      <c r="R29" s="256">
        <v>25000</v>
      </c>
      <c r="S29" s="256"/>
      <c r="T29" s="256"/>
      <c r="U29" s="256"/>
      <c r="V29" s="256"/>
      <c r="W29" s="256">
        <v>48000</v>
      </c>
    </row>
    <row r="30" spans="1:23" ht="20.25" x14ac:dyDescent="0.2">
      <c r="A30" s="466"/>
      <c r="B30" s="466"/>
      <c r="C30" s="466"/>
      <c r="D30" s="80" t="s">
        <v>107</v>
      </c>
      <c r="E30" s="78"/>
      <c r="F30" s="466"/>
      <c r="G30" s="256">
        <v>136592.41</v>
      </c>
      <c r="H30" s="256">
        <v>101837</v>
      </c>
      <c r="I30" s="256">
        <v>31429</v>
      </c>
      <c r="J30" s="256">
        <v>21927</v>
      </c>
      <c r="K30" s="256">
        <v>24493</v>
      </c>
      <c r="L30" s="256">
        <v>23546</v>
      </c>
      <c r="M30" s="256">
        <v>29986</v>
      </c>
      <c r="N30" s="256">
        <v>97627</v>
      </c>
      <c r="O30" s="256">
        <v>91085</v>
      </c>
      <c r="P30" s="256">
        <v>6118</v>
      </c>
      <c r="Q30" s="256">
        <v>42621</v>
      </c>
      <c r="R30" s="256"/>
      <c r="S30" s="256">
        <v>13218</v>
      </c>
      <c r="T30" s="256">
        <v>36938</v>
      </c>
      <c r="U30" s="256">
        <v>40000</v>
      </c>
      <c r="V30" s="256">
        <v>38354</v>
      </c>
      <c r="W30" s="256">
        <v>11775</v>
      </c>
    </row>
    <row r="31" spans="1:23" ht="20.25" x14ac:dyDescent="0.2">
      <c r="A31" s="466"/>
      <c r="B31" s="466"/>
      <c r="C31" s="466"/>
      <c r="D31" s="79" t="s">
        <v>223</v>
      </c>
      <c r="E31" s="154"/>
      <c r="F31" s="79"/>
      <c r="G31" s="256"/>
      <c r="H31" s="256"/>
      <c r="I31" s="256"/>
      <c r="J31" s="256"/>
      <c r="K31" s="256"/>
      <c r="L31" s="256"/>
      <c r="M31" s="256"/>
      <c r="N31" s="256"/>
      <c r="O31" s="256"/>
      <c r="P31" s="256"/>
      <c r="Q31" s="256"/>
      <c r="R31" s="256"/>
      <c r="S31" s="256"/>
      <c r="T31" s="256"/>
      <c r="U31" s="256"/>
      <c r="V31" s="256"/>
      <c r="W31" s="256"/>
    </row>
    <row r="32" spans="1:23" ht="20.25" x14ac:dyDescent="0.2">
      <c r="A32" s="466"/>
      <c r="B32" s="466"/>
      <c r="C32" s="81" t="s">
        <v>83</v>
      </c>
      <c r="D32" s="466"/>
      <c r="E32" s="78"/>
      <c r="F32" s="466"/>
      <c r="G32" s="265">
        <f>SUM(G26:G31)</f>
        <v>202984.72</v>
      </c>
      <c r="H32" s="265">
        <f>SUM(H26:H31)</f>
        <v>202470</v>
      </c>
      <c r="I32" s="265">
        <f>SUM(I26:I31)</f>
        <v>151923</v>
      </c>
      <c r="J32" s="265">
        <f>SUM(J26:J31)</f>
        <v>165409</v>
      </c>
      <c r="K32" s="265">
        <f>SUM(K26:K31)</f>
        <v>165091</v>
      </c>
      <c r="L32" s="265">
        <f t="shared" ref="L32:W32" si="2">SUM(L26:L31)</f>
        <v>155606</v>
      </c>
      <c r="M32" s="265">
        <f t="shared" si="2"/>
        <v>169934</v>
      </c>
      <c r="N32" s="265">
        <f t="shared" si="2"/>
        <v>247692</v>
      </c>
      <c r="O32" s="265">
        <f t="shared" si="2"/>
        <v>152722</v>
      </c>
      <c r="P32" s="265">
        <f t="shared" si="2"/>
        <v>96351</v>
      </c>
      <c r="Q32" s="265">
        <f t="shared" si="2"/>
        <v>119102</v>
      </c>
      <c r="R32" s="265">
        <f t="shared" si="2"/>
        <v>115294</v>
      </c>
      <c r="S32" s="265">
        <f t="shared" si="2"/>
        <v>83636</v>
      </c>
      <c r="T32" s="265">
        <f t="shared" si="2"/>
        <v>90824</v>
      </c>
      <c r="U32" s="265">
        <f t="shared" si="2"/>
        <v>59171</v>
      </c>
      <c r="V32" s="265">
        <f t="shared" si="2"/>
        <v>56631</v>
      </c>
      <c r="W32" s="265">
        <f t="shared" si="2"/>
        <v>62116</v>
      </c>
    </row>
    <row r="33" spans="1:23" ht="20.25" x14ac:dyDescent="0.2">
      <c r="A33" s="466"/>
      <c r="B33" s="466"/>
      <c r="C33" s="466"/>
      <c r="D33" s="466"/>
      <c r="E33" s="466"/>
      <c r="F33" s="466"/>
      <c r="G33" s="256"/>
      <c r="H33" s="256"/>
      <c r="I33" s="256"/>
      <c r="J33" s="256"/>
      <c r="K33" s="256"/>
      <c r="L33" s="256"/>
      <c r="M33" s="256"/>
      <c r="N33" s="256"/>
      <c r="O33" s="256"/>
      <c r="P33" s="256"/>
      <c r="Q33" s="256"/>
      <c r="R33" s="256"/>
      <c r="S33" s="256"/>
      <c r="T33" s="256"/>
      <c r="U33" s="256"/>
      <c r="V33" s="256"/>
      <c r="W33" s="256"/>
    </row>
    <row r="34" spans="1:23" ht="20.25" x14ac:dyDescent="0.2">
      <c r="A34" s="74"/>
      <c r="B34" s="74"/>
      <c r="C34" s="74"/>
      <c r="D34" s="74"/>
      <c r="E34" s="74"/>
      <c r="F34" s="74"/>
      <c r="G34" s="471"/>
      <c r="H34" s="471"/>
      <c r="I34" s="471"/>
      <c r="J34" s="471"/>
      <c r="K34" s="471"/>
      <c r="L34" s="258"/>
      <c r="M34" s="258"/>
      <c r="N34" s="258"/>
      <c r="O34" s="258"/>
      <c r="P34" s="258"/>
      <c r="Q34" s="258"/>
      <c r="R34" s="258"/>
      <c r="S34" s="258"/>
      <c r="T34" s="258"/>
      <c r="U34" s="258"/>
      <c r="V34" s="258"/>
      <c r="W34" s="258"/>
    </row>
    <row r="35" spans="1:23" ht="24" thickBot="1" x14ac:dyDescent="0.25">
      <c r="A35" s="74"/>
      <c r="B35" s="87" t="s">
        <v>224</v>
      </c>
      <c r="C35" s="88"/>
      <c r="D35" s="88"/>
      <c r="E35" s="88"/>
      <c r="F35" s="88"/>
      <c r="G35" s="264"/>
      <c r="H35" s="264"/>
      <c r="I35" s="264"/>
      <c r="J35" s="264"/>
      <c r="K35" s="264"/>
      <c r="L35" s="264"/>
      <c r="M35" s="264"/>
      <c r="N35" s="264"/>
      <c r="O35" s="264"/>
      <c r="P35" s="264"/>
      <c r="Q35" s="264"/>
      <c r="R35" s="264"/>
      <c r="S35" s="264"/>
      <c r="T35" s="264"/>
      <c r="U35" s="264"/>
      <c r="V35" s="264"/>
      <c r="W35" s="264"/>
    </row>
    <row r="36" spans="1:23" ht="23.25" x14ac:dyDescent="0.2">
      <c r="A36" s="74"/>
      <c r="B36" s="297"/>
      <c r="C36" s="68"/>
      <c r="D36" s="466" t="s">
        <v>103</v>
      </c>
      <c r="E36" s="68"/>
      <c r="F36" s="68"/>
      <c r="G36" s="254">
        <v>55367.21</v>
      </c>
      <c r="H36" s="254">
        <v>52578</v>
      </c>
      <c r="I36" s="254">
        <v>54372</v>
      </c>
      <c r="J36" s="254">
        <v>74343</v>
      </c>
      <c r="K36" s="254">
        <v>140489</v>
      </c>
      <c r="L36" s="254">
        <v>85282</v>
      </c>
      <c r="M36" s="254">
        <v>9601</v>
      </c>
      <c r="N36" s="254">
        <v>9601</v>
      </c>
      <c r="O36" s="254">
        <v>5248</v>
      </c>
      <c r="P36" s="254">
        <v>4472</v>
      </c>
      <c r="Q36" s="254">
        <v>15207</v>
      </c>
      <c r="R36" s="254"/>
      <c r="S36" s="254"/>
      <c r="T36" s="254"/>
      <c r="U36" s="254"/>
      <c r="V36" s="254"/>
      <c r="W36" s="254"/>
    </row>
    <row r="37" spans="1:23" ht="21" thickBot="1" x14ac:dyDescent="0.25">
      <c r="A37" s="466"/>
      <c r="B37" s="466"/>
      <c r="C37" s="78"/>
      <c r="D37" s="466" t="s">
        <v>97</v>
      </c>
      <c r="E37" s="467"/>
      <c r="F37" s="467"/>
      <c r="G37" s="264">
        <v>481327.83000000013</v>
      </c>
      <c r="H37" s="264">
        <v>396478</v>
      </c>
      <c r="I37" s="264">
        <v>367593</v>
      </c>
      <c r="J37" s="264">
        <v>383624</v>
      </c>
      <c r="K37" s="264">
        <v>342315</v>
      </c>
      <c r="L37" s="264">
        <v>332165</v>
      </c>
      <c r="M37" s="264">
        <v>326973</v>
      </c>
      <c r="N37" s="264">
        <v>247585</v>
      </c>
      <c r="O37" s="264">
        <v>237878</v>
      </c>
      <c r="P37" s="264">
        <v>220741</v>
      </c>
      <c r="Q37" s="264">
        <v>207984</v>
      </c>
      <c r="R37" s="264">
        <v>252788</v>
      </c>
      <c r="S37" s="264">
        <v>244808</v>
      </c>
      <c r="T37" s="264">
        <v>229888</v>
      </c>
      <c r="U37" s="264">
        <v>184151</v>
      </c>
      <c r="V37" s="264">
        <v>131965</v>
      </c>
      <c r="W37" s="264">
        <v>15760</v>
      </c>
    </row>
    <row r="38" spans="1:23" ht="23.25" x14ac:dyDescent="0.2">
      <c r="A38" s="74"/>
      <c r="B38" s="90" t="s">
        <v>74</v>
      </c>
      <c r="C38" s="91"/>
      <c r="D38" s="91"/>
      <c r="E38" s="68"/>
      <c r="F38" s="68"/>
      <c r="G38" s="259">
        <f>G36+G37</f>
        <v>536695.04000000015</v>
      </c>
      <c r="H38" s="259">
        <f>H36+H37</f>
        <v>449056</v>
      </c>
      <c r="I38" s="259">
        <f>I36+I37</f>
        <v>421965</v>
      </c>
      <c r="J38" s="259">
        <f>J36+J37</f>
        <v>457967</v>
      </c>
      <c r="K38" s="259">
        <f>K36+K37</f>
        <v>482804</v>
      </c>
      <c r="L38" s="259">
        <f t="shared" ref="L38:W38" si="3">L36+L37</f>
        <v>417447</v>
      </c>
      <c r="M38" s="259">
        <f t="shared" si="3"/>
        <v>336574</v>
      </c>
      <c r="N38" s="259">
        <f t="shared" si="3"/>
        <v>257186</v>
      </c>
      <c r="O38" s="259">
        <f t="shared" si="3"/>
        <v>243126</v>
      </c>
      <c r="P38" s="259">
        <f t="shared" si="3"/>
        <v>225213</v>
      </c>
      <c r="Q38" s="259">
        <f t="shared" si="3"/>
        <v>223191</v>
      </c>
      <c r="R38" s="259">
        <f t="shared" si="3"/>
        <v>252788</v>
      </c>
      <c r="S38" s="259">
        <f t="shared" si="3"/>
        <v>244808</v>
      </c>
      <c r="T38" s="259">
        <f t="shared" si="3"/>
        <v>229888</v>
      </c>
      <c r="U38" s="259">
        <f t="shared" si="3"/>
        <v>184151</v>
      </c>
      <c r="V38" s="259">
        <f t="shared" si="3"/>
        <v>131965</v>
      </c>
      <c r="W38" s="259">
        <f t="shared" si="3"/>
        <v>15760</v>
      </c>
    </row>
    <row r="39" spans="1:23" ht="20.25" x14ac:dyDescent="0.2">
      <c r="A39" s="74"/>
      <c r="B39" s="74"/>
      <c r="C39" s="74"/>
      <c r="D39" s="74"/>
      <c r="E39" s="74"/>
      <c r="F39" s="74"/>
      <c r="G39" s="257"/>
      <c r="H39" s="257"/>
      <c r="I39" s="257"/>
      <c r="J39" s="257"/>
      <c r="K39" s="257"/>
      <c r="L39" s="257"/>
      <c r="M39" s="257"/>
      <c r="N39" s="257"/>
      <c r="O39" s="257"/>
      <c r="P39" s="257"/>
      <c r="Q39" s="257"/>
      <c r="R39" s="257"/>
      <c r="S39" s="257"/>
      <c r="T39" s="257"/>
      <c r="U39" s="257"/>
      <c r="V39" s="257"/>
      <c r="W39" s="257"/>
    </row>
    <row r="40" spans="1:23" ht="27" thickBot="1" x14ac:dyDescent="0.25">
      <c r="A40" s="82" t="s">
        <v>75</v>
      </c>
      <c r="B40" s="82"/>
      <c r="C40" s="82"/>
      <c r="D40" s="82"/>
      <c r="E40" s="82"/>
      <c r="F40" s="82"/>
      <c r="G40" s="395">
        <f>G32+G38</f>
        <v>739679.76000000013</v>
      </c>
      <c r="H40" s="395">
        <f>H32+H38</f>
        <v>651526</v>
      </c>
      <c r="I40" s="395">
        <f>I32+I38</f>
        <v>573888</v>
      </c>
      <c r="J40" s="395">
        <f>J32+J38</f>
        <v>623376</v>
      </c>
      <c r="K40" s="395">
        <f>K32+K38</f>
        <v>647895</v>
      </c>
      <c r="L40" s="395">
        <f t="shared" ref="L40:W40" si="4">L32+L38</f>
        <v>573053</v>
      </c>
      <c r="M40" s="395">
        <f t="shared" si="4"/>
        <v>506508</v>
      </c>
      <c r="N40" s="395">
        <f t="shared" si="4"/>
        <v>504878</v>
      </c>
      <c r="O40" s="395">
        <f t="shared" si="4"/>
        <v>395848</v>
      </c>
      <c r="P40" s="395">
        <f t="shared" si="4"/>
        <v>321564</v>
      </c>
      <c r="Q40" s="395">
        <f t="shared" si="4"/>
        <v>342293</v>
      </c>
      <c r="R40" s="395">
        <f t="shared" si="4"/>
        <v>368082</v>
      </c>
      <c r="S40" s="395">
        <f t="shared" si="4"/>
        <v>328444</v>
      </c>
      <c r="T40" s="395">
        <f t="shared" si="4"/>
        <v>320712</v>
      </c>
      <c r="U40" s="395">
        <f t="shared" si="4"/>
        <v>243322</v>
      </c>
      <c r="V40" s="395">
        <f t="shared" si="4"/>
        <v>188596</v>
      </c>
      <c r="W40" s="395">
        <f t="shared" si="4"/>
        <v>77876</v>
      </c>
    </row>
    <row r="41" spans="1:23" ht="15" thickTop="1" x14ac:dyDescent="0.2">
      <c r="D41" s="380"/>
      <c r="H41" s="18"/>
      <c r="I41" s="18"/>
      <c r="J41" s="18"/>
      <c r="K41" s="18"/>
      <c r="L41" s="18"/>
      <c r="M41" s="18"/>
      <c r="N41" s="18"/>
      <c r="O41" s="18"/>
      <c r="P41" s="18"/>
      <c r="Q41" s="18"/>
      <c r="R41" s="18"/>
      <c r="S41" s="18"/>
      <c r="T41" s="18"/>
      <c r="U41" s="18"/>
      <c r="V41" s="18"/>
      <c r="W41" s="18"/>
    </row>
    <row r="42" spans="1:23" s="266" customFormat="1" x14ac:dyDescent="0.2">
      <c r="A42" s="470"/>
      <c r="B42" s="470"/>
      <c r="C42" s="470"/>
      <c r="D42" s="470"/>
      <c r="E42" s="470"/>
      <c r="F42" s="470"/>
      <c r="G42" s="298"/>
    </row>
    <row r="43" spans="1:23" s="266" customFormat="1" x14ac:dyDescent="0.2">
      <c r="A43" s="470"/>
      <c r="B43" s="470"/>
      <c r="C43" s="470"/>
      <c r="D43" s="470"/>
      <c r="E43" s="470"/>
      <c r="F43" s="470"/>
      <c r="G43" s="298"/>
    </row>
    <row r="44" spans="1:23" s="266" customFormat="1" x14ac:dyDescent="0.2">
      <c r="A44" s="470"/>
      <c r="B44" s="470"/>
      <c r="C44" s="470"/>
      <c r="D44" s="470"/>
      <c r="E44" s="470"/>
      <c r="F44" s="470"/>
      <c r="G44" s="298"/>
    </row>
    <row r="45" spans="1:23" s="266" customFormat="1" x14ac:dyDescent="0.2">
      <c r="A45" s="470"/>
      <c r="B45" s="470"/>
      <c r="C45" s="470"/>
      <c r="D45" s="470"/>
      <c r="E45" s="470"/>
      <c r="F45" s="470"/>
      <c r="G45" s="298"/>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Notes</vt:lpstr>
      <vt:lpstr>Data</vt:lpstr>
      <vt:lpstr>August'17 Revenues &amp; Expenses</vt:lpstr>
      <vt:lpstr>August'17 AR Aging </vt:lpstr>
      <vt:lpstr>August'17 Financial Position</vt:lpstr>
      <vt:lpstr>August'17 State of Activities</vt:lpstr>
      <vt:lpstr>August'17 Transportation</vt:lpstr>
      <vt:lpstr>Budget</vt:lpstr>
      <vt:lpstr>YE Historic Data</vt:lpstr>
      <vt:lpstr>'August''17 AR Aging '!Print_Area</vt:lpstr>
      <vt:lpstr>'August''17 Financial Position'!Print_Area</vt:lpstr>
      <vt:lpstr>'August''17 Revenues &amp; Expenses'!Print_Area</vt:lpstr>
      <vt:lpstr>'August''17 State of Activities'!Print_Area</vt:lpstr>
      <vt:lpstr>'August''17 Transportation'!Print_Area</vt:lpstr>
      <vt:lpstr>Budget!Print_Area</vt:lpstr>
      <vt:lpstr>Notes!Print_Area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2017-09-21T16:51:54Z</cp:lastPrinted>
  <dcterms:created xsi:type="dcterms:W3CDTF">2011-11-03T17:20:29Z</dcterms:created>
  <dcterms:modified xsi:type="dcterms:W3CDTF">2017-09-21T16:55:28Z</dcterms:modified>
</cp:coreProperties>
</file>