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ray\Documents\Audit &amp; Finanace Committe\"/>
    </mc:Choice>
  </mc:AlternateContent>
  <bookViews>
    <workbookView xWindow="90" yWindow="35820" windowWidth="14955" windowHeight="9060" tabRatio="787" firstSheet="3" activeTab="3"/>
  </bookViews>
  <sheets>
    <sheet name="Updated  Operating Budget" sheetId="26" state="hidden" r:id="rId1"/>
    <sheet name="2023 Operating Budget" sheetId="27" state="hidden" r:id="rId2"/>
    <sheet name="Transportation Historic" sheetId="28" state="hidden" r:id="rId3"/>
    <sheet name="Notes" sheetId="15" r:id="rId4"/>
    <sheet name="Data" sheetId="19" state="hidden" r:id="rId5"/>
    <sheet name="Updated Operating Budget" sheetId="25" state="hidden" r:id="rId6"/>
    <sheet name="February'23 Revenues &amp; Expenses" sheetId="3" r:id="rId7"/>
    <sheet name="February'23 AR Aging " sheetId="6" r:id="rId8"/>
    <sheet name="February'23 Financial Position" sheetId="5" r:id="rId9"/>
    <sheet name="February'23 State of Activities" sheetId="12" r:id="rId10"/>
    <sheet name="December'22 Transportation" sheetId="24" state="hidden" r:id="rId11"/>
    <sheet name="June'20 Transportation" sheetId="18" state="hidden" r:id="rId12"/>
    <sheet name="Transportation Projections" sheetId="23" state="hidden" r:id="rId13"/>
    <sheet name="2019 Budget" sheetId="22" state="hidden" r:id="rId14"/>
    <sheet name="2017 Medicaid Revenue" sheetId="21" state="hidden" r:id="rId15"/>
    <sheet name="Budget" sheetId="20" state="hidden" r:id="rId16"/>
    <sheet name="YE Historic Data" sheetId="17" state="hidden" r:id="rId17"/>
  </sheets>
  <externalReferences>
    <externalReference r:id="rId18"/>
    <externalReference r:id="rId19"/>
    <externalReference r:id="rId20"/>
  </externalReferences>
  <definedNames>
    <definedName name="_xlnm.Print_Area" localSheetId="14">'2017 Medicaid Revenue'!$A$1:$H$69</definedName>
    <definedName name="_xlnm.Print_Area" localSheetId="15">Budget!$A$1:$G$54</definedName>
    <definedName name="_xlnm.Print_Area" localSheetId="10">'December''22 Transportation'!$A$1:$P$68</definedName>
    <definedName name="_xlnm.Print_Area" localSheetId="7">'February''23 AR Aging '!$A$1:$G$135</definedName>
    <definedName name="_xlnm.Print_Area" localSheetId="8">'February''23 Financial Position'!$A$1:$L$69</definedName>
    <definedName name="_xlnm.Print_Area" localSheetId="6">'February''23 Revenues &amp; Expenses'!$A$1:$L$78</definedName>
    <definedName name="_xlnm.Print_Area" localSheetId="9">'February''23 State of Activities'!$A$1:$O$72</definedName>
    <definedName name="_xlnm.Print_Area" localSheetId="11">'June''20 Transportation'!$A$1:$P$63</definedName>
    <definedName name="_xlnm.Print_Area" localSheetId="3">Notes!$A$4:$H$114</definedName>
    <definedName name="_xlnm.Print_Area" localSheetId="12">'Transportation Projections'!$A$1:$P$53</definedName>
    <definedName name="_xlnm.Print_Area" localSheetId="16">'YE Historic Data'!$A$1:$W$41</definedName>
    <definedName name="_xlnm.Print_Titles" localSheetId="3">Notes!$1:$3</definedName>
  </definedNames>
  <calcPr calcId="162913"/>
</workbook>
</file>

<file path=xl/calcChain.xml><?xml version="1.0" encoding="utf-8"?>
<calcChain xmlns="http://schemas.openxmlformats.org/spreadsheetml/2006/main">
  <c r="F111" i="15" l="1"/>
  <c r="F107" i="15"/>
  <c r="F106" i="15"/>
  <c r="D108" i="15"/>
  <c r="F96" i="15"/>
  <c r="F95" i="15"/>
  <c r="D94" i="15"/>
  <c r="G78" i="15"/>
  <c r="E17" i="15" l="1"/>
  <c r="E15" i="15"/>
  <c r="B1884" i="19"/>
  <c r="B1883" i="19"/>
  <c r="C1850" i="19"/>
  <c r="C1856" i="19" s="1"/>
  <c r="C1857" i="19" s="1"/>
  <c r="C1862" i="19" s="1"/>
  <c r="C1875" i="19" s="1"/>
  <c r="C1877" i="19" s="1"/>
  <c r="B1881" i="19" s="1"/>
  <c r="L65" i="12"/>
  <c r="L64" i="12"/>
  <c r="L63" i="12"/>
  <c r="L62" i="12"/>
  <c r="L61" i="12"/>
  <c r="L51" i="12"/>
  <c r="L49" i="12"/>
  <c r="L48" i="12"/>
  <c r="L47" i="12"/>
  <c r="L46" i="12"/>
  <c r="L44" i="12"/>
  <c r="L43" i="12"/>
  <c r="L41" i="12"/>
  <c r="L40" i="12"/>
  <c r="L38" i="12"/>
  <c r="L37" i="12"/>
  <c r="L36" i="12"/>
  <c r="L35" i="12"/>
  <c r="L32" i="12"/>
  <c r="L31" i="12"/>
  <c r="L27" i="12"/>
  <c r="L24" i="12"/>
  <c r="L23" i="12"/>
  <c r="L22" i="12"/>
  <c r="L21" i="12"/>
  <c r="L20" i="12"/>
  <c r="L19" i="12"/>
  <c r="L17" i="12"/>
  <c r="L15" i="12"/>
  <c r="L12" i="12"/>
  <c r="L11" i="12"/>
  <c r="L10" i="12"/>
  <c r="L9" i="12"/>
  <c r="B1857" i="19" l="1"/>
  <c r="B1849" i="19"/>
  <c r="B1850" i="19"/>
  <c r="B1865" i="19"/>
  <c r="B1873" i="19"/>
  <c r="B1866" i="19"/>
  <c r="B1868" i="19"/>
  <c r="B1845" i="19"/>
  <c r="B1853" i="19"/>
  <c r="B1861" i="19"/>
  <c r="B1877" i="19"/>
  <c r="B1862" i="19"/>
  <c r="B1878" i="19"/>
  <c r="B1847" i="19"/>
  <c r="B1855" i="19"/>
  <c r="B1863" i="19"/>
  <c r="B1871" i="19"/>
  <c r="B1879" i="19"/>
  <c r="B1858" i="19"/>
  <c r="B1874" i="19"/>
  <c r="B1851" i="19"/>
  <c r="B1859" i="19"/>
  <c r="B1867" i="19"/>
  <c r="B1875" i="19"/>
  <c r="B1852" i="19"/>
  <c r="B1860" i="19"/>
  <c r="B1876" i="19"/>
  <c r="B1869" i="19"/>
  <c r="B1846" i="19"/>
  <c r="B1854" i="19"/>
  <c r="B1870" i="19"/>
  <c r="B1848" i="19"/>
  <c r="B1856" i="19"/>
  <c r="B1864" i="19"/>
  <c r="B1872" i="19"/>
  <c r="B1880" i="19"/>
  <c r="J66" i="12"/>
  <c r="J67" i="12" s="1"/>
  <c r="J52" i="12"/>
  <c r="J50" i="12"/>
  <c r="H63" i="5"/>
  <c r="H42" i="5"/>
  <c r="G45" i="12"/>
  <c r="L45" i="12" s="1"/>
  <c r="J39" i="12"/>
  <c r="G66" i="12"/>
  <c r="G53" i="12"/>
  <c r="L53" i="12" s="1"/>
  <c r="G52" i="12"/>
  <c r="L52" i="12" s="1"/>
  <c r="G50" i="12"/>
  <c r="L50" i="12" s="1"/>
  <c r="G42" i="12"/>
  <c r="L42" i="12" s="1"/>
  <c r="G39" i="12"/>
  <c r="L39" i="12" s="1"/>
  <c r="G33" i="12"/>
  <c r="H53" i="12"/>
  <c r="H66" i="12"/>
  <c r="H65" i="12"/>
  <c r="G67" i="12" l="1"/>
  <c r="L66" i="12"/>
  <c r="H13" i="12"/>
  <c r="H26" i="12" s="1"/>
  <c r="H28" i="12" s="1"/>
  <c r="H62" i="12"/>
  <c r="H61" i="12"/>
  <c r="H67" i="12" s="1"/>
  <c r="H52" i="12"/>
  <c r="H50" i="12"/>
  <c r="H46" i="12"/>
  <c r="H39" i="12"/>
  <c r="H34" i="12"/>
  <c r="H33" i="12"/>
  <c r="L61" i="5"/>
  <c r="L52" i="5"/>
  <c r="H61" i="5"/>
  <c r="H45" i="5"/>
  <c r="H52" i="5"/>
  <c r="H32" i="5"/>
  <c r="J61" i="5"/>
  <c r="J52" i="5"/>
  <c r="L64" i="3"/>
  <c r="H54" i="3"/>
  <c r="I54" i="3" s="1"/>
  <c r="J54" i="3" s="1"/>
  <c r="K66" i="3"/>
  <c r="J66" i="3"/>
  <c r="K64" i="3"/>
  <c r="I64" i="3"/>
  <c r="J64" i="3"/>
  <c r="I52" i="3"/>
  <c r="I51" i="3"/>
  <c r="I50" i="3"/>
  <c r="H50" i="3"/>
  <c r="G50" i="3"/>
  <c r="I47" i="3"/>
  <c r="G31" i="3"/>
  <c r="H31" i="3"/>
  <c r="J31" i="3"/>
  <c r="I31" i="3"/>
  <c r="G29" i="3"/>
  <c r="J29" i="3"/>
  <c r="J25" i="3"/>
  <c r="H29" i="3"/>
  <c r="J23" i="3"/>
  <c r="G23" i="3"/>
  <c r="H23" i="3"/>
  <c r="I23" i="3"/>
  <c r="F14" i="6"/>
  <c r="F13" i="6"/>
  <c r="E41" i="6"/>
  <c r="F31" i="6"/>
  <c r="H55" i="12" l="1"/>
  <c r="H57" i="12"/>
  <c r="H69" i="12" s="1"/>
  <c r="H72" i="12" s="1"/>
  <c r="E102" i="15"/>
  <c r="G111" i="15"/>
  <c r="F94" i="15"/>
  <c r="P53" i="24" l="1"/>
  <c r="O52" i="24"/>
  <c r="O44" i="24"/>
  <c r="P51" i="24" l="1"/>
  <c r="P49" i="24"/>
  <c r="P48" i="24"/>
  <c r="P47" i="24"/>
  <c r="P46" i="24"/>
  <c r="P45" i="24"/>
  <c r="P43" i="24"/>
  <c r="P41" i="24"/>
  <c r="P40" i="24"/>
  <c r="P39" i="24"/>
  <c r="P38" i="24"/>
  <c r="P37" i="24"/>
  <c r="P35" i="24"/>
  <c r="P34" i="24"/>
  <c r="P33" i="24"/>
  <c r="P28" i="24"/>
  <c r="P27" i="24"/>
  <c r="P18" i="24"/>
  <c r="P10" i="24"/>
  <c r="O58" i="24"/>
  <c r="O57" i="24"/>
  <c r="O53" i="24"/>
  <c r="O51" i="24"/>
  <c r="O50" i="24"/>
  <c r="O49" i="24"/>
  <c r="O48" i="24"/>
  <c r="O47" i="24"/>
  <c r="O46" i="24"/>
  <c r="O45" i="24"/>
  <c r="O43" i="24"/>
  <c r="O41" i="24"/>
  <c r="O40" i="24"/>
  <c r="O39" i="24"/>
  <c r="O38" i="24"/>
  <c r="O37" i="24"/>
  <c r="O35" i="24"/>
  <c r="O34" i="24"/>
  <c r="O33" i="24"/>
  <c r="O28" i="24"/>
  <c r="O27" i="24"/>
  <c r="O24" i="24"/>
  <c r="O23" i="24"/>
  <c r="O22" i="24"/>
  <c r="O21" i="24"/>
  <c r="O20" i="24"/>
  <c r="O19" i="24"/>
  <c r="O18" i="24"/>
  <c r="O17" i="24"/>
  <c r="O11" i="24"/>
  <c r="O10" i="24"/>
  <c r="J47" i="24"/>
  <c r="J11" i="24"/>
  <c r="J44" i="24"/>
  <c r="J41" i="24"/>
  <c r="J34" i="24"/>
  <c r="J27" i="24" l="1"/>
  <c r="K9" i="24"/>
  <c r="J10" i="24"/>
  <c r="M62" i="12"/>
  <c r="M61" i="12"/>
  <c r="M65" i="12"/>
  <c r="M31" i="12"/>
  <c r="M46" i="12"/>
  <c r="G18" i="12"/>
  <c r="M10" i="12"/>
  <c r="M51" i="12"/>
  <c r="M49" i="12"/>
  <c r="M48" i="12"/>
  <c r="M47" i="12"/>
  <c r="M44" i="12"/>
  <c r="M42" i="12"/>
  <c r="M41" i="12"/>
  <c r="M40" i="12"/>
  <c r="M38" i="12"/>
  <c r="M37" i="12"/>
  <c r="M36" i="12"/>
  <c r="M35" i="12"/>
  <c r="M32" i="12"/>
  <c r="M27" i="12"/>
  <c r="M23" i="12"/>
  <c r="M22" i="12"/>
  <c r="M21" i="12"/>
  <c r="M20" i="12"/>
  <c r="M19" i="12"/>
  <c r="M17" i="12"/>
  <c r="M15" i="12"/>
  <c r="M12" i="12"/>
  <c r="M9" i="12"/>
  <c r="K52" i="3"/>
  <c r="L66" i="3"/>
  <c r="K50" i="3"/>
  <c r="G94" i="15" s="1"/>
  <c r="L18" i="12" l="1"/>
  <c r="M18" i="12" s="1"/>
  <c r="E44" i="6"/>
  <c r="G48" i="6"/>
  <c r="H24" i="3" s="1"/>
  <c r="J24" i="3" s="1"/>
  <c r="F32" i="6"/>
  <c r="G6" i="6"/>
  <c r="G24" i="3" l="1"/>
  <c r="E14" i="6"/>
  <c r="E73" i="6" s="1"/>
  <c r="K117" i="28"/>
  <c r="J117" i="28"/>
  <c r="G117" i="28"/>
  <c r="K115" i="28"/>
  <c r="J115" i="28"/>
  <c r="I115" i="28"/>
  <c r="H115" i="28"/>
  <c r="G115" i="28"/>
  <c r="K110" i="28"/>
  <c r="J110" i="28"/>
  <c r="I110" i="28"/>
  <c r="J108" i="28"/>
  <c r="I108" i="28"/>
  <c r="I102" i="28"/>
  <c r="K101" i="28"/>
  <c r="J101" i="28"/>
  <c r="I101" i="28"/>
  <c r="H101" i="28"/>
  <c r="I97" i="28"/>
  <c r="H97" i="28"/>
  <c r="H102" i="28" s="1"/>
  <c r="J88" i="28"/>
  <c r="I88" i="28"/>
  <c r="H88" i="28"/>
  <c r="H110" i="28" s="1"/>
  <c r="K86" i="28"/>
  <c r="I86" i="28"/>
  <c r="H86" i="28"/>
  <c r="K80" i="28"/>
  <c r="I80" i="28"/>
  <c r="H80" i="28"/>
  <c r="K79" i="28"/>
  <c r="J79" i="28"/>
  <c r="K77" i="28"/>
  <c r="K99" i="28" s="1"/>
  <c r="J77" i="28"/>
  <c r="J99" i="28" s="1"/>
  <c r="K75" i="28"/>
  <c r="K97" i="28" s="1"/>
  <c r="J75" i="28"/>
  <c r="J97" i="28" s="1"/>
  <c r="I75" i="28"/>
  <c r="H75" i="28"/>
  <c r="J72" i="28"/>
  <c r="I72" i="28"/>
  <c r="H72" i="28"/>
  <c r="K71" i="28"/>
  <c r="K70" i="28"/>
  <c r="K72" i="28" s="1"/>
  <c r="J68" i="28"/>
  <c r="I68" i="28"/>
  <c r="H68" i="28"/>
  <c r="K67" i="28"/>
  <c r="K66" i="28"/>
  <c r="K68" i="28" s="1"/>
  <c r="K61" i="28"/>
  <c r="J61" i="28"/>
  <c r="I61" i="28"/>
  <c r="H61" i="28"/>
  <c r="G51" i="28"/>
  <c r="H50" i="28"/>
  <c r="J46" i="28"/>
  <c r="H46" i="28"/>
  <c r="K45" i="28"/>
  <c r="K43" i="28"/>
  <c r="K42" i="28"/>
  <c r="J41" i="28"/>
  <c r="H41" i="28"/>
  <c r="J40" i="28"/>
  <c r="J39" i="28"/>
  <c r="H39" i="28"/>
  <c r="K38" i="28"/>
  <c r="K37" i="28"/>
  <c r="K108" i="28" s="1"/>
  <c r="J37" i="28"/>
  <c r="J86" i="28" s="1"/>
  <c r="I37" i="28"/>
  <c r="H37" i="28"/>
  <c r="H108" i="28" s="1"/>
  <c r="G37" i="28"/>
  <c r="G47" i="28" s="1"/>
  <c r="K36" i="28"/>
  <c r="K51" i="28" s="1"/>
  <c r="J36" i="28"/>
  <c r="J51" i="28" s="1"/>
  <c r="I36" i="28"/>
  <c r="I117" i="28" s="1"/>
  <c r="H36" i="28"/>
  <c r="H51" i="28" s="1"/>
  <c r="K33" i="28"/>
  <c r="J30" i="28"/>
  <c r="K29" i="28"/>
  <c r="J29" i="28"/>
  <c r="J47" i="28" s="1"/>
  <c r="I29" i="28"/>
  <c r="I47" i="28" s="1"/>
  <c r="H29" i="28"/>
  <c r="H47" i="28" s="1"/>
  <c r="J22" i="28"/>
  <c r="H22" i="28"/>
  <c r="H24" i="28" s="1"/>
  <c r="K20" i="28"/>
  <c r="J19" i="28"/>
  <c r="H19" i="28"/>
  <c r="G17" i="28"/>
  <c r="G19" i="28" s="1"/>
  <c r="G22" i="28" s="1"/>
  <c r="G48" i="28" s="1"/>
  <c r="G52" i="28" s="1"/>
  <c r="G16" i="28"/>
  <c r="I13" i="28"/>
  <c r="K11" i="28"/>
  <c r="K19" i="28" s="1"/>
  <c r="K22" i="28" s="1"/>
  <c r="K9" i="28"/>
  <c r="I9" i="28"/>
  <c r="I19" i="28" s="1"/>
  <c r="I22" i="28" s="1"/>
  <c r="G9" i="28"/>
  <c r="A3" i="28"/>
  <c r="G116" i="28" l="1"/>
  <c r="G58" i="28"/>
  <c r="G55" i="28"/>
  <c r="J102" i="28"/>
  <c r="H64" i="28"/>
  <c r="H58" i="28"/>
  <c r="H116" i="28"/>
  <c r="H55" i="28"/>
  <c r="I64" i="28"/>
  <c r="I58" i="28"/>
  <c r="I76" i="28"/>
  <c r="I116" i="28"/>
  <c r="I55" i="28"/>
  <c r="J116" i="28"/>
  <c r="J48" i="28"/>
  <c r="J52" i="28" s="1"/>
  <c r="J76" i="28"/>
  <c r="J55" i="28"/>
  <c r="J64" i="28"/>
  <c r="J58" i="28"/>
  <c r="I48" i="28"/>
  <c r="I52" i="28" s="1"/>
  <c r="K102" i="28"/>
  <c r="I51" i="28"/>
  <c r="H48" i="28"/>
  <c r="H52" i="28" s="1"/>
  <c r="J80" i="28"/>
  <c r="J78" i="28"/>
  <c r="H77" i="28"/>
  <c r="H99" i="28" s="1"/>
  <c r="H117" i="28"/>
  <c r="K30" i="28"/>
  <c r="K47" i="28" s="1"/>
  <c r="I77" i="28"/>
  <c r="I99" i="28" s="1"/>
  <c r="K76" i="28" l="1"/>
  <c r="K116" i="28"/>
  <c r="K55" i="28"/>
  <c r="K64" i="28"/>
  <c r="K58" i="28"/>
  <c r="K48" i="28"/>
  <c r="K52" i="28" s="1"/>
  <c r="I81" i="28"/>
  <c r="I85" i="28"/>
  <c r="I78" i="28"/>
  <c r="I98" i="28"/>
  <c r="H76" i="28"/>
  <c r="J85" i="28"/>
  <c r="J81" i="28"/>
  <c r="J98" i="28"/>
  <c r="I84" i="28" l="1"/>
  <c r="H98" i="28"/>
  <c r="H81" i="28"/>
  <c r="H85" i="28"/>
  <c r="H78" i="28"/>
  <c r="K85" i="28"/>
  <c r="K81" i="28"/>
  <c r="K98" i="28"/>
  <c r="K78" i="28"/>
  <c r="J107" i="28"/>
  <c r="J103" i="28"/>
  <c r="J100" i="28"/>
  <c r="J84" i="28"/>
  <c r="I100" i="28"/>
  <c r="I107" i="28"/>
  <c r="I103" i="28"/>
  <c r="I106" i="28" l="1"/>
  <c r="K107" i="28"/>
  <c r="K103" i="28"/>
  <c r="K100" i="28"/>
  <c r="K84" i="28"/>
  <c r="H84" i="28"/>
  <c r="J106" i="28"/>
  <c r="H107" i="28"/>
  <c r="H103" i="28"/>
  <c r="H100" i="28"/>
  <c r="J87" i="28"/>
  <c r="J91" i="28"/>
  <c r="J89" i="28"/>
  <c r="I87" i="28"/>
  <c r="I89" i="28"/>
  <c r="I91" i="28" s="1"/>
  <c r="K87" i="28" l="1"/>
  <c r="K89" i="28"/>
  <c r="I90" i="28"/>
  <c r="I92" i="28"/>
  <c r="H106" i="28"/>
  <c r="J113" i="28"/>
  <c r="J111" i="28"/>
  <c r="J109" i="28"/>
  <c r="K106" i="28"/>
  <c r="I111" i="28"/>
  <c r="I113" i="28" s="1"/>
  <c r="I109" i="28"/>
  <c r="J90" i="28"/>
  <c r="J92" i="28"/>
  <c r="H87" i="28"/>
  <c r="H89" i="28"/>
  <c r="H91" i="28"/>
  <c r="H111" i="28" l="1"/>
  <c r="H109" i="28"/>
  <c r="H90" i="28"/>
  <c r="H92" i="28"/>
  <c r="K90" i="28"/>
  <c r="K92" i="28"/>
  <c r="I112" i="28"/>
  <c r="I114" i="28"/>
  <c r="K111" i="28"/>
  <c r="K109" i="28"/>
  <c r="K91" i="28"/>
  <c r="J112" i="28"/>
  <c r="J114" i="28"/>
  <c r="K112" i="28" l="1"/>
  <c r="K114" i="28"/>
  <c r="K113" i="28"/>
  <c r="H112" i="28"/>
  <c r="H114" i="28"/>
  <c r="H113" i="28"/>
  <c r="G47" i="27" l="1"/>
  <c r="G43" i="27"/>
  <c r="G48" i="27" s="1"/>
  <c r="I37" i="27"/>
  <c r="G35" i="27"/>
  <c r="I28" i="27"/>
  <c r="I48" i="27" s="1"/>
  <c r="I24" i="27"/>
  <c r="G11" i="27"/>
  <c r="G24" i="27" s="1"/>
  <c r="G50" i="27" l="1"/>
  <c r="G55" i="27" s="1"/>
  <c r="I50" i="27"/>
  <c r="I55" i="27" s="1"/>
  <c r="M35" i="24"/>
  <c r="M27" i="24"/>
  <c r="M45" i="12" l="1"/>
  <c r="K47" i="3"/>
  <c r="K51" i="3"/>
  <c r="F73" i="6" l="1"/>
  <c r="C100" i="6"/>
  <c r="D71" i="6" l="1"/>
  <c r="G41" i="6"/>
  <c r="G44" i="6" s="1"/>
  <c r="E32" i="6"/>
  <c r="C1712" i="19" l="1"/>
  <c r="B1712" i="19" s="1"/>
  <c r="B1710" i="19"/>
  <c r="B1713" i="19" l="1"/>
  <c r="M15" i="24"/>
  <c r="B1714" i="19" l="1"/>
  <c r="C1715" i="19"/>
  <c r="B1715" i="19" l="1"/>
  <c r="G105" i="15"/>
  <c r="C1665" i="19"/>
  <c r="C1666" i="19" s="1"/>
  <c r="C1659" i="19"/>
  <c r="C1660" i="19" s="1"/>
  <c r="B1660" i="19" s="1"/>
  <c r="B1664" i="19"/>
  <c r="B1663" i="19"/>
  <c r="B1662" i="19"/>
  <c r="B1661" i="19"/>
  <c r="B1716" i="19" l="1"/>
  <c r="C1667" i="19"/>
  <c r="B1666" i="19"/>
  <c r="B1665" i="19"/>
  <c r="B1717" i="19" l="1"/>
  <c r="B1667" i="19"/>
  <c r="B1718" i="19" l="1"/>
  <c r="B1668" i="19"/>
  <c r="C1720" i="19" l="1"/>
  <c r="B1719" i="19"/>
  <c r="B1669" i="19"/>
  <c r="J35" i="24"/>
  <c r="B1720" i="19" l="1"/>
  <c r="C1671" i="19"/>
  <c r="B1670" i="19"/>
  <c r="G8" i="3"/>
  <c r="B1721" i="19" l="1"/>
  <c r="B1671" i="19"/>
  <c r="C1672" i="19"/>
  <c r="B1612" i="19"/>
  <c r="B1722" i="19" l="1"/>
  <c r="C1723" i="19"/>
  <c r="B1672" i="19"/>
  <c r="M9" i="24"/>
  <c r="B1723" i="19" l="1"/>
  <c r="B1673" i="19"/>
  <c r="B1613" i="19"/>
  <c r="C1725" i="19" l="1"/>
  <c r="B1724" i="19"/>
  <c r="C1675" i="19"/>
  <c r="B1674" i="19"/>
  <c r="C1615" i="19"/>
  <c r="B1614" i="19"/>
  <c r="B1725" i="19" l="1"/>
  <c r="B1675" i="19"/>
  <c r="C1676" i="19"/>
  <c r="B1615" i="19"/>
  <c r="B1726" i="19" l="1"/>
  <c r="C1727" i="19"/>
  <c r="C1677" i="19"/>
  <c r="B1676" i="19"/>
  <c r="B1616" i="19"/>
  <c r="C1617" i="19"/>
  <c r="B1727" i="19" l="1"/>
  <c r="C1678" i="19"/>
  <c r="B1677" i="19"/>
  <c r="B1617" i="19"/>
  <c r="C136" i="6"/>
  <c r="G64" i="6"/>
  <c r="I68" i="3" s="1"/>
  <c r="B1728" i="19" l="1"/>
  <c r="B1678" i="19"/>
  <c r="C1619" i="19"/>
  <c r="B1618" i="19"/>
  <c r="D112" i="15"/>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B1730" i="19" l="1"/>
  <c r="B1680" i="19"/>
  <c r="B1620" i="19"/>
  <c r="J16" i="24"/>
  <c r="O16" i="24" s="1"/>
  <c r="P16" i="24" s="1"/>
  <c r="K53" i="24"/>
  <c r="K47" i="24"/>
  <c r="K46" i="24"/>
  <c r="K45" i="24"/>
  <c r="K41" i="24"/>
  <c r="K34" i="24"/>
  <c r="K35" i="24" s="1"/>
  <c r="K25" i="24"/>
  <c r="K42" i="24" l="1"/>
  <c r="B1731" i="19"/>
  <c r="C1732" i="19"/>
  <c r="C1682" i="19"/>
  <c r="B1681" i="19"/>
  <c r="K26" i="24"/>
  <c r="C1622" i="19"/>
  <c r="B1621" i="19"/>
  <c r="C1733" i="19" l="1"/>
  <c r="B1732" i="19"/>
  <c r="B1682" i="19"/>
  <c r="B1622" i="19"/>
  <c r="J71" i="12"/>
  <c r="M53" i="12"/>
  <c r="M52" i="12"/>
  <c r="M50" i="12"/>
  <c r="M39" i="12"/>
  <c r="M24" i="12"/>
  <c r="L63" i="3"/>
  <c r="B1733" i="19" l="1"/>
  <c r="B1683" i="19"/>
  <c r="B1623" i="19"/>
  <c r="L62" i="3"/>
  <c r="B1734" i="19" l="1"/>
  <c r="B1684" i="19"/>
  <c r="B1624" i="19"/>
  <c r="L65" i="3"/>
  <c r="J13" i="24"/>
  <c r="O13" i="24" s="1"/>
  <c r="P13" i="24" s="1"/>
  <c r="J14" i="24"/>
  <c r="O14" i="24" s="1"/>
  <c r="P14" i="24" s="1"/>
  <c r="B1568" i="19"/>
  <c r="C1525" i="19"/>
  <c r="C1526" i="19" s="1"/>
  <c r="B1526" i="19" s="1"/>
  <c r="J58" i="24"/>
  <c r="B1735" i="19" l="1"/>
  <c r="C1736" i="19"/>
  <c r="C1686" i="19"/>
  <c r="B1685" i="19"/>
  <c r="B1625" i="19"/>
  <c r="C1626" i="19"/>
  <c r="B1525" i="19"/>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J34" i="3"/>
  <c r="B1740" i="19" l="1"/>
  <c r="B1690" i="19"/>
  <c r="B1630" i="19"/>
  <c r="B1531" i="19"/>
  <c r="B1505" i="19"/>
  <c r="C128" i="6"/>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K72" i="3"/>
  <c r="G95" i="15"/>
  <c r="G96" i="15"/>
  <c r="B1743" i="19" l="1"/>
  <c r="C1694" i="19"/>
  <c r="B1693" i="19"/>
  <c r="B1633" i="19"/>
  <c r="B1534" i="19"/>
  <c r="B1508" i="19"/>
  <c r="C1745" i="19" l="1"/>
  <c r="B1744" i="19"/>
  <c r="C1695" i="19"/>
  <c r="B1694" i="19"/>
  <c r="C1635" i="19"/>
  <c r="B1634" i="19"/>
  <c r="C1536" i="19"/>
  <c r="B1535" i="19"/>
  <c r="B1509" i="19"/>
  <c r="C1510" i="19"/>
  <c r="B1745" i="19" l="1"/>
  <c r="B1695" i="19"/>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M23" i="24"/>
  <c r="J16" i="12"/>
  <c r="L16" i="12" s="1"/>
  <c r="M16" i="12" s="1"/>
  <c r="M14" i="24" l="1"/>
  <c r="B1747" i="19"/>
  <c r="C1748" i="19"/>
  <c r="B1697" i="19"/>
  <c r="B1637" i="19"/>
  <c r="B1538" i="19"/>
  <c r="B1512" i="19"/>
  <c r="C71" i="6"/>
  <c r="G70" i="6"/>
  <c r="G69" i="6"/>
  <c r="B1748" i="19" l="1"/>
  <c r="C1699" i="19"/>
  <c r="B1698" i="19"/>
  <c r="B1638" i="19"/>
  <c r="B1539" i="19"/>
  <c r="B1513" i="19"/>
  <c r="I58" i="26"/>
  <c r="H58" i="26"/>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I40" i="26"/>
  <c r="L40" i="26" s="1"/>
  <c r="M40" i="26" s="1"/>
  <c r="H40" i="26"/>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K29" i="26"/>
  <c r="G28" i="26"/>
  <c r="I28" i="26" s="1"/>
  <c r="I27" i="26"/>
  <c r="L27" i="26" s="1"/>
  <c r="H27" i="26"/>
  <c r="G27" i="26"/>
  <c r="H26" i="26"/>
  <c r="I26" i="26" s="1"/>
  <c r="G26" i="26"/>
  <c r="H25" i="26"/>
  <c r="I25" i="26" s="1"/>
  <c r="I23" i="26"/>
  <c r="L23" i="26" s="1"/>
  <c r="I22" i="26"/>
  <c r="L22" i="26" s="1"/>
  <c r="G21" i="26"/>
  <c r="H21" i="26" s="1"/>
  <c r="K20" i="26"/>
  <c r="G20" i="26"/>
  <c r="G29" i="26" s="1"/>
  <c r="I19" i="26"/>
  <c r="L19" i="26" s="1"/>
  <c r="I18" i="26"/>
  <c r="M18" i="26" s="1"/>
  <c r="H17" i="26"/>
  <c r="I17" i="26" s="1"/>
  <c r="L17" i="26" s="1"/>
  <c r="M16" i="26"/>
  <c r="I16" i="26"/>
  <c r="L16" i="26" s="1"/>
  <c r="H15" i="26"/>
  <c r="I15" i="26" s="1"/>
  <c r="M14" i="26"/>
  <c r="I14" i="26"/>
  <c r="L14" i="26" s="1"/>
  <c r="H13" i="26"/>
  <c r="I13" i="26" s="1"/>
  <c r="I11" i="26"/>
  <c r="I10" i="26"/>
  <c r="M10" i="26" s="1"/>
  <c r="M9" i="26"/>
  <c r="I9" i="26"/>
  <c r="L9" i="26" s="1"/>
  <c r="I8" i="26"/>
  <c r="B1749" i="19" l="1"/>
  <c r="B1699" i="19"/>
  <c r="C1700" i="19"/>
  <c r="M27" i="26"/>
  <c r="B1639" i="19"/>
  <c r="B1540" i="19"/>
  <c r="C1541" i="19"/>
  <c r="B1514" i="19"/>
  <c r="H54" i="26"/>
  <c r="H20" i="26"/>
  <c r="I20" i="26" s="1"/>
  <c r="I21" i="26"/>
  <c r="M15" i="26"/>
  <c r="L15" i="26"/>
  <c r="M13" i="26"/>
  <c r="L13" i="26"/>
  <c r="M25" i="26"/>
  <c r="L25" i="26"/>
  <c r="M32" i="26"/>
  <c r="M28" i="26"/>
  <c r="L28" i="26"/>
  <c r="M26" i="26"/>
  <c r="L26"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750" i="19" l="1"/>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F113" i="15"/>
  <c r="D110" i="15"/>
  <c r="D109" i="15"/>
  <c r="B1755" i="19" l="1"/>
  <c r="B1705" i="19"/>
  <c r="B1645" i="19"/>
  <c r="C1646" i="19"/>
  <c r="B1546" i="19"/>
  <c r="B1520"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K58" i="24"/>
  <c r="K68" i="24"/>
  <c r="L8" i="5"/>
  <c r="G113" i="15"/>
  <c r="B1757" i="19" l="1"/>
  <c r="B1707" i="19"/>
  <c r="B1647" i="19"/>
  <c r="B1548" i="19"/>
  <c r="B1522" i="19"/>
  <c r="B1758" i="19" l="1"/>
  <c r="B1708" i="19"/>
  <c r="B1648" i="19"/>
  <c r="B1549" i="19"/>
  <c r="C1550" i="19"/>
  <c r="B1524" i="19"/>
  <c r="B1523" i="19"/>
  <c r="G80" i="3"/>
  <c r="M76" i="3"/>
  <c r="G76" i="3"/>
  <c r="F76" i="3"/>
  <c r="L72" i="3"/>
  <c r="K71" i="3"/>
  <c r="L71" i="3" s="1"/>
  <c r="K70" i="3"/>
  <c r="L70" i="3" s="1"/>
  <c r="H69" i="3"/>
  <c r="K69" i="3" s="1"/>
  <c r="J76" i="3"/>
  <c r="H58" i="3"/>
  <c r="G58" i="3"/>
  <c r="I55" i="3"/>
  <c r="J55" i="3" s="1"/>
  <c r="J58" i="3" s="1"/>
  <c r="F55" i="3"/>
  <c r="F58" i="3" s="1"/>
  <c r="I43" i="3"/>
  <c r="K43" i="3" s="1"/>
  <c r="I41" i="3"/>
  <c r="K41" i="3" s="1"/>
  <c r="I40" i="3"/>
  <c r="K35" i="3"/>
  <c r="B1759" i="19" l="1"/>
  <c r="B1709" i="19"/>
  <c r="C1650" i="19"/>
  <c r="B1649" i="19"/>
  <c r="B1550" i="19"/>
  <c r="I58" i="3"/>
  <c r="L76" i="3"/>
  <c r="L78" i="3" s="1"/>
  <c r="K40" i="3"/>
  <c r="K58" i="3" s="1"/>
  <c r="L58" i="3" s="1"/>
  <c r="I80" i="3"/>
  <c r="K76" i="3"/>
  <c r="B1260" i="19"/>
  <c r="B1259" i="19"/>
  <c r="B1258" i="19"/>
  <c r="B1257" i="19"/>
  <c r="B1256" i="19"/>
  <c r="B1255" i="19"/>
  <c r="B1254" i="19"/>
  <c r="B1253" i="19"/>
  <c r="B1252" i="19"/>
  <c r="B1251" i="19"/>
  <c r="B1250" i="19"/>
  <c r="B1249" i="19"/>
  <c r="B1248" i="19"/>
  <c r="B1247" i="19"/>
  <c r="B1246" i="19"/>
  <c r="B1245" i="19"/>
  <c r="B1760" i="19" l="1"/>
  <c r="B1650" i="19"/>
  <c r="C1552" i="19"/>
  <c r="B1551" i="19"/>
  <c r="B1761" i="19" l="1"/>
  <c r="B1711" i="19"/>
  <c r="B1651" i="19"/>
  <c r="B1552" i="19"/>
  <c r="G100" i="15"/>
  <c r="F100"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B1762" i="19" l="1"/>
  <c r="B1652" i="19"/>
  <c r="B1553" i="19"/>
  <c r="M24" i="24"/>
  <c r="J25" i="24"/>
  <c r="O25" i="24" s="1"/>
  <c r="J9" i="24"/>
  <c r="O9" i="24" s="1"/>
  <c r="P9" i="24" s="1"/>
  <c r="B1763" i="19" l="1"/>
  <c r="B1653" i="19"/>
  <c r="B1554" i="19"/>
  <c r="C1555" i="19"/>
  <c r="A4" i="24"/>
  <c r="A3" i="24"/>
  <c r="M58" i="24"/>
  <c r="J42" i="24"/>
  <c r="O42" i="24" s="1"/>
  <c r="P42" i="24" s="1"/>
  <c r="C1765" i="19" l="1"/>
  <c r="C1766" i="19" s="1"/>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2" i="19" s="1"/>
  <c r="B1764" i="19"/>
  <c r="B1654" i="19"/>
  <c r="C1655" i="19"/>
  <c r="J54" i="24"/>
  <c r="K54" i="24"/>
  <c r="B1555" i="19"/>
  <c r="K29" i="24"/>
  <c r="M68" i="24"/>
  <c r="J68" i="24"/>
  <c r="O54" i="24" l="1"/>
  <c r="P54" i="24" s="1"/>
  <c r="B1802" i="19"/>
  <c r="B1765" i="19"/>
  <c r="B1655" i="19"/>
  <c r="C1656" i="19"/>
  <c r="K55" i="24"/>
  <c r="K62" i="24"/>
  <c r="K65" i="24"/>
  <c r="B1556" i="19"/>
  <c r="J62" i="24"/>
  <c r="J65" i="24"/>
  <c r="C1804" i="19" l="1"/>
  <c r="B1803" i="19"/>
  <c r="K59" i="24"/>
  <c r="B1766" i="19"/>
  <c r="B1656" i="19"/>
  <c r="B1557" i="19"/>
  <c r="C1558" i="19"/>
  <c r="F108" i="15"/>
  <c r="F109" i="15"/>
  <c r="E109" i="15"/>
  <c r="E108" i="15"/>
  <c r="F98" i="15"/>
  <c r="F102" i="15" s="1"/>
  <c r="D102" i="15"/>
  <c r="B1804" i="19" l="1"/>
  <c r="B1767" i="19"/>
  <c r="B1657" i="19"/>
  <c r="B1558" i="19"/>
  <c r="C1559" i="19"/>
  <c r="E114" i="15"/>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805" i="19" l="1"/>
  <c r="B1768" i="19"/>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806" i="19" l="1"/>
  <c r="B1769" i="19"/>
  <c r="B1659" i="19"/>
  <c r="B1560" i="19"/>
  <c r="J33" i="12"/>
  <c r="L33" i="12" s="1"/>
  <c r="M33" i="12" s="1"/>
  <c r="G34" i="12"/>
  <c r="J25" i="12"/>
  <c r="L25" i="12" s="1"/>
  <c r="M25" i="12" s="1"/>
  <c r="B1807" i="19" l="1"/>
  <c r="B1770" i="19"/>
  <c r="M25" i="24"/>
  <c r="B1561" i="19"/>
  <c r="C1562" i="19"/>
  <c r="C1809" i="19" l="1"/>
  <c r="B1808" i="19"/>
  <c r="B1771" i="19"/>
  <c r="M26" i="24"/>
  <c r="M29" i="24" s="1"/>
  <c r="B1562" i="19"/>
  <c r="B1809" i="19" l="1"/>
  <c r="M54" i="24"/>
  <c r="M55" i="24" s="1"/>
  <c r="B1563" i="19"/>
  <c r="C1564" i="19"/>
  <c r="C1811" i="19" l="1"/>
  <c r="B1810" i="19"/>
  <c r="M62" i="24"/>
  <c r="M65" i="24"/>
  <c r="M59" i="24"/>
  <c r="B1564" i="19"/>
  <c r="R32" i="18"/>
  <c r="R30" i="18"/>
  <c r="B1811" i="19" l="1"/>
  <c r="C1812" i="19"/>
  <c r="B1772" i="19"/>
  <c r="B1565" i="19"/>
  <c r="J13" i="18"/>
  <c r="J24" i="18"/>
  <c r="M31" i="18"/>
  <c r="J31" i="18"/>
  <c r="R31" i="18" s="1"/>
  <c r="S33" i="18" s="1"/>
  <c r="R19" i="18"/>
  <c r="R50" i="18"/>
  <c r="R48" i="18"/>
  <c r="R45" i="18"/>
  <c r="S45" i="18" s="1"/>
  <c r="R44" i="18"/>
  <c r="R43" i="18"/>
  <c r="S43" i="18" s="1"/>
  <c r="R42" i="18"/>
  <c r="R41" i="18"/>
  <c r="S41" i="18" s="1"/>
  <c r="R38" i="18"/>
  <c r="C1813" i="19" l="1"/>
  <c r="B1812" i="19"/>
  <c r="B1773" i="19"/>
  <c r="B1566" i="19"/>
  <c r="J44" i="18"/>
  <c r="B1813" i="19" l="1"/>
  <c r="B1774" i="19"/>
  <c r="B1567" i="19"/>
  <c r="J42" i="18"/>
  <c r="J40" i="18"/>
  <c r="B1814" i="19" l="1"/>
  <c r="B1775" i="19"/>
  <c r="B1569" i="19"/>
  <c r="M32" i="18"/>
  <c r="C1816" i="19" l="1"/>
  <c r="B1815" i="19"/>
  <c r="B1776" i="19"/>
  <c r="J47" i="18"/>
  <c r="J45" i="18"/>
  <c r="B1816" i="19" l="1"/>
  <c r="C1817" i="19"/>
  <c r="B1777" i="19"/>
  <c r="J16" i="18"/>
  <c r="C1818" i="19" l="1"/>
  <c r="B1817" i="19"/>
  <c r="B1778" i="19"/>
  <c r="J48" i="18"/>
  <c r="J43" i="18"/>
  <c r="J19" i="18"/>
  <c r="B1818" i="19" l="1"/>
  <c r="B1779" i="19"/>
  <c r="K48" i="18"/>
  <c r="K43" i="18"/>
  <c r="K41" i="18"/>
  <c r="K38" i="18"/>
  <c r="K31" i="18"/>
  <c r="K13" i="18"/>
  <c r="B1819" i="19" l="1"/>
  <c r="B1780" i="19"/>
  <c r="M45" i="18"/>
  <c r="M44" i="18"/>
  <c r="M43" i="18"/>
  <c r="M42" i="18"/>
  <c r="M41" i="18"/>
  <c r="M38" i="18"/>
  <c r="M19" i="18"/>
  <c r="M13" i="18"/>
  <c r="B1820" i="19" l="1"/>
  <c r="C1821" i="19"/>
  <c r="B1781" i="19"/>
  <c r="J15" i="24"/>
  <c r="O15" i="24" s="1"/>
  <c r="P15" i="24" s="1"/>
  <c r="J34" i="12"/>
  <c r="L34" i="12" s="1"/>
  <c r="M34" i="12" s="1"/>
  <c r="C1822" i="19" l="1"/>
  <c r="B1821" i="19"/>
  <c r="B1782" i="19"/>
  <c r="J26" i="24"/>
  <c r="O26" i="24" s="1"/>
  <c r="P26" i="24" s="1"/>
  <c r="H16" i="5"/>
  <c r="J56" i="5"/>
  <c r="J49" i="5"/>
  <c r="J16" i="5"/>
  <c r="J23" i="5"/>
  <c r="G98" i="15"/>
  <c r="G102" i="15" s="1"/>
  <c r="C1823" i="19" l="1"/>
  <c r="B1822" i="19"/>
  <c r="B1783" i="19"/>
  <c r="J29" i="24"/>
  <c r="O29" i="24" s="1"/>
  <c r="P29" i="24" s="1"/>
  <c r="J58" i="5"/>
  <c r="J25" i="5"/>
  <c r="J35" i="5" s="1"/>
  <c r="G71" i="6"/>
  <c r="B1823" i="19" l="1"/>
  <c r="B1784" i="19"/>
  <c r="J55" i="24"/>
  <c r="O55" i="24" s="1"/>
  <c r="P55" i="24" s="1"/>
  <c r="B1824" i="19" l="1"/>
  <c r="C1825" i="19"/>
  <c r="B1785" i="19"/>
  <c r="J59" i="24"/>
  <c r="O59" i="24" s="1"/>
  <c r="G68" i="15"/>
  <c r="F38" i="15"/>
  <c r="F45" i="15" s="1"/>
  <c r="D38" i="15"/>
  <c r="B1825" i="19" l="1"/>
  <c r="C1826" i="19"/>
  <c r="B1786" i="19"/>
  <c r="G572" i="19"/>
  <c r="G571" i="19"/>
  <c r="B1826" i="19" l="1"/>
  <c r="B1787" i="19"/>
  <c r="G629" i="19"/>
  <c r="J18" i="18"/>
  <c r="O18" i="18" s="1"/>
  <c r="M53" i="18"/>
  <c r="M22" i="18"/>
  <c r="M39" i="18" s="1"/>
  <c r="M21" i="18"/>
  <c r="M15" i="18"/>
  <c r="M63" i="18"/>
  <c r="J55" i="12"/>
  <c r="B1827" i="19" l="1"/>
  <c r="B1788" i="19"/>
  <c r="M23" i="18"/>
  <c r="M26" i="18" s="1"/>
  <c r="M49" i="18"/>
  <c r="J26" i="12"/>
  <c r="J28" i="12" s="1"/>
  <c r="J57" i="12" s="1"/>
  <c r="J69" i="12" s="1"/>
  <c r="G65" i="6"/>
  <c r="C8" i="6"/>
  <c r="H8" i="3"/>
  <c r="B1828" i="19" l="1"/>
  <c r="B1789" i="19"/>
  <c r="J8" i="3"/>
  <c r="J11" i="18"/>
  <c r="O11" i="18" s="1"/>
  <c r="H76" i="3"/>
  <c r="I76" i="3"/>
  <c r="J72" i="12"/>
  <c r="M60" i="18"/>
  <c r="M57" i="18"/>
  <c r="M50" i="18"/>
  <c r="M54" i="18" s="1"/>
  <c r="O17" i="18"/>
  <c r="B1829" i="19" l="1"/>
  <c r="C1830" i="19"/>
  <c r="B1790" i="19"/>
  <c r="B1830" i="19" l="1"/>
  <c r="B1791" i="19"/>
  <c r="O47" i="23"/>
  <c r="O45" i="23"/>
  <c r="O42" i="23"/>
  <c r="O36" i="23"/>
  <c r="O35" i="23"/>
  <c r="O32" i="23"/>
  <c r="M31" i="23"/>
  <c r="O24" i="23"/>
  <c r="O18" i="23"/>
  <c r="O17" i="23"/>
  <c r="O16" i="23"/>
  <c r="O15" i="23"/>
  <c r="O14" i="23"/>
  <c r="O13" i="23"/>
  <c r="O10" i="23"/>
  <c r="O9" i="23"/>
  <c r="J34" i="23"/>
  <c r="O34" i="23" s="1"/>
  <c r="M41" i="23"/>
  <c r="O41" i="23" s="1"/>
  <c r="J41" i="23"/>
  <c r="J43" i="23"/>
  <c r="M39" i="23"/>
  <c r="O39" i="23" s="1"/>
  <c r="J39" i="23"/>
  <c r="J35" i="23"/>
  <c r="J33" i="23"/>
  <c r="O33" i="23" s="1"/>
  <c r="M30" i="23"/>
  <c r="O30" i="23" s="1"/>
  <c r="B1831" i="19" l="1"/>
  <c r="B1792" i="19"/>
  <c r="J29" i="23"/>
  <c r="B1832" i="19" l="1"/>
  <c r="B1793" i="19"/>
  <c r="O29" i="23"/>
  <c r="J31" i="23"/>
  <c r="O31" i="23" s="1"/>
  <c r="J46" i="23"/>
  <c r="O46" i="23" s="1"/>
  <c r="J44" i="23"/>
  <c r="O44" i="23" s="1"/>
  <c r="M43" i="23"/>
  <c r="O43" i="23" s="1"/>
  <c r="B1833" i="19" l="1"/>
  <c r="B1794" i="19"/>
  <c r="M37" i="23"/>
  <c r="J37" i="23"/>
  <c r="C1835" i="19" l="1"/>
  <c r="B1834" i="19"/>
  <c r="B1795" i="19"/>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4" i="15"/>
  <c r="E35" i="15"/>
  <c r="B1835" i="19" l="1"/>
  <c r="C1836" i="19"/>
  <c r="B1796" i="19"/>
  <c r="O12" i="23"/>
  <c r="P12" i="23" s="1"/>
  <c r="O38" i="23"/>
  <c r="O52" i="23"/>
  <c r="M48" i="23"/>
  <c r="O22" i="23"/>
  <c r="P38" i="23"/>
  <c r="P31" i="23"/>
  <c r="P37" i="23"/>
  <c r="P40" i="23"/>
  <c r="J22" i="23"/>
  <c r="J25" i="23" s="1"/>
  <c r="K48" i="23"/>
  <c r="K22" i="23"/>
  <c r="K25" i="23" s="1"/>
  <c r="P13" i="23"/>
  <c r="P30" i="23"/>
  <c r="J48" i="23"/>
  <c r="M22" i="23"/>
  <c r="M25" i="23" s="1"/>
  <c r="O21" i="23"/>
  <c r="B1836" i="19" l="1"/>
  <c r="B1797" i="19"/>
  <c r="O48" i="23"/>
  <c r="K49" i="23"/>
  <c r="K53" i="23" s="1"/>
  <c r="O25" i="23"/>
  <c r="P25" i="23" s="1"/>
  <c r="J49" i="23"/>
  <c r="M49" i="23"/>
  <c r="M53" i="23" s="1"/>
  <c r="P9" i="23"/>
  <c r="P22" i="23"/>
  <c r="P48" i="23"/>
  <c r="B1837" i="19" l="1"/>
  <c r="B1798" i="19"/>
  <c r="O49" i="23"/>
  <c r="P49" i="23" s="1"/>
  <c r="J53" i="23"/>
  <c r="O53" i="23" s="1"/>
  <c r="B1838" i="19" l="1"/>
  <c r="B1799" i="19"/>
  <c r="J14" i="18"/>
  <c r="C1840" i="19" l="1"/>
  <c r="B1839" i="19"/>
  <c r="B1800" i="19"/>
  <c r="B1840" i="19" l="1"/>
  <c r="B1801" i="19"/>
  <c r="G43" i="15"/>
  <c r="G42" i="15"/>
  <c r="G41" i="15"/>
  <c r="G40" i="15"/>
  <c r="G39" i="15"/>
  <c r="G38" i="15"/>
  <c r="G37" i="15"/>
  <c r="G36" i="15"/>
  <c r="E45" i="15"/>
  <c r="C45" i="15"/>
  <c r="C1842" i="19" l="1"/>
  <c r="B1841" i="19"/>
  <c r="N526" i="19"/>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B1842" i="19" l="1"/>
  <c r="N589" i="19"/>
  <c r="N590" i="19" s="1"/>
  <c r="N591" i="19" s="1"/>
  <c r="N592" i="19" s="1"/>
  <c r="N593" i="19" s="1"/>
  <c r="N594" i="19" s="1"/>
  <c r="N595" i="19" s="1"/>
  <c r="N596" i="19" s="1"/>
  <c r="B1844" i="19" l="1"/>
  <c r="B1843" i="19"/>
  <c r="D51" i="6"/>
  <c r="G626" i="19" l="1"/>
  <c r="G627" i="19" l="1"/>
  <c r="G631" i="19" s="1"/>
  <c r="G634"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M66" i="12"/>
  <c r="O24" i="18" l="1"/>
  <c r="P24" i="18" s="1"/>
  <c r="O44" i="18"/>
  <c r="P44" i="18" s="1"/>
  <c r="O43" i="18"/>
  <c r="P43" i="18" s="1"/>
  <c r="O42" i="18"/>
  <c r="P42" i="18" s="1"/>
  <c r="G67" i="6" l="1"/>
  <c r="G40" i="6" l="1"/>
  <c r="E16" i="15"/>
  <c r="A4" i="18" l="1"/>
  <c r="G51" i="22" l="1"/>
  <c r="G47" i="22"/>
  <c r="G46" i="22"/>
  <c r="G28" i="22"/>
  <c r="G13" i="22"/>
  <c r="G20" i="22"/>
  <c r="G34" i="22" l="1"/>
  <c r="G53" i="22" l="1"/>
  <c r="G55" i="22" s="1"/>
  <c r="L31" i="5" l="1"/>
  <c r="G45" i="15" l="1"/>
  <c r="H44" i="15" l="1"/>
  <c r="H42" i="15"/>
  <c r="H39" i="15"/>
  <c r="H35" i="15"/>
  <c r="H43" i="15"/>
  <c r="H41" i="15"/>
  <c r="H38" i="15"/>
  <c r="H36" i="15"/>
  <c r="O32" i="18" l="1"/>
  <c r="P32" i="18" s="1"/>
  <c r="D14" i="6" l="1"/>
  <c r="D45" i="15" l="1"/>
  <c r="J22" i="18" l="1"/>
  <c r="K22" i="18"/>
  <c r="K39" i="18" s="1"/>
  <c r="K21" i="18"/>
  <c r="K63" i="18"/>
  <c r="K15" i="18"/>
  <c r="K8" i="18"/>
  <c r="K49" i="18" l="1"/>
  <c r="K53" i="18"/>
  <c r="J39" i="18"/>
  <c r="J49" i="18" s="1"/>
  <c r="K23" i="18"/>
  <c r="K57" i="18" l="1"/>
  <c r="K60" i="18"/>
  <c r="D44" i="6" l="1"/>
  <c r="G13" i="6"/>
  <c r="H12" i="3" l="1"/>
  <c r="A3" i="21"/>
  <c r="J12" i="3" l="1"/>
  <c r="G12" i="3"/>
  <c r="H45" i="15"/>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G47" i="6"/>
  <c r="E84" i="15" l="1"/>
  <c r="D32" i="6" l="1"/>
  <c r="D73" i="6" s="1"/>
  <c r="J21" i="18" l="1"/>
  <c r="O21" i="18" s="1"/>
  <c r="G8" i="12" l="1"/>
  <c r="J8" i="12" s="1"/>
  <c r="M8" i="24" l="1"/>
  <c r="J8" i="24"/>
  <c r="E85" i="15"/>
  <c r="B323" i="19" l="1"/>
  <c r="K26" i="18" l="1"/>
  <c r="K50" i="18" s="1"/>
  <c r="K54" i="18" s="1"/>
  <c r="O22" i="18"/>
  <c r="J63" i="18" l="1"/>
  <c r="J8" i="18"/>
  <c r="J53" i="18"/>
  <c r="O53" i="18" s="1"/>
  <c r="O9" i="18" l="1"/>
  <c r="P9" i="18" s="1"/>
  <c r="O39" i="18"/>
  <c r="P39" i="18" s="1"/>
  <c r="J57" i="18" l="1"/>
  <c r="O49" i="18"/>
  <c r="P49" i="18" s="1"/>
  <c r="J60" i="18"/>
  <c r="M8" i="18"/>
  <c r="G55" i="12" l="1"/>
  <c r="G26" i="12"/>
  <c r="L26" i="12" s="1"/>
  <c r="J15" i="18"/>
  <c r="O15" i="18" s="1"/>
  <c r="P15" i="18" s="1"/>
  <c r="M26" i="12" l="1"/>
  <c r="O23" i="18"/>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12"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F110" i="15" l="1"/>
  <c r="F114" i="15" s="1"/>
  <c r="G58" i="6" l="1"/>
  <c r="C51" i="6"/>
  <c r="G51" i="6" s="1"/>
  <c r="C44" i="6"/>
  <c r="G17" i="6"/>
  <c r="G18" i="6" l="1"/>
  <c r="D114" i="15"/>
  <c r="G112" i="15"/>
  <c r="G110" i="15"/>
  <c r="G107" i="15" l="1"/>
  <c r="G106" i="15" l="1"/>
  <c r="G108" i="15" l="1"/>
  <c r="G62"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6" i="5" l="1"/>
  <c r="L49" i="5"/>
  <c r="L16" i="5"/>
  <c r="L58" i="5" l="1"/>
  <c r="G43" i="6"/>
  <c r="J80" i="3" s="1"/>
  <c r="H80" i="3" l="1"/>
  <c r="K80" i="3" s="1"/>
  <c r="E14" i="15"/>
  <c r="L23" i="5" l="1"/>
  <c r="L25" i="5" s="1"/>
  <c r="L35" i="5" s="1"/>
  <c r="H56" i="5"/>
  <c r="L69" i="5" l="1"/>
  <c r="D210" i="6" l="1"/>
  <c r="D211" i="6"/>
  <c r="D212" i="6"/>
  <c r="F210" i="6" l="1"/>
  <c r="G31" i="6" l="1"/>
  <c r="G60" i="6"/>
  <c r="G50" i="6"/>
  <c r="H25" i="3" s="1"/>
  <c r="G25" i="3" s="1"/>
  <c r="H34" i="3" l="1"/>
  <c r="H15" i="3"/>
  <c r="G34" i="3"/>
  <c r="N214" i="6"/>
  <c r="M214" i="6"/>
  <c r="L214" i="6"/>
  <c r="K214" i="6"/>
  <c r="J214" i="6"/>
  <c r="I214" i="6"/>
  <c r="H214" i="6"/>
  <c r="G214" i="6"/>
  <c r="G15" i="3" l="1"/>
  <c r="J15" i="3"/>
  <c r="C56" i="6"/>
  <c r="F27" i="6"/>
  <c r="C32" i="6"/>
  <c r="C213" i="6" l="1"/>
  <c r="G54" i="6" l="1"/>
  <c r="G55" i="6"/>
  <c r="G56" i="6" l="1"/>
  <c r="G20" i="6" l="1"/>
  <c r="C14" i="6"/>
  <c r="C73" i="6" s="1"/>
  <c r="G12" i="6"/>
  <c r="L28" i="12" l="1"/>
  <c r="M28" i="12" s="1"/>
  <c r="L55" i="12" l="1"/>
  <c r="M55" i="12" s="1"/>
  <c r="G28" i="12" l="1"/>
  <c r="G57" i="12" l="1"/>
  <c r="G69" i="12" s="1"/>
  <c r="J64" i="5" l="1"/>
  <c r="J66" i="5" s="1"/>
  <c r="L64" i="5"/>
  <c r="L57" i="12"/>
  <c r="M57" i="12" s="1"/>
  <c r="L66" i="5" l="1"/>
  <c r="L72" i="5" s="1"/>
  <c r="C211" i="6" l="1"/>
  <c r="G39" i="6"/>
  <c r="G32" i="6"/>
  <c r="G11" i="6"/>
  <c r="E12" i="15" l="1"/>
  <c r="D214" i="6"/>
  <c r="G14" i="6"/>
  <c r="G27" i="6"/>
  <c r="E13" i="15" l="1"/>
  <c r="G73" i="6"/>
  <c r="F214" i="6"/>
  <c r="H62" i="5" l="1"/>
  <c r="H64" i="5" l="1"/>
  <c r="G72" i="12"/>
  <c r="L67" i="12"/>
  <c r="M67" i="12" s="1"/>
  <c r="G109" i="15"/>
  <c r="G114" i="15" s="1"/>
  <c r="L69" i="12" l="1"/>
  <c r="G7" i="6"/>
  <c r="H10" i="3" s="1"/>
  <c r="G10" i="3" s="1"/>
  <c r="G35" i="3" s="1"/>
  <c r="H35" i="3" l="1"/>
  <c r="C212" i="6"/>
  <c r="G8" i="6"/>
  <c r="H19" i="5" s="1"/>
  <c r="H23" i="5" s="1"/>
  <c r="J85" i="3" l="1"/>
  <c r="C75" i="6"/>
  <c r="J84" i="3"/>
  <c r="J10" i="3"/>
  <c r="J35" i="3" s="1"/>
  <c r="I35" i="3"/>
  <c r="E11" i="15"/>
  <c r="E18" i="15" s="1"/>
  <c r="C210" i="6"/>
  <c r="C214" i="6" s="1"/>
  <c r="J86" i="3" l="1"/>
  <c r="E75" i="6"/>
  <c r="F75" i="6"/>
  <c r="D75" i="6"/>
  <c r="G75" i="6"/>
  <c r="F17" i="15"/>
  <c r="F15" i="15"/>
  <c r="F14" i="15"/>
  <c r="F13" i="15"/>
  <c r="F12" i="15"/>
  <c r="F11" i="15"/>
  <c r="F16" i="15"/>
  <c r="C102" i="6"/>
  <c r="H25" i="5"/>
  <c r="H35" i="5" s="1"/>
  <c r="F18" i="15" l="1"/>
  <c r="H48" i="5" l="1"/>
  <c r="H49" i="5" s="1"/>
  <c r="H58" i="5" l="1"/>
  <c r="H69" i="5" s="1"/>
  <c r="H66" i="5" l="1"/>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7"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6.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7.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<sst xmlns="http://schemas.openxmlformats.org/spreadsheetml/2006/main" count="1207" uniqueCount="639">
  <si>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</si>
  <si>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</si>
  <si>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</si>
  <si>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</si>
  <si>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</si>
  <si>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</si>
  <si>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</si>
  <si>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</si>
  <si>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</si>
  <si>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</si>
  <si>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</si>
  <si>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</si>
  <si>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</si>
  <si>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</si>
  <si>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</si>
  <si>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</si>
  <si>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</si>
  <si>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</si>
  <si>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</si>
  <si>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</si>
  <si>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</si>
  <si>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</si>
  <si>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</si>
  <si>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</si>
  <si>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</si>
  <si>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</si>
  <si>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</si>
  <si>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</si>
  <si>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</si>
  <si>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</si>
  <si>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</si>
  <si>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</si>
  <si>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</si>
  <si>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</si>
  <si>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</si>
  <si>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</si>
  <si>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</si>
  <si>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</si>
  <si>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</si>
  <si>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</si>
  <si>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</si>
  <si>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</si>
  <si>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</si>
  <si>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</si>
  <si>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</si>
  <si>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</si>
  <si>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</si>
  <si>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</si>
  <si>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</si>
  <si>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</si>
  <si>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</si>
  <si>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</si>
  <si>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</si>
  <si>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</si>
  <si>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</si>
  <si>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</si>
  <si>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</si>
  <si>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</si>
  <si>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</si>
  <si>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</si>
  <si>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</si>
  <si>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</si>
  <si>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</si>
  <si>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</si>
  <si>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</si>
  <si>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</si>
  <si>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</si>
  <si>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</si>
  <si>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</si>
  <si>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</si>
  <si>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</si>
  <si>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</si>
  <si>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</si>
  <si>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</si>
  <si>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</si>
  <si>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</si>
  <si>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</si>
  <si>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</si>
  <si>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</si>
  <si>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</si>
  <si>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</si>
  <si>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</si>
  <si>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</si>
  <si>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</si>
  <si>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</si>
  <si>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</si>
  <si>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</si>
  <si>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</si>
  <si>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</si>
  <si>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</si>
  <si>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</si>
  <si>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</si>
  <si>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</si>
  <si>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</si>
  <si>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</si>
  <si>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</si>
  <si>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</si>
  <si>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</si>
  <si>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</si>
  <si>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</si>
  <si>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</si>
  <si>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</si>
  <si>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</si>
  <si>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</si>
  <si>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</si>
  <si>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</si>
  <si>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</si>
  <si>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</si>
  <si>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</si>
  <si>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</si>
  <si>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</si>
  <si>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</si>
  <si>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</si>
  <si>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</si>
  <si>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</si>
  <si>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</si>
  <si>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</si>
  <si>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</si>
  <si>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</si>
  <si>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</si>
  <si>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</si>
  <si>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</si>
  <si>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</si>
  <si>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</si>
  <si>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</si>
  <si>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</si>
  <si>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</si>
  <si>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</si>
  <si>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</si>
  <si>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</si>
  <si>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</si>
  <si>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</si>
  <si>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</si>
  <si>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</si>
  <si>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</si>
  <si>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</si>
  <si>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</si>
  <si>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</si>
  <si>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</si>
  <si>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</si>
  <si>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</si>
  <si>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</si>
  <si>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</si>
  <si>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</si>
  <si>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</si>
  <si>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</si>
  <si>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</si>
  <si>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</si>
  <si>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</si>
  <si>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</si>
  <si>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</si>
  <si>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</si>
  <si>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</si>
  <si>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</si>
  <si>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</si>
  <si>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</si>
  <si>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</si>
  <si>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</si>
  <si>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</si>
  <si>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</si>
  <si>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</si>
  <si>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</si>
  <si>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</si>
  <si>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</si>
  <si>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</si>
  <si>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</si>
  <si>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</si>
  <si>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</si>
  <si>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</si>
  <si>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</si>
  <si>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</si>
  <si>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</si>
  <si>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</si>
  <si>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</si>
  <si>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</si>
  <si>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</si>
  <si>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</si>
  <si>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</si>
  <si>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</si>
  <si>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</si>
  <si>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</si>
  <si>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</si>
  <si>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</si>
  <si>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</si>
  <si>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</si>
  <si>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</si>
  <si>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</si>
  <si>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</si>
  <si>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</si>
  <si>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</si>
  <si>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</si>
  <si>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</si>
  <si>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</si>
  <si>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</si>
  <si>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</si>
  <si>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</si>
  <si>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</si>
  <si>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</si>
  <si>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</si>
  <si>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</si>
  <si>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</si>
  <si>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</si>
  <si>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</si>
  <si>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</si>
  <si>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</si>
  <si>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</si>
  <si>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</si>
  <si>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</si>
  <si>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</si>
  <si>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</si>
  <si>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</si>
  <si>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</si>
  <si>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</si>
  <si>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</si>
  <si>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</si>
  <si>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</si>
  <si>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</si>
  <si>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</si>
  <si>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</si>
  <si>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</si>
  <si>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</si>
  <si>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</si>
  <si>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</si>
  <si>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</si>
  <si>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</si>
  <si>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</si>
  <si>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</si>
  <si>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</si>
  <si>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</si>
  <si>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</si>
  <si>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</si>
  <si>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</si>
  <si>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</si>
  <si>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</si>
  <si>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</si>
  <si>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</si>
  <si>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</si>
  <si>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</si>
  <si>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</si>
  <si>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</si>
  <si>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</si>
  <si>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</si>
  <si>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</si>
  <si>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</si>
  <si>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</si>
  <si>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</si>
  <si>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</si>
  <si>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</si>
  <si>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</si>
  <si>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</si>
  <si>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</si>
  <si>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</si>
  <si>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</si>
  <si>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</si>
  <si>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</si>
  <si>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</si>
  <si>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</si>
  <si>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</si>
  <si>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</si>
  <si>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</si>
  <si>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</si>
  <si>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</si>
  <si>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</si>
  <si>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</si>
  <si>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</si>
  <si>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</si>
  <si>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</si>
  <si>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</si>
  <si>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</si>
  <si>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</si>
  <si>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</si>
  <si>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</si>
  <si>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</si>
  <si>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</si>
  <si>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</si>
  <si>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</si>
  <si>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</si>
  <si>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</si>
  <si>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</si>
  <si>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</si>
  <si>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</si>
  <si>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</si>
  <si>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</si>
  <si>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</si>
  <si>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</si>
  <si>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</si>
  <si>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</si>
  <si>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</si>
  <si>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</si>
  <si>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</si>
  <si>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</si>
  <si>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</si>
  <si>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</si>
  <si>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</si>
  <si>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</si>
  <si>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</si>
  <si>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</si>
  <si>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</si>
  <si>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</si>
  <si>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</si>
  <si>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</si>
  <si>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</si>
  <si>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</si>
  <si>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</si>
  <si>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</si>
  <si>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</si>
  <si>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</si>
  <si>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</si>
  <si>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</si>
  <si>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</si>
  <si>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</si>
  <si>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</si>
  <si>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</si>
  <si>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</si>
  <si>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</si>
  <si>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</si>
  <si>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</si>
  <si>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</si>
  <si>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</si>
  <si>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</si>
  <si>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</si>
  <si>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</si>
  <si>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</si>
  <si>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</si>
  <si>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</si>
  <si>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</si>
  <si>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</si>
  <si>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</si>
  <si>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</si>
  <si>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</si>
  <si>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</si>
  <si>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</si>
  <si>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</si>
  <si>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</si>
  <si>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</si>
  <si>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</si>
  <si>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</si>
  <si>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</si>
  <si>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</si>
  <si>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</si>
  <si>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</si>
  <si>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</si>
  <si>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</si>
  <si>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</si>
  <si>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</si>
  <si>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</si>
  <si>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</si>
  <si>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</si>
  <si>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</si>
  <si>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</si>
  <si>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</si>
  <si>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</si>
  <si>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</si>
  <si>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</si>
  <si>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</si>
  <si>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</si>
  <si>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</si>
  <si>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</si>
  <si>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</si>
  <si>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</si>
  <si>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</si>
  <si>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</si>
  <si>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</si>
  <si>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East Coast Riders, Inc</t>
  </si>
  <si>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</si>
  <si>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</si>
  <si>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</si>
  <si>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</si>
  <si>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</si>
  <si>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</si>
  <si>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</si>
  <si>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</si>
  <si>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</si>
  <si>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</si>
  <si>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</si>
  <si>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</si>
  <si>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</si>
  <si>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</si>
  <si>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</si>
  <si>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</si>
  <si>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</si>
  <si>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</si>
  <si>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</si>
  <si>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</si>
  <si>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</si>
  <si>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</si>
  <si>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</si>
  <si>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</si>
  <si>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</si>
  <si>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</si>
  <si>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</si>
  <si>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</si>
  <si>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</si>
  <si>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</si>
  <si>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</si>
  <si>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</si>
  <si>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</si>
  <si>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 xml:space="preserve">Community Foundation of the Hudson Valley </t>
  </si>
  <si>
    <r>
      <t xml:space="preserve">General Operating Support  </t>
    </r>
    <r>
      <rPr>
        <b/>
        <sz val="11"/>
        <color rgb="FFFF0000"/>
        <rFont val="Arial"/>
        <family val="2"/>
      </rPr>
      <t>(NEW)</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</si>
  <si>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</si>
  <si>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</si>
  <si>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</si>
  <si>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</si>
  <si>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</si>
  <si>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</si>
  <si>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</si>
  <si>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</si>
  <si>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</si>
  <si>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</si>
  <si>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</si>
  <si>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</si>
  <si>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</si>
  <si>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</si>
  <si>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</si>
  <si>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</si>
  <si>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</si>
  <si>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</si>
  <si>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</si>
  <si>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</si>
  <si>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</si>
  <si>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</si>
  <si>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</si>
  <si>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</si>
  <si>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</si>
  <si>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</si>
  <si>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</si>
  <si>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</si>
  <si>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</si>
  <si>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</si>
  <si>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</si>
  <si>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r>
      <t xml:space="preserve">Greene County DSS </t>
    </r>
    <r>
      <rPr>
        <sz val="10"/>
        <color theme="1"/>
        <rFont val="Arial"/>
        <family val="2"/>
      </rPr>
      <t xml:space="preserve">(HEAP Program ) </t>
    </r>
  </si>
  <si>
    <t xml:space="preserve">Transportation Clients  </t>
  </si>
  <si>
    <r>
      <t>Medicare Improvements-Patients &amp; Providers (MIPPA)</t>
    </r>
    <r>
      <rPr>
        <b/>
        <sz val="10"/>
        <color rgb="FFFF0000"/>
        <rFont val="Arial"/>
        <family val="2"/>
      </rPr>
      <t xml:space="preserve"> </t>
    </r>
  </si>
  <si>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</si>
  <si>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</si>
  <si>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Columbia County </t>
  </si>
  <si>
    <t>NY Connects E&amp;EP         04/21 to 03/22</t>
  </si>
  <si>
    <r>
      <t>HEALing Communities Study -</t>
    </r>
    <r>
      <rPr>
        <sz val="10"/>
        <color theme="1"/>
        <rFont val="Arial"/>
        <family val="2"/>
      </rPr>
      <t>Community Impact Dollars</t>
    </r>
  </si>
  <si>
    <t>Community Foundation of the Hudson Valley</t>
  </si>
  <si>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</si>
  <si>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</si>
  <si>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</si>
  <si>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</si>
  <si>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</si>
  <si>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</si>
  <si>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</si>
  <si>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</si>
  <si>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</si>
  <si>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</si>
  <si>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Total HEALing Community Study</t>
  </si>
  <si>
    <t>CC Dept of Health: HEALing Community Impact $</t>
  </si>
  <si>
    <t>Total OFA-NY Connects</t>
  </si>
  <si>
    <t>Columbia Memorial Health - Transportation</t>
  </si>
  <si>
    <t>Agreement</t>
  </si>
  <si>
    <t>NYSDOH 07/21 to 06/22 - Year#3 of 5</t>
  </si>
  <si>
    <t xml:space="preserve">NY Connects Expansion &amp; Enhancement Program </t>
  </si>
  <si>
    <t>QuickBooks AR at 08/31/2021</t>
  </si>
  <si>
    <t>Foundation Revenue - FCH, Dyson, Rip Van Winkle</t>
  </si>
  <si>
    <t>Rural Health Network - 3rd Qrt Voucher</t>
  </si>
  <si>
    <t>In Person Assistors &amp; Navigators- Yr#3 of 5</t>
  </si>
  <si>
    <t xml:space="preserve">General Operating Support </t>
  </si>
  <si>
    <t>Tobacco Yr#3 - Sept 2021 Voucher</t>
  </si>
  <si>
    <t>HEALing Communities Impact Dollars -  2021 Voucher</t>
  </si>
  <si>
    <t xml:space="preserve">Tobacco Free Communities Grant - Yr#3 of 5 </t>
  </si>
  <si>
    <t>Columbia County BOS 2022 Budget Appropriation</t>
  </si>
  <si>
    <t>Columbia County Departments 2022 Donations (CARTS)</t>
  </si>
  <si>
    <t>Collaborative Community Health Planning Jan'22-Dec'22</t>
  </si>
  <si>
    <t xml:space="preserve">Ancram/Copake Prescription Access (2021) </t>
  </si>
  <si>
    <t>Foundation Revenue-Community Foundation of the Hudson Valley</t>
  </si>
  <si>
    <t xml:space="preserve">Add Back Deprecation </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</si>
  <si>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</si>
  <si>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</si>
  <si>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</si>
  <si>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</si>
  <si>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Ancram/Copake Prescription Access (2022) </t>
  </si>
  <si>
    <t>Balance as of 01/01/2022</t>
  </si>
  <si>
    <t xml:space="preserve">County Government - 2022 </t>
  </si>
  <si>
    <t xml:space="preserve">County Departments - 2022 </t>
  </si>
  <si>
    <t xml:space="preserve">Columbia Memorial Hospital </t>
  </si>
  <si>
    <t xml:space="preserve">Columbia County BOS 2021 Restore </t>
  </si>
  <si>
    <t>Capped @  $15,000</t>
  </si>
  <si>
    <t>MIPPA                              04/22 to 8/22</t>
  </si>
  <si>
    <t>NY Connects E&amp;EP         04/22 to 03/23</t>
  </si>
  <si>
    <t>Greene County Public Health Department</t>
  </si>
  <si>
    <t>RHN Program - Jan - Mar 2022 Voucher</t>
  </si>
  <si>
    <t>County Government - 2021</t>
  </si>
  <si>
    <t>Greene County Public Health</t>
  </si>
  <si>
    <t>Grants Receivable</t>
  </si>
  <si>
    <t xml:space="preserve">NYS Assocaition for Rural Health </t>
  </si>
  <si>
    <t>Transportation - Other: CMH, Greene Cty</t>
  </si>
  <si>
    <t>NYSDOH 07/22 to 06/23 - Year#4 of 5</t>
  </si>
  <si>
    <t>NYSDOH 08/21 to 07/22 - Year#3 of 5</t>
  </si>
  <si>
    <t>NYSDOH 08/22 to 07/23 - Year#4 of 5</t>
  </si>
  <si>
    <t>Total funds pending on NYS SFS Website</t>
  </si>
  <si>
    <t>Vehicle Lease Liability</t>
  </si>
  <si>
    <t>Depreciation &amp; Amortization</t>
  </si>
  <si>
    <t>Interest Expense</t>
  </si>
  <si>
    <t>Depreciation &amp; Amortization -Vehicles</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</si>
  <si>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2023.  </t>
    </r>
  </si>
  <si>
    <t>Agency</t>
  </si>
  <si>
    <t>Enterprise Fleet</t>
  </si>
  <si>
    <t>NYSARH 04/22 to 3/23 - $15,310</t>
  </si>
  <si>
    <t>Columbia County Office for the Aging-Senior Transportation</t>
  </si>
  <si>
    <t>RHN - 3rd Quarter Voucher</t>
  </si>
  <si>
    <r>
      <t xml:space="preserve">Greene County DSS </t>
    </r>
    <r>
      <rPr>
        <sz val="10"/>
        <color theme="1"/>
        <rFont val="Arial"/>
        <family val="2"/>
      </rPr>
      <t>(HEAP Program )</t>
    </r>
    <r>
      <rPr>
        <b/>
        <sz val="10"/>
        <color rgb="FFFF0000"/>
        <rFont val="Arial"/>
        <family val="2"/>
      </rPr>
      <t xml:space="preserve">  </t>
    </r>
  </si>
  <si>
    <t xml:space="preserve">General Operating Support (12-Months) </t>
  </si>
  <si>
    <t>Ten Months Ended October 31, 2022 and 2021</t>
  </si>
  <si>
    <t>Operating Budget</t>
  </si>
  <si>
    <t>For the Year Ended December 31, 2023</t>
  </si>
  <si>
    <t>Operating Budget - December 31, 2023</t>
  </si>
  <si>
    <t xml:space="preserve"> Projections - December 31, 2022</t>
  </si>
  <si>
    <t>2023 Operating Budget Assumptions</t>
  </si>
  <si>
    <t>General:</t>
  </si>
  <si>
    <t>NYS DOH existing contracts remain at the current contracted budget amount and we collect 100% of what we expend</t>
  </si>
  <si>
    <t>CARTS related:</t>
  </si>
  <si>
    <t>Program expenses increase due to wage increases for drivers and office staff, lease arrangement with Enterprise Fleet Management.</t>
  </si>
  <si>
    <t>Medicaid revenue for 2023 stays consistent with revenue levels experienced in 2022 year.</t>
  </si>
  <si>
    <t>For the Years Ended December 31, 2018, 2019, 2020, 2021, 2022</t>
  </si>
  <si>
    <t>Foundation Revenue</t>
  </si>
  <si>
    <t>Less: Revenue for New Vehicles</t>
  </si>
  <si>
    <t>Total Revenue after new Vehicles</t>
  </si>
  <si>
    <t>Variable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</si>
  <si>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</si>
  <si>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</si>
  <si>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</si>
  <si>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</si>
  <si>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</si>
  <si>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</si>
  <si>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</si>
  <si>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</si>
  <si>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</si>
  <si>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</si>
  <si>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</si>
  <si>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</si>
  <si>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</si>
  <si>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</si>
  <si>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</si>
  <si>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</si>
  <si>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</si>
  <si>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</si>
  <si>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</si>
  <si>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</si>
  <si>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</si>
  <si>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</si>
  <si>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t>Transportation Program Assistant (Part-time) hired Jan 01, 2023</t>
  </si>
  <si>
    <t xml:space="preserve"> RHN Program Coordinator (Full-time) hired Jan 01, 2023</t>
  </si>
  <si>
    <t>Director of Development &amp; Communication (Full-time) hired March 01, 2023</t>
  </si>
  <si>
    <t>Revenue from Foundations consist of the following</t>
  </si>
  <si>
    <t xml:space="preserve">Rip Van Winkle Foundation - $50,000 </t>
  </si>
  <si>
    <t>Small $3,000 increase in individual/business donations due to work completed by new Director of Development &amp; Communication position</t>
  </si>
  <si>
    <t>Dyson Foundation - $25,000 of $50,000 operating support</t>
  </si>
  <si>
    <t>Various County Departments -$20,000</t>
  </si>
  <si>
    <t>No expected increase in contributions from Columbia County. Revenue consist with 2022 levels</t>
  </si>
  <si>
    <t>Columbia County for Lobby Receptionist &amp; CARTS - $52,000</t>
  </si>
  <si>
    <t>Foundation of Community Health - $27,500 (reoccurring annually) for CARTS</t>
  </si>
  <si>
    <t>Foundation of Community Health - $28,000 of $150,00 from operating support</t>
  </si>
  <si>
    <t>Annual subcontract thru Office for the Aging for senior transportation (+60) services increases to $47,500 from $46,000</t>
  </si>
  <si>
    <t>Annual subcontract thru Dept of Human Services for transportation services remains consistent with the 2022 amount of $18,000</t>
  </si>
  <si>
    <t>Average hourly rate for drivers wages increases to $15.75/hr from $15.25/hr. Total driver wages &amp; fringe increase by $50,000 with driver's hours increasing by 2,300 hrs for a total of 15,400 hrs. Increase offset by Rip Van Winkle $50K donation.</t>
  </si>
  <si>
    <t>Three new positions for the 2023 year are hired with no other changes to current staffing levels</t>
  </si>
  <si>
    <t xml:space="preserve">Fringe benefits like health &amp; dental insurance are based upon actual 2023 renewal rates. </t>
  </si>
  <si>
    <t>No changes to existing calculations for discretionary 401(k) contributions from Agency that employee receive at year end. Estimated discretionary 401(k) contribution amount for 2023 year at $25,200</t>
  </si>
  <si>
    <t>The HEALing Community Study Program thru the Dept of Health ends March 31, 2023 and the related Impact Dollars Program ended a year earlier on March 31, 2022.</t>
  </si>
  <si>
    <t>Other existing contracts/subcontracts/agreements remain at current budget amounts, Like OFA: NY Connects, OFA: MIPPA, and Greene County DSS - HEAP</t>
  </si>
  <si>
    <t>The value of the Agency's investment decreases by $1,800 to $385K</t>
  </si>
  <si>
    <t xml:space="preserve">Small $3,000 decrease in support from RHN Program for vehicle expenses to $4,000. </t>
  </si>
  <si>
    <t>Immaterial CARTS revenue from service agreements with CMH and Greene County Public Health</t>
  </si>
  <si>
    <t>December</t>
  </si>
  <si>
    <t>Navigator Program - November 2022 Voucher</t>
  </si>
  <si>
    <t>NY Connects ADRC         11/22 to 09/23</t>
  </si>
  <si>
    <t xml:space="preserve">Greene County - Human Services - Transportation </t>
  </si>
  <si>
    <t>GC Dept of Human Services - Transportation</t>
  </si>
  <si>
    <t xml:space="preserve">RHN - NYSARH - Legislative Appropriation </t>
  </si>
  <si>
    <t xml:space="preserve">Tobacco Free Communities Grant - Yr#4 of 5 </t>
  </si>
  <si>
    <t xml:space="preserve">In Person Assistors &amp; Navigators- Yr#4 of 5 </t>
  </si>
  <si>
    <t xml:space="preserve">Senior Transportation Services - 2023 </t>
  </si>
  <si>
    <t xml:space="preserve">HEALing Communities Study  - 2023 </t>
  </si>
  <si>
    <r>
      <t>Transportation Services (2023)</t>
    </r>
    <r>
      <rPr>
        <b/>
        <sz val="11"/>
        <color rgb="FFFF0000"/>
        <rFont val="Arial"/>
        <family val="2"/>
      </rPr>
      <t xml:space="preserve">  </t>
    </r>
  </si>
  <si>
    <t>Columbia County BOS 2023 Budget Appropriation</t>
  </si>
  <si>
    <t>Columbia County Departments 2023 Donations (CARTS)</t>
  </si>
  <si>
    <t>.</t>
  </si>
  <si>
    <t>For the Years Ended December 31, 2022 and 2021</t>
  </si>
  <si>
    <t>Greene County Public Health Services</t>
  </si>
  <si>
    <t>December'22 vs.'21</t>
  </si>
  <si>
    <t>Transportation Billing Software-Kinetik</t>
  </si>
  <si>
    <t>Grants Receivable Aging Summary as of February 28, 2023</t>
  </si>
  <si>
    <t>February</t>
  </si>
  <si>
    <t>January</t>
  </si>
  <si>
    <t>OFA: Senior Transportation - January 2021 Voucher</t>
  </si>
  <si>
    <t>Tobacco - January &amp; February 2020 - 20% Held back</t>
  </si>
  <si>
    <t>OFA: Senior Transportation - January 2022 Voucher</t>
  </si>
  <si>
    <t>Tobacco Yr#3 - January 2021 Voucher</t>
  </si>
  <si>
    <t>Tobacco  - December 2022 Voucher</t>
  </si>
  <si>
    <t>Tobacco Yr#3 - December 2021 Voucher</t>
  </si>
  <si>
    <t>Navigator Yr#3-December 2021 Voucher</t>
  </si>
  <si>
    <t>November &amp; Older</t>
  </si>
  <si>
    <t>Grants Receivable at 02/28/2023</t>
  </si>
  <si>
    <t>Payments Received After February 28, 2022</t>
  </si>
  <si>
    <t>NYSDOH 01/23 to 12/23 Yr#5 (Quarterly Voucher)</t>
  </si>
  <si>
    <t xml:space="preserve">Columbia County BOS </t>
  </si>
  <si>
    <t>CMH - Comm Heath Plan 4th Qtr 2022</t>
  </si>
  <si>
    <t>Columbia County BOS Part#1 of 2</t>
  </si>
  <si>
    <t>Greene County -Dept of Social Services -</t>
  </si>
  <si>
    <t>Navigator Program - October 2022 Voucher</t>
  </si>
  <si>
    <t>Navigator Program - December 2022 Voucher</t>
  </si>
  <si>
    <t>Tobacco  Program - October 2022</t>
  </si>
  <si>
    <t>Tobacco  Program - November 2022</t>
  </si>
  <si>
    <t>Total AR Payments Received After February 28, 2023</t>
  </si>
  <si>
    <t>February 28th AR Balance at March 28, 2023</t>
  </si>
  <si>
    <t>Tobacco Program - January 2023 Voucher</t>
  </si>
  <si>
    <t>Navigator Program - January 2023 Voucher</t>
  </si>
  <si>
    <t>HEALing Community Study - January 2023 Voucher</t>
  </si>
  <si>
    <t>OFA:NY Connects ADRC - January 2023 Voucher</t>
  </si>
  <si>
    <t>As of February 28, 2023</t>
  </si>
  <si>
    <t xml:space="preserve">Rural Health Network Program- Yr#5 of 5 </t>
  </si>
  <si>
    <t xml:space="preserve">NY Connects E &amp; EP ADRC </t>
  </si>
  <si>
    <t xml:space="preserve">Ancram/Copake Prescription Access (2023) </t>
  </si>
  <si>
    <t xml:space="preserve">County Government - 2023 </t>
  </si>
  <si>
    <t>County Departments - 2023</t>
  </si>
  <si>
    <t>Collaborative Community Health Planning Jan'23-Dec'23</t>
  </si>
  <si>
    <t>February'23 vs.'22</t>
  </si>
  <si>
    <r>
      <t>è</t>
    </r>
    <r>
      <rPr>
        <b/>
        <sz val="12"/>
        <color theme="1"/>
        <rFont val="Times New Roman"/>
        <family val="1"/>
      </rPr>
      <t xml:space="preserve"> Cash</t>
    </r>
    <r>
      <rPr>
        <sz val="12"/>
        <color theme="1"/>
        <rFont val="Calibri"/>
        <family val="2"/>
      </rPr>
      <t xml:space="preserve"> -  Cash balance in the operating checking account started the 2023 year off with $432.4K and ended in the month of February 2023 with $342.5K.  The low balance on February 02, 2023, was $260K &amp; the high balance on January 02, 2023, was $432.6K. The average daily balance for the 2023 &amp; 2022 years were $325K and $336K, respectively. </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</si>
  <si>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February 28, 2023, our Grant Receivable is $398K. We expect to collect on all receivables.  </t>
    </r>
  </si>
  <si>
    <t>Total Grant Receivable - February 2023</t>
  </si>
  <si>
    <r>
      <t>è</t>
    </r>
    <r>
      <rPr>
        <b/>
        <sz val="12"/>
        <color theme="1"/>
        <rFont val="Times New Roman"/>
        <family val="1"/>
      </rPr>
      <t xml:space="preserve"> Investment - North Country Financial Group </t>
    </r>
    <r>
      <rPr>
        <sz val="12"/>
        <color theme="1"/>
        <rFont val="Calibri"/>
        <family val="2"/>
      </rPr>
      <t xml:space="preserve"> - As of February 28, 2023, the investment account value is $390K. Initial investment during the month of March 2016 was $152K. The change in value for the 2023 year is a decrease of &lt;$591&gt;. </t>
    </r>
  </si>
  <si>
    <t>2022 Ford Transit Connects</t>
  </si>
  <si>
    <t>2018 Ford Taurus</t>
  </si>
  <si>
    <t>2012 Ford Fusion</t>
  </si>
  <si>
    <t>2014 Dodge Grand Caravan</t>
  </si>
  <si>
    <t>2017 Dodge Grand Caravan</t>
  </si>
  <si>
    <t>2013 Dodge Grand Caravan</t>
  </si>
  <si>
    <t>2017 Ford Taurus</t>
  </si>
  <si>
    <t>Pending</t>
  </si>
  <si>
    <t>Our Gain</t>
  </si>
  <si>
    <r>
      <t>è</t>
    </r>
    <r>
      <rPr>
        <b/>
        <sz val="12"/>
        <color theme="1"/>
        <rFont val="Times New Roman"/>
        <family val="1"/>
      </rPr>
      <t xml:space="preserve">Accounts Payable - </t>
    </r>
    <r>
      <rPr>
        <sz val="12"/>
        <color theme="1"/>
        <rFont val="Calibri"/>
        <family val="2"/>
        <scheme val="minor"/>
      </rPr>
      <t xml:space="preserve">At February 28, 2023, accounts payable liability is $12,582. All accounts payable liability is being paid timely within 28 days. </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</si>
  <si>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revenue per se. The deferred account functions like a holding place until services are provided. The entire transaction affects only balance sheet accounts. Once the service is provided, "real" revenue is recognized with an entry that debits (decreases) the deferred account and credits (increases) the revenue account. Program income received in advance consists of the following as of February 28, 2023,</t>
    </r>
  </si>
  <si>
    <t>2023 Operating Support</t>
  </si>
  <si>
    <t>Ending Balance at February 28, 2023</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</si>
  <si>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 donations to be used for the following specific program purpose as of February 28,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</si>
</sst>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 numFmtId="172" formatCode="#,##0.0_);\(#,##0.0\)"/>
  </numFmts>
  <fonts count="7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b/>
      <sz val="16"/>
      <color rgb="FFFF0000"/>
      <name val="Arial"/>
      <family val="2"/>
    </font>
    <font>
      <b/>
      <sz val="16"/>
      <color theme="1"/>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5">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1050">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0" fontId="0" fillId="0" borderId="49"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14" fontId="0" fillId="0" borderId="49" xfId="0" applyNumberFormat="1" applyFont="1" applyFill="1" applyBorder="1" applyAlignment="1">
      <alignment horizontal="left"/>
    </xf>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41" fontId="8" fillId="0" borderId="0" xfId="0" applyNumberFormat="1" applyFont="1" applyFill="1" applyBorder="1" applyAlignment="1">
      <alignment vertical="center"/>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14" fontId="0" fillId="0" borderId="0" xfId="0" applyNumberFormat="1" applyFill="1" applyBorder="1" applyAlignment="1">
      <alignment horizontal="center"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6" fontId="21" fillId="9" borderId="69" xfId="1" applyNumberFormat="1" applyFont="1" applyFill="1" applyBorder="1" applyAlignment="1">
      <alignment horizontal="right"/>
    </xf>
    <xf numFmtId="49" fontId="18" fillId="0" borderId="0" xfId="0" applyNumberFormat="1" applyFont="1" applyAlignment="1">
      <alignment horizontal="left" vertical="center"/>
    </xf>
    <xf numFmtId="166" fontId="29" fillId="0" borderId="27" xfId="0" applyNumberFormat="1" applyFont="1" applyFill="1" applyBorder="1" applyAlignment="1">
      <alignment horizontal="center" vertical="center" wrapText="1"/>
    </xf>
    <xf numFmtId="42" fontId="18" fillId="0" borderId="27" xfId="0" applyNumberFormat="1" applyFont="1" applyFill="1" applyBorder="1" applyAlignment="1">
      <alignment horizontal="center" vertical="center" wrapText="1"/>
    </xf>
    <xf numFmtId="166" fontId="18" fillId="0" borderId="27" xfId="0" applyNumberFormat="1" applyFont="1" applyFill="1" applyBorder="1" applyAlignment="1">
      <alignment horizontal="center" vertical="center" wrapText="1"/>
    </xf>
    <xf numFmtId="10" fontId="0" fillId="0" borderId="0" xfId="0" applyNumberFormat="1" applyBorder="1" applyAlignment="1">
      <alignment vertical="center"/>
    </xf>
    <xf numFmtId="49" fontId="14" fillId="0" borderId="0" xfId="0" quotePrefix="1" applyNumberFormat="1" applyFont="1" applyBorder="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49" fontId="70" fillId="18" borderId="35" xfId="0" applyNumberFormat="1" applyFont="1" applyFill="1" applyBorder="1" applyAlignment="1">
      <alignment vertical="center"/>
    </xf>
    <xf numFmtId="6" fontId="70" fillId="18" borderId="52" xfId="1" applyNumberFormat="1" applyFont="1" applyFill="1" applyBorder="1" applyAlignment="1">
      <alignment horizontal="right"/>
    </xf>
    <xf numFmtId="49" fontId="70" fillId="18" borderId="24" xfId="0" applyNumberFormat="1" applyFont="1" applyFill="1" applyBorder="1" applyAlignment="1">
      <alignment vertical="center"/>
    </xf>
    <xf numFmtId="49" fontId="70" fillId="18" borderId="2" xfId="0" applyNumberFormat="1" applyFont="1" applyFill="1" applyBorder="1" applyAlignment="1">
      <alignment vertical="center"/>
    </xf>
    <xf numFmtId="49" fontId="70" fillId="18" borderId="27" xfId="0" applyNumberFormat="1" applyFont="1" applyFill="1" applyBorder="1" applyAlignment="1">
      <alignment horizontal="center" vertical="center"/>
    </xf>
    <xf numFmtId="6" fontId="70" fillId="18" borderId="8" xfId="1" applyNumberFormat="1" applyFont="1" applyFill="1" applyBorder="1" applyAlignment="1">
      <alignment horizontal="right"/>
    </xf>
    <xf numFmtId="6" fontId="70" fillId="18" borderId="10" xfId="1" applyNumberFormat="1" applyFont="1" applyFill="1" applyBorder="1" applyAlignment="1">
      <alignment horizontal="right"/>
    </xf>
    <xf numFmtId="41" fontId="0" fillId="0" borderId="47" xfId="1" applyNumberFormat="1" applyFont="1" applyFill="1" applyBorder="1" applyAlignment="1"/>
    <xf numFmtId="0" fontId="8" fillId="0" borderId="27" xfId="0" applyFont="1" applyBorder="1" applyAlignment="1"/>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43" xfId="1" applyNumberFormat="1" applyFont="1" applyFill="1" applyBorder="1" applyAlignment="1">
      <alignment horizontal="right"/>
    </xf>
    <xf numFmtId="38" fontId="70" fillId="18" borderId="8" xfId="1" applyNumberFormat="1" applyFont="1" applyFill="1" applyBorder="1" applyAlignment="1">
      <alignment horizontal="right"/>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10" fontId="27"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49" fontId="21" fillId="2" borderId="53" xfId="0" applyNumberFormat="1" applyFont="1" applyFill="1" applyBorder="1" applyAlignment="1">
      <alignment vertical="center"/>
    </xf>
    <xf numFmtId="49" fontId="21" fillId="2" borderId="54" xfId="0" applyNumberFormat="1" applyFont="1" applyFill="1" applyBorder="1" applyAlignment="1">
      <alignment vertical="center"/>
    </xf>
    <xf numFmtId="6" fontId="21" fillId="2" borderId="54" xfId="1" applyNumberFormat="1" applyFont="1" applyFill="1" applyBorder="1" applyAlignment="1">
      <alignment horizontal="right"/>
    </xf>
    <xf numFmtId="38" fontId="21" fillId="2" borderId="54" xfId="1" applyNumberFormat="1" applyFont="1" applyFill="1" applyBorder="1" applyAlignment="1">
      <alignment horizontal="right"/>
    </xf>
    <xf numFmtId="3" fontId="21" fillId="2" borderId="55" xfId="1" applyNumberFormat="1" applyFont="1" applyFill="1" applyBorder="1" applyAlignment="1">
      <alignment horizontal="right"/>
    </xf>
    <xf numFmtId="49" fontId="21" fillId="2" borderId="26" xfId="0" applyNumberFormat="1" applyFont="1" applyFill="1" applyBorder="1" applyAlignment="1">
      <alignment vertical="center"/>
    </xf>
    <xf numFmtId="49" fontId="21" fillId="2" borderId="20" xfId="0" applyNumberFormat="1" applyFont="1" applyFill="1" applyBorder="1" applyAlignment="1">
      <alignment vertical="center"/>
    </xf>
    <xf numFmtId="6" fontId="21" fillId="2" borderId="20" xfId="1" applyNumberFormat="1" applyFont="1" applyFill="1" applyBorder="1" applyAlignment="1">
      <alignment horizontal="right"/>
    </xf>
    <xf numFmtId="38" fontId="21" fillId="2" borderId="20" xfId="1" applyNumberFormat="1" applyFont="1" applyFill="1" applyBorder="1" applyAlignment="1">
      <alignment horizontal="right"/>
    </xf>
    <xf numFmtId="3" fontId="21" fillId="2" borderId="21" xfId="1" applyNumberFormat="1" applyFont="1" applyFill="1" applyBorder="1" applyAlignment="1">
      <alignment horizontal="right"/>
    </xf>
    <xf numFmtId="41" fontId="16" fillId="0" borderId="30" xfId="0" applyNumberFormat="1" applyFont="1" applyBorder="1" applyAlignment="1">
      <alignment horizontal="center" vertical="center"/>
    </xf>
    <xf numFmtId="0" fontId="0" fillId="0" borderId="0" xfId="0" applyFill="1" applyBorder="1" applyAlignment="1">
      <alignment horizontal="left"/>
    </xf>
    <xf numFmtId="0" fontId="6" fillId="3" borderId="33" xfId="0" applyFont="1" applyFill="1" applyBorder="1" applyAlignment="1">
      <alignment horizontal="center" vertical="center"/>
    </xf>
    <xf numFmtId="49" fontId="18" fillId="0" borderId="0" xfId="0" applyNumberFormat="1" applyFont="1" applyAlignment="1">
      <alignment horizontal="left" vertical="center"/>
    </xf>
    <xf numFmtId="14" fontId="0" fillId="0" borderId="14" xfId="0" applyNumberFormat="1" applyFill="1" applyBorder="1" applyAlignment="1">
      <alignment horizontal="center"/>
    </xf>
    <xf numFmtId="41" fontId="0" fillId="0" borderId="28" xfId="1" applyNumberFormat="1" applyFont="1" applyFill="1" applyBorder="1" applyAlignment="1"/>
    <xf numFmtId="41" fontId="18" fillId="2" borderId="0" xfId="0" applyNumberFormat="1" applyFont="1" applyFill="1" applyBorder="1" applyAlignment="1">
      <alignment vertical="center"/>
    </xf>
    <xf numFmtId="44" fontId="6" fillId="0" borderId="0" xfId="0" applyNumberFormat="1" applyFont="1" applyBorder="1" applyAlignment="1">
      <alignment horizontal="center" vertical="center" wrapText="1"/>
    </xf>
    <xf numFmtId="38" fontId="13" fillId="0" borderId="0" xfId="0" applyNumberFormat="1" applyFont="1"/>
    <xf numFmtId="38" fontId="0" fillId="0" borderId="0" xfId="0" applyNumberFormat="1" applyFont="1" applyAlignment="1">
      <alignment horizontal="right"/>
    </xf>
    <xf numFmtId="38" fontId="0" fillId="0" borderId="0" xfId="0" applyNumberFormat="1" applyBorder="1" applyAlignment="1">
      <alignment horizontal="center" vertical="center"/>
    </xf>
    <xf numFmtId="38" fontId="0" fillId="0" borderId="0" xfId="0" applyNumberFormat="1" applyFont="1" applyBorder="1" applyAlignment="1">
      <alignment horizontal="right" vertical="center"/>
    </xf>
    <xf numFmtId="38" fontId="0" fillId="0" borderId="0" xfId="0" applyNumberFormat="1" applyBorder="1" applyAlignment="1">
      <alignment vertical="center"/>
    </xf>
    <xf numFmtId="49" fontId="14" fillId="0" borderId="33" xfId="0" applyNumberFormat="1" applyFont="1" applyBorder="1" applyAlignment="1">
      <alignment vertical="center"/>
    </xf>
    <xf numFmtId="42" fontId="22" fillId="0" borderId="33" xfId="0" applyNumberFormat="1" applyFont="1" applyFill="1" applyBorder="1" applyAlignment="1">
      <alignment horizontal="center" vertical="center" wrapText="1"/>
    </xf>
    <xf numFmtId="38" fontId="0" fillId="0" borderId="0" xfId="0" applyNumberFormat="1" applyFont="1" applyBorder="1" applyAlignment="1">
      <alignment horizontal="right" vertical="center" wrapText="1"/>
    </xf>
    <xf numFmtId="38" fontId="0" fillId="0" borderId="0" xfId="0" applyNumberFormat="1" applyFont="1" applyBorder="1" applyAlignment="1">
      <alignment vertical="center"/>
    </xf>
    <xf numFmtId="49" fontId="22" fillId="0" borderId="0" xfId="0" applyNumberFormat="1" applyFont="1" applyBorder="1" applyAlignment="1">
      <alignment horizontal="left" vertical="center"/>
    </xf>
    <xf numFmtId="49" fontId="21" fillId="0" borderId="30" xfId="0" applyNumberFormat="1" applyFont="1" applyBorder="1" applyAlignment="1">
      <alignment horizontal="left" vertical="center"/>
    </xf>
    <xf numFmtId="0" fontId="0" fillId="0" borderId="30" xfId="0" applyBorder="1"/>
    <xf numFmtId="41" fontId="14" fillId="0" borderId="30" xfId="0" applyNumberFormat="1" applyFont="1" applyBorder="1" applyAlignment="1">
      <alignment vertical="center"/>
    </xf>
    <xf numFmtId="0" fontId="14" fillId="0" borderId="0" xfId="0" applyNumberFormat="1" applyFont="1" applyBorder="1"/>
    <xf numFmtId="0" fontId="5" fillId="0" borderId="0" xfId="0" applyFont="1" applyBorder="1"/>
    <xf numFmtId="0" fontId="9" fillId="0" borderId="0" xfId="0" applyFont="1" applyBorder="1"/>
    <xf numFmtId="0" fontId="59" fillId="0" borderId="0" xfId="0" applyNumberFormat="1" applyFont="1"/>
    <xf numFmtId="0" fontId="20" fillId="0" borderId="0" xfId="0" applyNumberFormat="1" applyFont="1"/>
    <xf numFmtId="49" fontId="18" fillId="2" borderId="0" xfId="0" applyNumberFormat="1" applyFont="1" applyFill="1" applyAlignment="1">
      <alignment vertical="center"/>
    </xf>
    <xf numFmtId="49" fontId="14" fillId="2" borderId="0" xfId="0" applyNumberFormat="1" applyFont="1" applyFill="1" applyAlignment="1">
      <alignment vertical="center"/>
    </xf>
    <xf numFmtId="40" fontId="0" fillId="0" borderId="0" xfId="0" applyNumberFormat="1" applyFill="1"/>
    <xf numFmtId="40" fontId="8" fillId="0" borderId="0" xfId="0" applyNumberFormat="1" applyFont="1" applyFill="1"/>
    <xf numFmtId="40" fontId="0" fillId="0" borderId="0" xfId="0" applyNumberFormat="1" applyBorder="1" applyAlignment="1">
      <alignment horizontal="center" vertical="center"/>
    </xf>
    <xf numFmtId="14" fontId="0" fillId="0" borderId="0" xfId="0" applyNumberFormat="1" applyBorder="1" applyAlignment="1">
      <alignment horizontal="center" vertical="center"/>
    </xf>
    <xf numFmtId="40" fontId="8" fillId="0" borderId="0" xfId="0" applyNumberFormat="1" applyFont="1" applyBorder="1" applyAlignment="1">
      <alignment horizontal="center" vertical="center"/>
    </xf>
    <xf numFmtId="0" fontId="17" fillId="0" borderId="56" xfId="0" applyFont="1" applyBorder="1" applyAlignment="1">
      <alignment vertical="center"/>
    </xf>
    <xf numFmtId="40" fontId="17" fillId="0" borderId="0" xfId="0" applyNumberFormat="1" applyFont="1" applyBorder="1" applyAlignment="1">
      <alignment vertical="center"/>
    </xf>
    <xf numFmtId="14" fontId="17" fillId="0" borderId="0" xfId="0" applyNumberFormat="1" applyFont="1" applyBorder="1" applyAlignment="1">
      <alignment horizontal="center" vertical="center"/>
    </xf>
    <xf numFmtId="40" fontId="8" fillId="0" borderId="0" xfId="0" applyNumberFormat="1" applyFont="1" applyBorder="1" applyAlignment="1">
      <alignment vertical="center"/>
    </xf>
    <xf numFmtId="40" fontId="0" fillId="0" borderId="0" xfId="0" applyNumberFormat="1" applyBorder="1" applyAlignment="1">
      <alignment vertical="center"/>
    </xf>
    <xf numFmtId="40" fontId="0" fillId="0" borderId="0" xfId="0" applyNumberFormat="1" applyBorder="1" applyAlignment="1"/>
    <xf numFmtId="14" fontId="0" fillId="0" borderId="0" xfId="0" applyNumberFormat="1" applyBorder="1" applyAlignment="1">
      <alignment horizontal="center"/>
    </xf>
    <xf numFmtId="40" fontId="8" fillId="0" borderId="0" xfId="0" applyNumberFormat="1" applyFont="1" applyBorder="1" applyAlignment="1"/>
    <xf numFmtId="8" fontId="0" fillId="0" borderId="0" xfId="0" applyNumberFormat="1" applyFill="1" applyBorder="1" applyAlignment="1">
      <alignment vertical="center"/>
    </xf>
    <xf numFmtId="8" fontId="6" fillId="0" borderId="0" xfId="0" applyNumberFormat="1" applyFont="1" applyFill="1" applyBorder="1" applyAlignment="1">
      <alignment horizontal="center" vertical="center" wrapText="1"/>
    </xf>
    <xf numFmtId="40" fontId="0" fillId="0" borderId="0" xfId="0" applyNumberFormat="1" applyFont="1" applyBorder="1" applyAlignment="1">
      <alignment vertical="center"/>
    </xf>
    <xf numFmtId="14" fontId="0" fillId="0" borderId="0" xfId="0" applyNumberFormat="1" applyFont="1" applyBorder="1" applyAlignment="1">
      <alignment horizontal="center" vertical="center"/>
    </xf>
    <xf numFmtId="6" fontId="18" fillId="0" borderId="0" xfId="0" applyNumberFormat="1" applyFont="1" applyBorder="1" applyAlignment="1">
      <alignment horizontal="right" vertical="center"/>
    </xf>
    <xf numFmtId="7" fontId="18" fillId="0" borderId="19" xfId="0" applyNumberFormat="1" applyFont="1" applyBorder="1" applyAlignment="1">
      <alignment vertical="center"/>
    </xf>
    <xf numFmtId="172" fontId="18" fillId="0" borderId="19" xfId="0" applyNumberFormat="1" applyFont="1" applyBorder="1" applyAlignment="1">
      <alignment vertical="center"/>
    </xf>
    <xf numFmtId="172" fontId="18" fillId="0" borderId="0" xfId="0" applyNumberFormat="1" applyFont="1" applyBorder="1" applyAlignment="1">
      <alignment vertical="center"/>
    </xf>
    <xf numFmtId="49" fontId="73" fillId="0" borderId="0" xfId="0" applyNumberFormat="1" applyFont="1" applyBorder="1" applyAlignment="1">
      <alignment vertical="center"/>
    </xf>
    <xf numFmtId="5" fontId="14" fillId="0" borderId="0" xfId="0" applyNumberFormat="1" applyFont="1" applyBorder="1" applyAlignment="1">
      <alignment vertical="center"/>
    </xf>
    <xf numFmtId="8" fontId="74" fillId="0" borderId="0" xfId="0" applyNumberFormat="1" applyFont="1" applyBorder="1" applyAlignment="1">
      <alignment vertical="center"/>
    </xf>
    <xf numFmtId="5" fontId="14" fillId="0" borderId="31" xfId="0" applyNumberFormat="1" applyFont="1" applyBorder="1" applyAlignment="1">
      <alignment vertical="center"/>
    </xf>
    <xf numFmtId="3" fontId="14" fillId="0" borderId="0" xfId="0" applyNumberFormat="1" applyFont="1" applyBorder="1" applyAlignment="1">
      <alignment vertical="center"/>
    </xf>
    <xf numFmtId="37" fontId="14" fillId="0" borderId="0" xfId="0" applyNumberFormat="1" applyFont="1" applyBorder="1" applyAlignment="1">
      <alignment vertical="center"/>
    </xf>
    <xf numFmtId="8" fontId="14" fillId="0" borderId="0" xfId="0" applyNumberFormat="1" applyFont="1" applyBorder="1" applyAlignment="1">
      <alignment vertical="center"/>
    </xf>
    <xf numFmtId="40" fontId="15" fillId="0" borderId="0" xfId="0" applyNumberFormat="1" applyFont="1" applyBorder="1" applyAlignment="1">
      <alignment vertical="center"/>
    </xf>
    <xf numFmtId="14" fontId="15" fillId="0" borderId="0" xfId="0" applyNumberFormat="1" applyFont="1" applyBorder="1" applyAlignment="1">
      <alignment horizontal="center" vertical="center"/>
    </xf>
    <xf numFmtId="40" fontId="21" fillId="0" borderId="0" xfId="0" applyNumberFormat="1" applyFont="1" applyBorder="1" applyAlignment="1">
      <alignment vertical="center"/>
    </xf>
    <xf numFmtId="41" fontId="74" fillId="0" borderId="0" xfId="0" applyNumberFormat="1" applyFont="1" applyBorder="1"/>
    <xf numFmtId="40" fontId="0" fillId="0" borderId="0" xfId="0" applyNumberFormat="1" applyBorder="1"/>
    <xf numFmtId="40" fontId="8" fillId="0" borderId="0" xfId="0" applyNumberFormat="1" applyFont="1" applyBorder="1"/>
    <xf numFmtId="38" fontId="74" fillId="0" borderId="0" xfId="0" applyNumberFormat="1" applyFont="1" applyBorder="1"/>
    <xf numFmtId="8" fontId="74" fillId="0" borderId="0" xfId="0" applyNumberFormat="1" applyFont="1" applyBorder="1"/>
    <xf numFmtId="41" fontId="0" fillId="0" borderId="0" xfId="0" applyNumberFormat="1" applyFill="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59" fillId="0" borderId="0" xfId="0" applyNumberFormat="1" applyFont="1" applyBorder="1"/>
    <xf numFmtId="0" fontId="11" fillId="0" borderId="0" xfId="0" applyNumberFormat="1" applyFont="1" applyBorder="1" applyAlignment="1">
      <alignment horizontal="left" vertical="center"/>
    </xf>
    <xf numFmtId="0" fontId="14" fillId="0" borderId="0" xfId="0" applyNumberFormat="1" applyFont="1" applyBorder="1" applyAlignment="1">
      <alignment horizontal="left" vertical="center"/>
    </xf>
    <xf numFmtId="0" fontId="0" fillId="0" borderId="0" xfId="0" applyBorder="1" applyAlignment="1">
      <alignment horizontal="left" vertical="center"/>
    </xf>
    <xf numFmtId="38" fontId="0" fillId="0" borderId="0" xfId="0" applyNumberFormat="1" applyBorder="1" applyAlignment="1">
      <alignment horizontal="left" vertical="center"/>
    </xf>
    <xf numFmtId="38" fontId="0" fillId="0" borderId="0" xfId="0" applyNumberFormat="1" applyFont="1" applyBorder="1" applyAlignment="1">
      <alignment horizontal="left" vertical="center"/>
    </xf>
    <xf numFmtId="0" fontId="0" fillId="0" borderId="2" xfId="0" applyFill="1" applyBorder="1" applyAlignment="1">
      <alignment horizontal="center"/>
    </xf>
    <xf numFmtId="0" fontId="0" fillId="0" borderId="28" xfId="0" applyFill="1" applyBorder="1" applyAlignment="1">
      <alignment horizontal="left"/>
    </xf>
    <xf numFmtId="14" fontId="0" fillId="0" borderId="28" xfId="0" applyNumberFormat="1" applyFill="1" applyBorder="1" applyAlignment="1">
      <alignment horizontal="center"/>
    </xf>
    <xf numFmtId="38" fontId="0" fillId="0" borderId="28" xfId="1" applyNumberFormat="1" applyFont="1" applyFill="1" applyBorder="1" applyAlignment="1"/>
    <xf numFmtId="41" fontId="0" fillId="0" borderId="41" xfId="1" applyNumberFormat="1" applyFont="1" applyFill="1" applyBorder="1" applyAlignment="1"/>
    <xf numFmtId="14" fontId="0" fillId="0" borderId="47" xfId="0" applyNumberFormat="1" applyFill="1" applyBorder="1" applyAlignment="1">
      <alignment horizontal="center"/>
    </xf>
    <xf numFmtId="41" fontId="0" fillId="0" borderId="14" xfId="1" applyNumberFormat="1" applyFont="1" applyFill="1" applyBorder="1" applyAlignment="1"/>
    <xf numFmtId="0" fontId="0" fillId="0" borderId="16" xfId="0" applyFill="1" applyBorder="1"/>
    <xf numFmtId="41" fontId="0" fillId="0" borderId="29" xfId="1" applyNumberFormat="1" applyFont="1" applyFill="1" applyBorder="1" applyAlignment="1"/>
    <xf numFmtId="0" fontId="0" fillId="0" borderId="24" xfId="0" applyFill="1" applyBorder="1"/>
    <xf numFmtId="0" fontId="0" fillId="0" borderId="34" xfId="0" applyFill="1" applyBorder="1"/>
    <xf numFmtId="0" fontId="0" fillId="0" borderId="72" xfId="0" applyFill="1" applyBorder="1"/>
    <xf numFmtId="0" fontId="0" fillId="0" borderId="73" xfId="0" applyFill="1" applyBorder="1"/>
    <xf numFmtId="0" fontId="61" fillId="0" borderId="16" xfId="0" applyFont="1" applyFill="1" applyBorder="1"/>
    <xf numFmtId="0" fontId="0" fillId="0" borderId="16" xfId="0" applyFont="1" applyFill="1" applyBorder="1"/>
    <xf numFmtId="0" fontId="0" fillId="0" borderId="16" xfId="0" applyFill="1" applyBorder="1" applyAlignment="1">
      <alignment vertical="center"/>
    </xf>
    <xf numFmtId="0" fontId="0" fillId="0" borderId="24" xfId="0" applyFill="1" applyBorder="1" applyAlignment="1">
      <alignment vertical="center"/>
    </xf>
    <xf numFmtId="0" fontId="0" fillId="0" borderId="16" xfId="0" applyFill="1" applyBorder="1" applyAlignment="1"/>
    <xf numFmtId="0" fontId="0" fillId="0" borderId="35" xfId="0" applyFill="1" applyBorder="1" applyAlignment="1"/>
    <xf numFmtId="0" fontId="0" fillId="0" borderId="47" xfId="0" applyFill="1" applyBorder="1" applyAlignment="1">
      <alignment horizontal="left"/>
    </xf>
    <xf numFmtId="0" fontId="0" fillId="0" borderId="48" xfId="0" applyFill="1" applyBorder="1" applyAlignment="1">
      <alignment horizontal="left"/>
    </xf>
    <xf numFmtId="0" fontId="0" fillId="0" borderId="58" xfId="0" applyFill="1" applyBorder="1" applyAlignment="1">
      <alignment horizontal="left"/>
    </xf>
    <xf numFmtId="0" fontId="0" fillId="0" borderId="49" xfId="0" applyFill="1" applyBorder="1" applyAlignment="1">
      <alignment horizontal="left" vertical="center"/>
    </xf>
    <xf numFmtId="0" fontId="0" fillId="0" borderId="48" xfId="0" applyFill="1" applyBorder="1" applyAlignment="1">
      <alignment horizontal="left" vertical="center"/>
    </xf>
    <xf numFmtId="0" fontId="0" fillId="0" borderId="28" xfId="0"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0" fillId="0" borderId="2" xfId="0" applyFill="1" applyBorder="1" applyAlignment="1">
      <alignment horizontal="center" vertical="center"/>
    </xf>
    <xf numFmtId="0" fontId="0" fillId="0" borderId="27" xfId="0" applyFill="1" applyBorder="1" applyAlignment="1">
      <alignment horizontal="center"/>
    </xf>
    <xf numFmtId="14" fontId="0" fillId="0" borderId="29" xfId="0" applyNumberFormat="1" applyFill="1" applyBorder="1" applyAlignment="1">
      <alignment horizontal="center"/>
    </xf>
    <xf numFmtId="41" fontId="0" fillId="0" borderId="43" xfId="1" applyNumberFormat="1" applyFont="1" applyFill="1" applyBorder="1" applyAlignment="1"/>
    <xf numFmtId="41" fontId="0" fillId="0" borderId="74" xfId="1" applyNumberFormat="1" applyFont="1" applyFill="1" applyBorder="1" applyAlignment="1"/>
    <xf numFmtId="41" fontId="0" fillId="0" borderId="29" xfId="1" applyNumberFormat="1" applyFont="1" applyFill="1" applyBorder="1" applyAlignment="1">
      <alignment vertical="center"/>
    </xf>
    <xf numFmtId="41" fontId="0" fillId="0" borderId="52" xfId="1" applyNumberFormat="1" applyFont="1" applyFill="1" applyBorder="1" applyAlignment="1"/>
    <xf numFmtId="38" fontId="0" fillId="0" borderId="47" xfId="1" applyNumberFormat="1" applyFont="1" applyFill="1" applyBorder="1" applyAlignment="1"/>
    <xf numFmtId="38" fontId="33" fillId="0" borderId="48" xfId="1" applyNumberFormat="1" applyFont="1" applyFill="1" applyBorder="1" applyAlignment="1"/>
    <xf numFmtId="38" fontId="33" fillId="0" borderId="49" xfId="1" applyNumberFormat="1" applyFont="1" applyFill="1" applyBorder="1" applyAlignment="1">
      <alignment horizontal="right"/>
    </xf>
    <xf numFmtId="38" fontId="33" fillId="0" borderId="48" xfId="1" applyNumberFormat="1" applyFont="1" applyFill="1" applyBorder="1" applyAlignment="1">
      <alignment horizontal="right"/>
    </xf>
    <xf numFmtId="38" fontId="0" fillId="0" borderId="48" xfId="1" applyNumberFormat="1" applyFont="1" applyFill="1" applyBorder="1" applyAlignment="1"/>
    <xf numFmtId="38" fontId="0" fillId="0" borderId="58" xfId="1" applyNumberFormat="1" applyFont="1" applyFill="1" applyBorder="1" applyAlignment="1"/>
    <xf numFmtId="38" fontId="0" fillId="0" borderId="49" xfId="1" applyNumberFormat="1" applyFont="1" applyFill="1" applyBorder="1" applyAlignment="1">
      <alignment horizontal="right"/>
    </xf>
    <xf numFmtId="38" fontId="0" fillId="0" borderId="48" xfId="1" applyNumberFormat="1" applyFont="1" applyFill="1" applyBorder="1" applyAlignment="1">
      <alignment horizontal="right"/>
    </xf>
    <xf numFmtId="38" fontId="0" fillId="0" borderId="49" xfId="1" applyNumberFormat="1" applyFont="1" applyFill="1" applyBorder="1" applyAlignment="1">
      <alignment horizontal="right" vertical="center"/>
    </xf>
    <xf numFmtId="38" fontId="0" fillId="0" borderId="48" xfId="1" applyNumberFormat="1" applyFont="1" applyFill="1" applyBorder="1" applyAlignment="1">
      <alignment horizontal="right" vertical="center"/>
    </xf>
    <xf numFmtId="41" fontId="0" fillId="0" borderId="3" xfId="1" applyNumberFormat="1" applyFont="1" applyFill="1" applyBorder="1" applyAlignment="1"/>
    <xf numFmtId="41" fontId="0" fillId="0" borderId="0" xfId="1" applyNumberFormat="1" applyFont="1" applyFill="1" applyBorder="1" applyAlignment="1">
      <alignment vertical="center"/>
    </xf>
    <xf numFmtId="41" fontId="0" fillId="0" borderId="2" xfId="1" applyNumberFormat="1" applyFont="1" applyFill="1" applyBorder="1" applyAlignment="1">
      <alignment vertical="center"/>
    </xf>
    <xf numFmtId="38" fontId="0" fillId="0" borderId="49" xfId="1" applyNumberFormat="1" applyFont="1" applyFill="1" applyBorder="1" applyAlignment="1">
      <alignment vertical="center"/>
    </xf>
    <xf numFmtId="38" fontId="0" fillId="0" borderId="48" xfId="1" applyNumberFormat="1" applyFont="1" applyFill="1" applyBorder="1" applyAlignment="1">
      <alignment vertical="center"/>
    </xf>
    <xf numFmtId="40" fontId="6" fillId="3" borderId="32" xfId="0" applyNumberFormat="1" applyFont="1" applyFill="1" applyBorder="1" applyAlignment="1">
      <alignment horizontal="center" vertical="center" wrapText="1"/>
    </xf>
    <xf numFmtId="41" fontId="0" fillId="0" borderId="16" xfId="1" applyNumberFormat="1" applyFont="1" applyFill="1" applyBorder="1" applyAlignment="1"/>
    <xf numFmtId="41" fontId="5" fillId="0" borderId="0" xfId="1" applyNumberFormat="1" applyFont="1" applyFill="1" applyBorder="1" applyAlignment="1"/>
    <xf numFmtId="40" fontId="6" fillId="3" borderId="42" xfId="0" applyNumberFormat="1" applyFont="1" applyFill="1" applyBorder="1" applyAlignment="1">
      <alignment horizontal="center" vertical="center" wrapText="1"/>
    </xf>
    <xf numFmtId="41" fontId="0" fillId="0" borderId="29" xfId="1" applyNumberFormat="1" applyFont="1" applyFill="1" applyBorder="1" applyAlignment="1">
      <alignment horizontal="center"/>
    </xf>
    <xf numFmtId="41" fontId="0" fillId="0" borderId="41" xfId="1" applyNumberFormat="1" applyFont="1" applyFill="1" applyBorder="1" applyAlignment="1">
      <alignment horizontal="center"/>
    </xf>
    <xf numFmtId="41" fontId="0" fillId="0" borderId="71" xfId="1" applyNumberFormat="1" applyFont="1" applyFill="1" applyBorder="1" applyAlignment="1">
      <alignment horizontal="center"/>
    </xf>
    <xf numFmtId="41" fontId="0" fillId="0" borderId="43" xfId="1" applyNumberFormat="1" applyFont="1" applyFill="1" applyBorder="1" applyAlignment="1">
      <alignment horizontal="center"/>
    </xf>
    <xf numFmtId="43" fontId="0" fillId="0" borderId="29" xfId="1" applyNumberFormat="1" applyFont="1" applyFill="1" applyBorder="1" applyAlignment="1"/>
    <xf numFmtId="0" fontId="37" fillId="0" borderId="0" xfId="0" applyFont="1" applyFill="1" applyAlignment="1">
      <alignment horizontal="left" vertical="top" wrapText="1"/>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59"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49" fontId="14" fillId="0" borderId="0" xfId="0" applyNumberFormat="1" applyFont="1" applyBorder="1" applyAlignment="1">
      <alignment horizontal="center" vertical="center"/>
    </xf>
    <xf numFmtId="0" fontId="0" fillId="0" borderId="11"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17" fontId="0" fillId="0" borderId="2" xfId="0" applyNumberFormat="1" applyFont="1" applyFill="1" applyBorder="1" applyAlignment="1">
      <alignment horizontal="left" vertical="center" wrapText="1"/>
    </xf>
    <xf numFmtId="0" fontId="38" fillId="0" borderId="0" xfId="0" applyFont="1" applyFill="1" applyAlignment="1">
      <alignment horizontal="center" vertical="center"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0" fillId="0" borderId="0" xfId="0" applyFill="1" applyAlignment="1">
      <alignment horizontal="center"/>
    </xf>
    <xf numFmtId="0" fontId="38" fillId="0" borderId="0" xfId="0" applyFont="1" applyFill="1" applyAlignment="1">
      <alignment horizontal="center" vertical="top"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0" fontId="38" fillId="0" borderId="0" xfId="0" applyFont="1" applyFill="1" applyAlignment="1">
      <alignment horizontal="left" vertical="center" wrapText="1" indent="2"/>
    </xf>
    <xf numFmtId="0" fontId="63" fillId="0" borderId="0" xfId="0" applyFont="1" applyFill="1" applyAlignment="1">
      <alignment horizontal="center" vertical="center" wrapText="1"/>
    </xf>
    <xf numFmtId="0" fontId="41" fillId="0" borderId="0" xfId="0" applyFont="1" applyFill="1" applyAlignment="1">
      <alignment horizontal="left" vertical="center" wrapText="1"/>
    </xf>
    <xf numFmtId="0" fontId="37" fillId="0" borderId="2" xfId="0" applyFont="1" applyFill="1"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44" fillId="0" borderId="0" xfId="0" applyFont="1" applyFill="1" applyAlignment="1">
      <alignment horizontal="center" vertical="center"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1"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0" fontId="0" fillId="0" borderId="70"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49" fontId="18" fillId="0" borderId="0" xfId="0" applyNumberFormat="1" applyFont="1" applyAlignment="1">
      <alignment horizontal="left" vertical="center"/>
    </xf>
    <xf numFmtId="0" fontId="0" fillId="0" borderId="27" xfId="0" applyBorder="1" applyAlignment="1">
      <alignment horizont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xf numFmtId="0" fontId="53" fillId="0" borderId="5"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11" xfId="0" applyFont="1" applyFill="1" applyBorder="1" applyAlignment="1">
      <alignment horizontal="center" vertical="center" wrapText="1"/>
    </xf>
    <xf numFmtId="3" fontId="53" fillId="0" borderId="11" xfId="1" applyNumberFormat="1" applyFont="1" applyFill="1" applyBorder="1" applyAlignment="1">
      <alignment horizontal="center" vertical="center" wrapText="1"/>
    </xf>
    <xf numFmtId="3" fontId="52" fillId="0" borderId="0" xfId="0" applyNumberFormat="1" applyFont="1" applyFill="1" applyAlignment="1">
      <alignment horizontal="left" vertical="top" wrapText="1"/>
    </xf>
    <xf numFmtId="5" fontId="0" fillId="0" borderId="10" xfId="0" applyNumberFormat="1" applyFont="1" applyFill="1" applyBorder="1" applyAlignment="1">
      <alignment horizontal="right" vertical="top" wrapText="1"/>
    </xf>
    <xf numFmtId="5" fontId="61" fillId="0" borderId="11" xfId="0" applyNumberFormat="1" applyFont="1" applyFill="1" applyBorder="1" applyAlignment="1">
      <alignment horizontal="right" vertical="center" wrapText="1"/>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Data!$A$1570:$A$1881</c:f>
              <c:numCache>
                <c:formatCode>[$-F800]dddd\,\ mmmm\ dd\,\ yyyy</c:formatCode>
                <c:ptCount val="312"/>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44835</c:v>
                </c:pt>
                <c:pt idx="196">
                  <c:v>44836</c:v>
                </c:pt>
                <c:pt idx="197">
                  <c:v>44837</c:v>
                </c:pt>
                <c:pt idx="198">
                  <c:v>44838</c:v>
                </c:pt>
                <c:pt idx="199">
                  <c:v>44839</c:v>
                </c:pt>
                <c:pt idx="200">
                  <c:v>44840</c:v>
                </c:pt>
                <c:pt idx="201">
                  <c:v>44841</c:v>
                </c:pt>
                <c:pt idx="202">
                  <c:v>44844</c:v>
                </c:pt>
                <c:pt idx="203">
                  <c:v>44845</c:v>
                </c:pt>
                <c:pt idx="204">
                  <c:v>44846</c:v>
                </c:pt>
                <c:pt idx="205">
                  <c:v>44847</c:v>
                </c:pt>
                <c:pt idx="206">
                  <c:v>44848</c:v>
                </c:pt>
                <c:pt idx="207">
                  <c:v>44849</c:v>
                </c:pt>
                <c:pt idx="208">
                  <c:v>44850</c:v>
                </c:pt>
                <c:pt idx="209">
                  <c:v>44851</c:v>
                </c:pt>
                <c:pt idx="210">
                  <c:v>44852</c:v>
                </c:pt>
                <c:pt idx="211">
                  <c:v>44853</c:v>
                </c:pt>
                <c:pt idx="212">
                  <c:v>44854</c:v>
                </c:pt>
                <c:pt idx="213">
                  <c:v>44855</c:v>
                </c:pt>
                <c:pt idx="214">
                  <c:v>44856</c:v>
                </c:pt>
                <c:pt idx="215">
                  <c:v>44857</c:v>
                </c:pt>
                <c:pt idx="216">
                  <c:v>44858</c:v>
                </c:pt>
                <c:pt idx="217">
                  <c:v>44859</c:v>
                </c:pt>
                <c:pt idx="218">
                  <c:v>44860</c:v>
                </c:pt>
                <c:pt idx="219">
                  <c:v>44861</c:v>
                </c:pt>
                <c:pt idx="220">
                  <c:v>44862</c:v>
                </c:pt>
                <c:pt idx="221">
                  <c:v>44863</c:v>
                </c:pt>
                <c:pt idx="222">
                  <c:v>44864</c:v>
                </c:pt>
                <c:pt idx="223">
                  <c:v>44865</c:v>
                </c:pt>
                <c:pt idx="224">
                  <c:v>44866</c:v>
                </c:pt>
                <c:pt idx="225">
                  <c:v>44867</c:v>
                </c:pt>
                <c:pt idx="226">
                  <c:v>44868</c:v>
                </c:pt>
                <c:pt idx="227">
                  <c:v>44869</c:v>
                </c:pt>
                <c:pt idx="228">
                  <c:v>44870</c:v>
                </c:pt>
                <c:pt idx="229">
                  <c:v>44871</c:v>
                </c:pt>
                <c:pt idx="230">
                  <c:v>44872</c:v>
                </c:pt>
                <c:pt idx="231">
                  <c:v>44873</c:v>
                </c:pt>
                <c:pt idx="232">
                  <c:v>44874</c:v>
                </c:pt>
                <c:pt idx="233">
                  <c:v>44875</c:v>
                </c:pt>
                <c:pt idx="234">
                  <c:v>44876</c:v>
                </c:pt>
                <c:pt idx="235">
                  <c:v>44879</c:v>
                </c:pt>
                <c:pt idx="236">
                  <c:v>44880</c:v>
                </c:pt>
                <c:pt idx="237">
                  <c:v>44881</c:v>
                </c:pt>
                <c:pt idx="238">
                  <c:v>44882</c:v>
                </c:pt>
                <c:pt idx="239">
                  <c:v>44883</c:v>
                </c:pt>
                <c:pt idx="240">
                  <c:v>44886</c:v>
                </c:pt>
                <c:pt idx="241">
                  <c:v>44887</c:v>
                </c:pt>
                <c:pt idx="242">
                  <c:v>44888</c:v>
                </c:pt>
                <c:pt idx="243">
                  <c:v>44889</c:v>
                </c:pt>
                <c:pt idx="244">
                  <c:v>44890</c:v>
                </c:pt>
                <c:pt idx="245">
                  <c:v>44893</c:v>
                </c:pt>
                <c:pt idx="246">
                  <c:v>44894</c:v>
                </c:pt>
                <c:pt idx="247">
                  <c:v>44895</c:v>
                </c:pt>
                <c:pt idx="248">
                  <c:v>44896</c:v>
                </c:pt>
                <c:pt idx="249">
                  <c:v>44897</c:v>
                </c:pt>
                <c:pt idx="250">
                  <c:v>44900</c:v>
                </c:pt>
                <c:pt idx="251">
                  <c:v>44901</c:v>
                </c:pt>
                <c:pt idx="252">
                  <c:v>44902</c:v>
                </c:pt>
                <c:pt idx="253">
                  <c:v>44903</c:v>
                </c:pt>
                <c:pt idx="254">
                  <c:v>44904</c:v>
                </c:pt>
                <c:pt idx="255">
                  <c:v>44907</c:v>
                </c:pt>
                <c:pt idx="256">
                  <c:v>44908</c:v>
                </c:pt>
                <c:pt idx="257">
                  <c:v>44909</c:v>
                </c:pt>
                <c:pt idx="258">
                  <c:v>44910</c:v>
                </c:pt>
                <c:pt idx="259">
                  <c:v>44911</c:v>
                </c:pt>
                <c:pt idx="260">
                  <c:v>44914</c:v>
                </c:pt>
                <c:pt idx="261">
                  <c:v>44915</c:v>
                </c:pt>
                <c:pt idx="262">
                  <c:v>44916</c:v>
                </c:pt>
                <c:pt idx="263">
                  <c:v>44917</c:v>
                </c:pt>
                <c:pt idx="264">
                  <c:v>44918</c:v>
                </c:pt>
                <c:pt idx="265">
                  <c:v>44921</c:v>
                </c:pt>
                <c:pt idx="266">
                  <c:v>44922</c:v>
                </c:pt>
                <c:pt idx="267">
                  <c:v>44923</c:v>
                </c:pt>
                <c:pt idx="268">
                  <c:v>44924</c:v>
                </c:pt>
                <c:pt idx="269">
                  <c:v>44925</c:v>
                </c:pt>
                <c:pt idx="270">
                  <c:v>44928</c:v>
                </c:pt>
                <c:pt idx="271">
                  <c:v>44929</c:v>
                </c:pt>
                <c:pt idx="272">
                  <c:v>44930</c:v>
                </c:pt>
                <c:pt idx="273">
                  <c:v>44931</c:v>
                </c:pt>
                <c:pt idx="274">
                  <c:v>44932</c:v>
                </c:pt>
                <c:pt idx="275">
                  <c:v>44935</c:v>
                </c:pt>
                <c:pt idx="276">
                  <c:v>44936</c:v>
                </c:pt>
                <c:pt idx="277">
                  <c:v>44937</c:v>
                </c:pt>
                <c:pt idx="278">
                  <c:v>44938</c:v>
                </c:pt>
                <c:pt idx="279">
                  <c:v>44939</c:v>
                </c:pt>
                <c:pt idx="280">
                  <c:v>44942</c:v>
                </c:pt>
                <c:pt idx="281">
                  <c:v>44943</c:v>
                </c:pt>
                <c:pt idx="282">
                  <c:v>44944</c:v>
                </c:pt>
                <c:pt idx="283">
                  <c:v>44945</c:v>
                </c:pt>
                <c:pt idx="284">
                  <c:v>44946</c:v>
                </c:pt>
                <c:pt idx="285">
                  <c:v>44949</c:v>
                </c:pt>
                <c:pt idx="286">
                  <c:v>44950</c:v>
                </c:pt>
                <c:pt idx="287">
                  <c:v>44951</c:v>
                </c:pt>
                <c:pt idx="288">
                  <c:v>44952</c:v>
                </c:pt>
                <c:pt idx="289">
                  <c:v>44953</c:v>
                </c:pt>
                <c:pt idx="290">
                  <c:v>44956</c:v>
                </c:pt>
                <c:pt idx="291">
                  <c:v>44957</c:v>
                </c:pt>
                <c:pt idx="292">
                  <c:v>44958</c:v>
                </c:pt>
                <c:pt idx="293">
                  <c:v>44959</c:v>
                </c:pt>
                <c:pt idx="294">
                  <c:v>44960</c:v>
                </c:pt>
                <c:pt idx="295">
                  <c:v>44963</c:v>
                </c:pt>
                <c:pt idx="296">
                  <c:v>44964</c:v>
                </c:pt>
                <c:pt idx="297">
                  <c:v>44965</c:v>
                </c:pt>
                <c:pt idx="298">
                  <c:v>44966</c:v>
                </c:pt>
                <c:pt idx="299">
                  <c:v>44967</c:v>
                </c:pt>
                <c:pt idx="300">
                  <c:v>44970</c:v>
                </c:pt>
                <c:pt idx="301">
                  <c:v>44971</c:v>
                </c:pt>
                <c:pt idx="302">
                  <c:v>44972</c:v>
                </c:pt>
                <c:pt idx="303">
                  <c:v>44973</c:v>
                </c:pt>
                <c:pt idx="304">
                  <c:v>44974</c:v>
                </c:pt>
                <c:pt idx="305">
                  <c:v>44977</c:v>
                </c:pt>
                <c:pt idx="306">
                  <c:v>44978</c:v>
                </c:pt>
                <c:pt idx="307">
                  <c:v>44979</c:v>
                </c:pt>
                <c:pt idx="308">
                  <c:v>44980</c:v>
                </c:pt>
                <c:pt idx="309">
                  <c:v>44981</c:v>
                </c:pt>
                <c:pt idx="310">
                  <c:v>44984</c:v>
                </c:pt>
                <c:pt idx="311">
                  <c:v>44985</c:v>
                </c:pt>
              </c:numCache>
            </c:numRef>
          </c:cat>
          <c:val>
            <c:numRef>
              <c:f>Data!$B$1570:$B$1881</c:f>
              <c:numCache>
                <c:formatCode>#,##0_);[Red]\(#,##0\)</c:formatCode>
                <c:ptCount val="312"/>
                <c:pt idx="0">
                  <c:v>406650.45</c:v>
                </c:pt>
                <c:pt idx="1">
                  <c:v>372842.39</c:v>
                </c:pt>
                <c:pt idx="2">
                  <c:v>370078.36</c:v>
                </c:pt>
                <c:pt idx="3">
                  <c:v>368257.32</c:v>
                </c:pt>
                <c:pt idx="4">
                  <c:v>369146.3</c:v>
                </c:pt>
                <c:pt idx="5">
                  <c:v>369146.3</c:v>
                </c:pt>
                <c:pt idx="6">
                  <c:v>369146.3</c:v>
                </c:pt>
                <c:pt idx="7">
                  <c:v>369146.3</c:v>
                </c:pt>
                <c:pt idx="8">
                  <c:v>369318.3</c:v>
                </c:pt>
                <c:pt idx="9">
                  <c:v>369357.16</c:v>
                </c:pt>
                <c:pt idx="10">
                  <c:v>369357.16</c:v>
                </c:pt>
                <c:pt idx="11">
                  <c:v>328912.42</c:v>
                </c:pt>
                <c:pt idx="12">
                  <c:v>324854.01</c:v>
                </c:pt>
                <c:pt idx="13">
                  <c:v>373026.22</c:v>
                </c:pt>
                <c:pt idx="14">
                  <c:v>372715.39</c:v>
                </c:pt>
                <c:pt idx="15">
                  <c:v>352413.78</c:v>
                </c:pt>
                <c:pt idx="16">
                  <c:v>324543.71999999997</c:v>
                </c:pt>
                <c:pt idx="17">
                  <c:v>324510.76</c:v>
                </c:pt>
                <c:pt idx="18">
                  <c:v>290902.11</c:v>
                </c:pt>
                <c:pt idx="19">
                  <c:v>290902.11</c:v>
                </c:pt>
                <c:pt idx="20">
                  <c:v>309578.59999999998</c:v>
                </c:pt>
                <c:pt idx="21">
                  <c:v>292963.95</c:v>
                </c:pt>
                <c:pt idx="22">
                  <c:v>345714.5</c:v>
                </c:pt>
                <c:pt idx="23">
                  <c:v>344030.58</c:v>
                </c:pt>
                <c:pt idx="24">
                  <c:v>387503.42</c:v>
                </c:pt>
                <c:pt idx="25">
                  <c:v>387503.42</c:v>
                </c:pt>
                <c:pt idx="26">
                  <c:v>387503.42</c:v>
                </c:pt>
                <c:pt idx="27">
                  <c:v>387503.42</c:v>
                </c:pt>
                <c:pt idx="28">
                  <c:v>411517.59</c:v>
                </c:pt>
                <c:pt idx="29">
                  <c:v>388476.71</c:v>
                </c:pt>
                <c:pt idx="30">
                  <c:v>388476.71</c:v>
                </c:pt>
                <c:pt idx="31">
                  <c:v>350398.25</c:v>
                </c:pt>
                <c:pt idx="32">
                  <c:v>350398.25</c:v>
                </c:pt>
                <c:pt idx="33">
                  <c:v>329726.17</c:v>
                </c:pt>
                <c:pt idx="34">
                  <c:v>329566.19</c:v>
                </c:pt>
                <c:pt idx="35">
                  <c:v>329566.19</c:v>
                </c:pt>
                <c:pt idx="36">
                  <c:v>329566.19</c:v>
                </c:pt>
                <c:pt idx="37">
                  <c:v>330827.17</c:v>
                </c:pt>
                <c:pt idx="38">
                  <c:v>331382.17</c:v>
                </c:pt>
                <c:pt idx="39">
                  <c:v>331382.17</c:v>
                </c:pt>
                <c:pt idx="40">
                  <c:v>331382.17</c:v>
                </c:pt>
                <c:pt idx="41">
                  <c:v>293888.99</c:v>
                </c:pt>
                <c:pt idx="42">
                  <c:v>321342.32</c:v>
                </c:pt>
                <c:pt idx="43">
                  <c:v>328875.55</c:v>
                </c:pt>
                <c:pt idx="44">
                  <c:v>311978.17</c:v>
                </c:pt>
                <c:pt idx="45">
                  <c:v>311978.17</c:v>
                </c:pt>
                <c:pt idx="46">
                  <c:v>323791.65000000002</c:v>
                </c:pt>
                <c:pt idx="47">
                  <c:v>323791.65000000002</c:v>
                </c:pt>
                <c:pt idx="48">
                  <c:v>304395.95</c:v>
                </c:pt>
                <c:pt idx="49">
                  <c:v>304395.95</c:v>
                </c:pt>
                <c:pt idx="50">
                  <c:v>304395.95</c:v>
                </c:pt>
                <c:pt idx="51">
                  <c:v>354177.58</c:v>
                </c:pt>
                <c:pt idx="52">
                  <c:v>354177.58</c:v>
                </c:pt>
                <c:pt idx="53">
                  <c:v>272443</c:v>
                </c:pt>
                <c:pt idx="54">
                  <c:v>271968.02</c:v>
                </c:pt>
                <c:pt idx="55">
                  <c:v>287143.02</c:v>
                </c:pt>
                <c:pt idx="56">
                  <c:v>287143.02</c:v>
                </c:pt>
                <c:pt idx="57">
                  <c:v>171561.3</c:v>
                </c:pt>
                <c:pt idx="58">
                  <c:v>171561.3</c:v>
                </c:pt>
                <c:pt idx="59">
                  <c:v>194069.16</c:v>
                </c:pt>
                <c:pt idx="60">
                  <c:v>184965.34</c:v>
                </c:pt>
                <c:pt idx="61">
                  <c:v>140741.59</c:v>
                </c:pt>
                <c:pt idx="62">
                  <c:v>140708.63</c:v>
                </c:pt>
                <c:pt idx="63">
                  <c:v>281239.25</c:v>
                </c:pt>
                <c:pt idx="64">
                  <c:v>283716.02</c:v>
                </c:pt>
                <c:pt idx="65">
                  <c:v>283716.02</c:v>
                </c:pt>
                <c:pt idx="66">
                  <c:v>300477.89</c:v>
                </c:pt>
                <c:pt idx="67">
                  <c:v>300477.89</c:v>
                </c:pt>
                <c:pt idx="68">
                  <c:v>301029.09000000003</c:v>
                </c:pt>
                <c:pt idx="69">
                  <c:v>296794.44</c:v>
                </c:pt>
                <c:pt idx="70">
                  <c:v>296989.44</c:v>
                </c:pt>
                <c:pt idx="71">
                  <c:v>274755.46000000002</c:v>
                </c:pt>
                <c:pt idx="72">
                  <c:v>274755.46000000002</c:v>
                </c:pt>
                <c:pt idx="73">
                  <c:v>273817.88</c:v>
                </c:pt>
                <c:pt idx="74">
                  <c:v>273375.03999999998</c:v>
                </c:pt>
                <c:pt idx="75">
                  <c:v>306978.36</c:v>
                </c:pt>
                <c:pt idx="76">
                  <c:v>306978.36</c:v>
                </c:pt>
                <c:pt idx="77">
                  <c:v>266613.8</c:v>
                </c:pt>
                <c:pt idx="78">
                  <c:v>271958.33</c:v>
                </c:pt>
                <c:pt idx="79">
                  <c:v>271799.48</c:v>
                </c:pt>
                <c:pt idx="80">
                  <c:v>271799.48</c:v>
                </c:pt>
                <c:pt idx="81">
                  <c:v>231449.55</c:v>
                </c:pt>
                <c:pt idx="82">
                  <c:v>255926.54</c:v>
                </c:pt>
                <c:pt idx="83">
                  <c:v>256457.54</c:v>
                </c:pt>
                <c:pt idx="84">
                  <c:v>255982.56</c:v>
                </c:pt>
                <c:pt idx="85">
                  <c:v>255982.56</c:v>
                </c:pt>
                <c:pt idx="86">
                  <c:v>255982.56</c:v>
                </c:pt>
                <c:pt idx="87">
                  <c:v>237408.49</c:v>
                </c:pt>
                <c:pt idx="88">
                  <c:v>237595.16</c:v>
                </c:pt>
                <c:pt idx="89">
                  <c:v>237595.16</c:v>
                </c:pt>
                <c:pt idx="90">
                  <c:v>237595.16</c:v>
                </c:pt>
                <c:pt idx="91">
                  <c:v>198176.08</c:v>
                </c:pt>
                <c:pt idx="92">
                  <c:v>206509.41</c:v>
                </c:pt>
                <c:pt idx="93">
                  <c:v>196309.39</c:v>
                </c:pt>
                <c:pt idx="94">
                  <c:v>217592.12</c:v>
                </c:pt>
                <c:pt idx="95">
                  <c:v>217592.12</c:v>
                </c:pt>
                <c:pt idx="96">
                  <c:v>217592.12</c:v>
                </c:pt>
                <c:pt idx="97">
                  <c:v>217592.12</c:v>
                </c:pt>
                <c:pt idx="98">
                  <c:v>221731.08</c:v>
                </c:pt>
                <c:pt idx="99">
                  <c:v>217798.74</c:v>
                </c:pt>
                <c:pt idx="100">
                  <c:v>176485.8</c:v>
                </c:pt>
                <c:pt idx="101">
                  <c:v>176485.8</c:v>
                </c:pt>
                <c:pt idx="102">
                  <c:v>176485.8</c:v>
                </c:pt>
                <c:pt idx="103">
                  <c:v>317719.40999999997</c:v>
                </c:pt>
                <c:pt idx="104">
                  <c:v>317244.43</c:v>
                </c:pt>
                <c:pt idx="105">
                  <c:v>317244.43</c:v>
                </c:pt>
                <c:pt idx="106">
                  <c:v>317244.43</c:v>
                </c:pt>
                <c:pt idx="107">
                  <c:v>317244.43</c:v>
                </c:pt>
                <c:pt idx="108">
                  <c:v>317244.43</c:v>
                </c:pt>
                <c:pt idx="109">
                  <c:v>311632.77</c:v>
                </c:pt>
                <c:pt idx="110">
                  <c:v>311632.77</c:v>
                </c:pt>
                <c:pt idx="111">
                  <c:v>272576.3</c:v>
                </c:pt>
                <c:pt idx="112">
                  <c:v>272576.3</c:v>
                </c:pt>
                <c:pt idx="113">
                  <c:v>262789.33</c:v>
                </c:pt>
                <c:pt idx="114">
                  <c:v>262314.34999999998</c:v>
                </c:pt>
                <c:pt idx="115">
                  <c:v>262577.34999999998</c:v>
                </c:pt>
                <c:pt idx="116">
                  <c:v>262577.34999999998</c:v>
                </c:pt>
                <c:pt idx="117">
                  <c:v>359115.13</c:v>
                </c:pt>
                <c:pt idx="118">
                  <c:v>359115.13</c:v>
                </c:pt>
                <c:pt idx="119">
                  <c:v>359115.13</c:v>
                </c:pt>
                <c:pt idx="120">
                  <c:v>317912.34000000003</c:v>
                </c:pt>
                <c:pt idx="121">
                  <c:v>318373.34000000003</c:v>
                </c:pt>
                <c:pt idx="122">
                  <c:v>319350.08</c:v>
                </c:pt>
                <c:pt idx="123">
                  <c:v>329131.38</c:v>
                </c:pt>
                <c:pt idx="124">
                  <c:v>329131.38</c:v>
                </c:pt>
                <c:pt idx="125">
                  <c:v>329131.38</c:v>
                </c:pt>
                <c:pt idx="126">
                  <c:v>329131.38</c:v>
                </c:pt>
                <c:pt idx="127">
                  <c:v>358518.98</c:v>
                </c:pt>
                <c:pt idx="128">
                  <c:v>388026.98</c:v>
                </c:pt>
                <c:pt idx="129">
                  <c:v>388026.98</c:v>
                </c:pt>
                <c:pt idx="130">
                  <c:v>388026.98</c:v>
                </c:pt>
                <c:pt idx="131">
                  <c:v>347383.35</c:v>
                </c:pt>
                <c:pt idx="132">
                  <c:v>347507.35</c:v>
                </c:pt>
                <c:pt idx="133">
                  <c:v>347648.35</c:v>
                </c:pt>
                <c:pt idx="134">
                  <c:v>347173.37</c:v>
                </c:pt>
                <c:pt idx="135">
                  <c:v>347173.37</c:v>
                </c:pt>
                <c:pt idx="136">
                  <c:v>347422.37</c:v>
                </c:pt>
                <c:pt idx="137">
                  <c:v>347422.37</c:v>
                </c:pt>
                <c:pt idx="138">
                  <c:v>353674.1</c:v>
                </c:pt>
                <c:pt idx="139">
                  <c:v>355815.56</c:v>
                </c:pt>
                <c:pt idx="140">
                  <c:v>319836.78000000003</c:v>
                </c:pt>
                <c:pt idx="141">
                  <c:v>296807.06</c:v>
                </c:pt>
                <c:pt idx="142">
                  <c:v>296807.06</c:v>
                </c:pt>
                <c:pt idx="143">
                  <c:v>291257.96000000002</c:v>
                </c:pt>
                <c:pt idx="144">
                  <c:v>290782.98</c:v>
                </c:pt>
                <c:pt idx="145">
                  <c:v>290782.98</c:v>
                </c:pt>
                <c:pt idx="146">
                  <c:v>290754.14</c:v>
                </c:pt>
                <c:pt idx="147">
                  <c:v>290450.96000000002</c:v>
                </c:pt>
                <c:pt idx="148">
                  <c:v>282840.40000000002</c:v>
                </c:pt>
                <c:pt idx="149">
                  <c:v>318945.52</c:v>
                </c:pt>
                <c:pt idx="150">
                  <c:v>318945.52</c:v>
                </c:pt>
                <c:pt idx="151">
                  <c:v>278401.03999999998</c:v>
                </c:pt>
                <c:pt idx="152">
                  <c:v>277801.03999999998</c:v>
                </c:pt>
                <c:pt idx="153">
                  <c:v>277801.03999999998</c:v>
                </c:pt>
                <c:pt idx="154">
                  <c:v>277326.06</c:v>
                </c:pt>
                <c:pt idx="155">
                  <c:v>277326.06</c:v>
                </c:pt>
                <c:pt idx="156">
                  <c:v>254730.8</c:v>
                </c:pt>
                <c:pt idx="157">
                  <c:v>254730.8</c:v>
                </c:pt>
                <c:pt idx="158">
                  <c:v>277867.62</c:v>
                </c:pt>
                <c:pt idx="159">
                  <c:v>278679.81</c:v>
                </c:pt>
                <c:pt idx="160">
                  <c:v>278711.32</c:v>
                </c:pt>
                <c:pt idx="161">
                  <c:v>238555.14</c:v>
                </c:pt>
                <c:pt idx="162">
                  <c:v>238555.14</c:v>
                </c:pt>
                <c:pt idx="163">
                  <c:v>238555.14</c:v>
                </c:pt>
                <c:pt idx="164">
                  <c:v>227371.3</c:v>
                </c:pt>
                <c:pt idx="165">
                  <c:v>227907.61</c:v>
                </c:pt>
                <c:pt idx="166">
                  <c:v>227907.61</c:v>
                </c:pt>
                <c:pt idx="167">
                  <c:v>250036.67</c:v>
                </c:pt>
                <c:pt idx="168">
                  <c:v>255964.71</c:v>
                </c:pt>
                <c:pt idx="169">
                  <c:v>315493.2</c:v>
                </c:pt>
                <c:pt idx="170">
                  <c:v>315493.2</c:v>
                </c:pt>
                <c:pt idx="171">
                  <c:v>332334.94</c:v>
                </c:pt>
                <c:pt idx="172">
                  <c:v>332334.94</c:v>
                </c:pt>
                <c:pt idx="173">
                  <c:v>370869.56</c:v>
                </c:pt>
                <c:pt idx="174">
                  <c:v>370394.58</c:v>
                </c:pt>
                <c:pt idx="175">
                  <c:v>370394.58</c:v>
                </c:pt>
                <c:pt idx="176">
                  <c:v>346842.59</c:v>
                </c:pt>
                <c:pt idx="177">
                  <c:v>346842.59</c:v>
                </c:pt>
                <c:pt idx="178">
                  <c:v>346842.59</c:v>
                </c:pt>
                <c:pt idx="179">
                  <c:v>347076.59</c:v>
                </c:pt>
                <c:pt idx="180">
                  <c:v>308665.48</c:v>
                </c:pt>
                <c:pt idx="181">
                  <c:v>308665.48</c:v>
                </c:pt>
                <c:pt idx="182">
                  <c:v>320782.46999999997</c:v>
                </c:pt>
                <c:pt idx="183">
                  <c:v>317911.17</c:v>
                </c:pt>
                <c:pt idx="184">
                  <c:v>317436.19</c:v>
                </c:pt>
                <c:pt idx="185">
                  <c:v>317436.19</c:v>
                </c:pt>
                <c:pt idx="186">
                  <c:v>428386.24</c:v>
                </c:pt>
                <c:pt idx="187">
                  <c:v>428386.24</c:v>
                </c:pt>
                <c:pt idx="188">
                  <c:v>425851.86</c:v>
                </c:pt>
                <c:pt idx="189">
                  <c:v>453679.91</c:v>
                </c:pt>
                <c:pt idx="190">
                  <c:v>412431.05</c:v>
                </c:pt>
                <c:pt idx="191">
                  <c:v>412402.21</c:v>
                </c:pt>
                <c:pt idx="192">
                  <c:v>417372.63</c:v>
                </c:pt>
                <c:pt idx="193">
                  <c:v>415449.23</c:v>
                </c:pt>
                <c:pt idx="194">
                  <c:v>435708</c:v>
                </c:pt>
                <c:pt idx="195">
                  <c:v>435708</c:v>
                </c:pt>
                <c:pt idx="196">
                  <c:v>435708</c:v>
                </c:pt>
                <c:pt idx="197">
                  <c:v>435708</c:v>
                </c:pt>
                <c:pt idx="198">
                  <c:v>435708</c:v>
                </c:pt>
                <c:pt idx="199">
                  <c:v>436040</c:v>
                </c:pt>
                <c:pt idx="200">
                  <c:v>427559.36</c:v>
                </c:pt>
                <c:pt idx="201">
                  <c:v>427559.36</c:v>
                </c:pt>
                <c:pt idx="202">
                  <c:v>427559.36</c:v>
                </c:pt>
                <c:pt idx="203">
                  <c:v>388161.54</c:v>
                </c:pt>
                <c:pt idx="204">
                  <c:v>388161.54</c:v>
                </c:pt>
                <c:pt idx="205">
                  <c:v>381514.53</c:v>
                </c:pt>
                <c:pt idx="206">
                  <c:v>389507.01</c:v>
                </c:pt>
                <c:pt idx="207">
                  <c:v>389507.01</c:v>
                </c:pt>
                <c:pt idx="208">
                  <c:v>389507.01</c:v>
                </c:pt>
                <c:pt idx="209">
                  <c:v>414035.71</c:v>
                </c:pt>
                <c:pt idx="210">
                  <c:v>413985.71</c:v>
                </c:pt>
                <c:pt idx="211">
                  <c:v>413985.71</c:v>
                </c:pt>
                <c:pt idx="212">
                  <c:v>411319.14</c:v>
                </c:pt>
                <c:pt idx="213">
                  <c:v>411160.29</c:v>
                </c:pt>
                <c:pt idx="214">
                  <c:v>411160.29</c:v>
                </c:pt>
                <c:pt idx="215">
                  <c:v>411160.29</c:v>
                </c:pt>
                <c:pt idx="216">
                  <c:v>372476.51</c:v>
                </c:pt>
                <c:pt idx="217">
                  <c:v>376660.01</c:v>
                </c:pt>
                <c:pt idx="218">
                  <c:v>397613.66</c:v>
                </c:pt>
                <c:pt idx="219">
                  <c:v>387878.55</c:v>
                </c:pt>
                <c:pt idx="220">
                  <c:v>387403.57</c:v>
                </c:pt>
                <c:pt idx="221">
                  <c:v>387403.57</c:v>
                </c:pt>
                <c:pt idx="222">
                  <c:v>387403.57</c:v>
                </c:pt>
                <c:pt idx="223">
                  <c:v>417270.82</c:v>
                </c:pt>
                <c:pt idx="224">
                  <c:v>417270.82</c:v>
                </c:pt>
                <c:pt idx="225">
                  <c:v>417270.82</c:v>
                </c:pt>
                <c:pt idx="226">
                  <c:v>411865.95</c:v>
                </c:pt>
                <c:pt idx="227">
                  <c:v>411865.95</c:v>
                </c:pt>
                <c:pt idx="228">
                  <c:v>411865.95</c:v>
                </c:pt>
                <c:pt idx="229">
                  <c:v>411865.95</c:v>
                </c:pt>
                <c:pt idx="230">
                  <c:v>368529.24</c:v>
                </c:pt>
                <c:pt idx="231">
                  <c:v>369146.24</c:v>
                </c:pt>
                <c:pt idx="232">
                  <c:v>369146.24</c:v>
                </c:pt>
                <c:pt idx="233">
                  <c:v>423875.79</c:v>
                </c:pt>
                <c:pt idx="234">
                  <c:v>423875.79</c:v>
                </c:pt>
                <c:pt idx="235">
                  <c:v>423400.81</c:v>
                </c:pt>
                <c:pt idx="236">
                  <c:v>423210.99</c:v>
                </c:pt>
                <c:pt idx="237">
                  <c:v>473210.99</c:v>
                </c:pt>
                <c:pt idx="238">
                  <c:v>470084.64</c:v>
                </c:pt>
                <c:pt idx="239">
                  <c:v>470084.64</c:v>
                </c:pt>
                <c:pt idx="240">
                  <c:v>424767.46</c:v>
                </c:pt>
                <c:pt idx="241">
                  <c:v>424767.46</c:v>
                </c:pt>
                <c:pt idx="242">
                  <c:v>424767.46</c:v>
                </c:pt>
                <c:pt idx="243">
                  <c:v>424767.46</c:v>
                </c:pt>
                <c:pt idx="244">
                  <c:v>442650.11</c:v>
                </c:pt>
                <c:pt idx="245">
                  <c:v>442518.27</c:v>
                </c:pt>
                <c:pt idx="246">
                  <c:v>442518.27</c:v>
                </c:pt>
                <c:pt idx="247">
                  <c:v>442518.27</c:v>
                </c:pt>
                <c:pt idx="248">
                  <c:v>442518.27</c:v>
                </c:pt>
                <c:pt idx="249">
                  <c:v>420942.38</c:v>
                </c:pt>
                <c:pt idx="250">
                  <c:v>379216.39</c:v>
                </c:pt>
                <c:pt idx="251">
                  <c:v>379216.39</c:v>
                </c:pt>
                <c:pt idx="252">
                  <c:v>379216.39</c:v>
                </c:pt>
                <c:pt idx="253">
                  <c:v>379216.39</c:v>
                </c:pt>
                <c:pt idx="254">
                  <c:v>383318.34</c:v>
                </c:pt>
                <c:pt idx="255">
                  <c:v>383318.34</c:v>
                </c:pt>
                <c:pt idx="256">
                  <c:v>383318.34</c:v>
                </c:pt>
                <c:pt idx="257">
                  <c:v>378306.47</c:v>
                </c:pt>
                <c:pt idx="258">
                  <c:v>385097.98</c:v>
                </c:pt>
                <c:pt idx="259">
                  <c:v>385399.2</c:v>
                </c:pt>
                <c:pt idx="260">
                  <c:v>385399.2</c:v>
                </c:pt>
                <c:pt idx="261">
                  <c:v>343338.22</c:v>
                </c:pt>
                <c:pt idx="262">
                  <c:v>339355.16</c:v>
                </c:pt>
                <c:pt idx="263">
                  <c:v>346945.63</c:v>
                </c:pt>
                <c:pt idx="264">
                  <c:v>346470.13</c:v>
                </c:pt>
                <c:pt idx="265">
                  <c:v>346470.13</c:v>
                </c:pt>
                <c:pt idx="266">
                  <c:v>346470.13</c:v>
                </c:pt>
                <c:pt idx="267">
                  <c:v>432503.36</c:v>
                </c:pt>
                <c:pt idx="268">
                  <c:v>432600.88</c:v>
                </c:pt>
                <c:pt idx="269">
                  <c:v>432698.4</c:v>
                </c:pt>
                <c:pt idx="270">
                  <c:v>432698.4</c:v>
                </c:pt>
                <c:pt idx="271">
                  <c:v>432648.4</c:v>
                </c:pt>
                <c:pt idx="272">
                  <c:v>432648.4</c:v>
                </c:pt>
                <c:pt idx="273">
                  <c:v>376288.8</c:v>
                </c:pt>
                <c:pt idx="274">
                  <c:v>375846.51</c:v>
                </c:pt>
                <c:pt idx="275">
                  <c:v>375246.51</c:v>
                </c:pt>
                <c:pt idx="276">
                  <c:v>375703.51</c:v>
                </c:pt>
                <c:pt idx="277">
                  <c:v>375837.32</c:v>
                </c:pt>
                <c:pt idx="278">
                  <c:v>358313.37</c:v>
                </c:pt>
                <c:pt idx="279">
                  <c:v>362655.36</c:v>
                </c:pt>
                <c:pt idx="280">
                  <c:v>362655.36</c:v>
                </c:pt>
                <c:pt idx="281">
                  <c:v>296234.34999999998</c:v>
                </c:pt>
                <c:pt idx="282">
                  <c:v>309641.15000000002</c:v>
                </c:pt>
                <c:pt idx="283">
                  <c:v>316446.05</c:v>
                </c:pt>
                <c:pt idx="284">
                  <c:v>315066.78000000003</c:v>
                </c:pt>
                <c:pt idx="285">
                  <c:v>314907.93</c:v>
                </c:pt>
                <c:pt idx="286">
                  <c:v>314907.93</c:v>
                </c:pt>
                <c:pt idx="287">
                  <c:v>314907.93</c:v>
                </c:pt>
                <c:pt idx="288">
                  <c:v>315650.68</c:v>
                </c:pt>
                <c:pt idx="289">
                  <c:v>291355.65000000002</c:v>
                </c:pt>
                <c:pt idx="290">
                  <c:v>270294.52</c:v>
                </c:pt>
                <c:pt idx="291">
                  <c:v>269684.28999999998</c:v>
                </c:pt>
                <c:pt idx="292">
                  <c:v>269684.28999999998</c:v>
                </c:pt>
                <c:pt idx="293">
                  <c:v>259972.42</c:v>
                </c:pt>
                <c:pt idx="294">
                  <c:v>282694.13</c:v>
                </c:pt>
                <c:pt idx="295">
                  <c:v>282636.44</c:v>
                </c:pt>
                <c:pt idx="296">
                  <c:v>298296.44</c:v>
                </c:pt>
                <c:pt idx="297">
                  <c:v>298259.44</c:v>
                </c:pt>
                <c:pt idx="298">
                  <c:v>286670.99</c:v>
                </c:pt>
                <c:pt idx="299">
                  <c:v>329121.65000000002</c:v>
                </c:pt>
                <c:pt idx="300">
                  <c:v>287265.95</c:v>
                </c:pt>
                <c:pt idx="301">
                  <c:v>291765.95</c:v>
                </c:pt>
                <c:pt idx="302">
                  <c:v>291800.28000000003</c:v>
                </c:pt>
                <c:pt idx="303">
                  <c:v>298342.23</c:v>
                </c:pt>
                <c:pt idx="304">
                  <c:v>292633.62</c:v>
                </c:pt>
                <c:pt idx="305">
                  <c:v>292633.62</c:v>
                </c:pt>
                <c:pt idx="306">
                  <c:v>325449.82</c:v>
                </c:pt>
                <c:pt idx="307">
                  <c:v>325449.82</c:v>
                </c:pt>
                <c:pt idx="308">
                  <c:v>346374.29</c:v>
                </c:pt>
                <c:pt idx="309">
                  <c:v>346393.96</c:v>
                </c:pt>
                <c:pt idx="310">
                  <c:v>335309.93</c:v>
                </c:pt>
                <c:pt idx="311">
                  <c:v>342685.26</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Data!$F$586:$F$611</c:f>
              <c:numCache>
                <c:formatCode>mmm\-yy</c:formatCode>
                <c:ptCount val="26"/>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numCache>
            </c:numRef>
          </c:cat>
          <c:val>
            <c:numRef>
              <c:f>Data!$G$586:$G$611</c:f>
              <c:numCache>
                <c:formatCode>"$"#,##0_);[Red]\("$"#,##0\)</c:formatCode>
                <c:ptCount val="26"/>
                <c:pt idx="0">
                  <c:v>416865.56</c:v>
                </c:pt>
                <c:pt idx="1">
                  <c:v>403762.36</c:v>
                </c:pt>
                <c:pt idx="2">
                  <c:v>218522.99</c:v>
                </c:pt>
                <c:pt idx="3">
                  <c:v>281784.46000000002</c:v>
                </c:pt>
                <c:pt idx="4">
                  <c:v>231705.38</c:v>
                </c:pt>
                <c:pt idx="5">
                  <c:v>254786.13</c:v>
                </c:pt>
                <c:pt idx="6">
                  <c:v>323671.89</c:v>
                </c:pt>
                <c:pt idx="7">
                  <c:v>334383.06</c:v>
                </c:pt>
                <c:pt idx="8">
                  <c:v>325598.5</c:v>
                </c:pt>
                <c:pt idx="9">
                  <c:v>397934.47</c:v>
                </c:pt>
                <c:pt idx="10">
                  <c:v>304557.78000000003</c:v>
                </c:pt>
                <c:pt idx="11">
                  <c:v>339829.81</c:v>
                </c:pt>
                <c:pt idx="12">
                  <c:v>483670.84</c:v>
                </c:pt>
                <c:pt idx="13">
                  <c:v>403181.63</c:v>
                </c:pt>
                <c:pt idx="14">
                  <c:v>315833.28999999998</c:v>
                </c:pt>
                <c:pt idx="15">
                  <c:v>327170</c:v>
                </c:pt>
                <c:pt idx="16">
                  <c:v>246847.16</c:v>
                </c:pt>
                <c:pt idx="17">
                  <c:v>274391.32</c:v>
                </c:pt>
                <c:pt idx="18">
                  <c:v>311473.07</c:v>
                </c:pt>
                <c:pt idx="19">
                  <c:v>246923.1</c:v>
                </c:pt>
                <c:pt idx="20">
                  <c:v>214783.77</c:v>
                </c:pt>
                <c:pt idx="21">
                  <c:v>264786.40999999997</c:v>
                </c:pt>
                <c:pt idx="22">
                  <c:v>290727.87</c:v>
                </c:pt>
                <c:pt idx="23">
                  <c:v>362006.45</c:v>
                </c:pt>
                <c:pt idx="24">
                  <c:v>493843.91</c:v>
                </c:pt>
                <c:pt idx="25">
                  <c:v>398480.17</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26759790619388E-2"/>
          <c:y val="0.16273304546609094"/>
          <c:w val="0.88186187470367861"/>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Data!$J$526:$J$608</c:f>
              <c:numCache>
                <c:formatCode>mmm\-yy</c:formatCode>
                <c:ptCount val="83"/>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numCache>
            </c:numRef>
          </c:xVal>
          <c:yVal>
            <c:numRef>
              <c:f>Data!$K$526:$K$608</c:f>
              <c:numCache>
                <c:formatCode>_("$"* #,##0_);_("$"* \(#,##0\);_("$"* "-"_);_(@_)</c:formatCode>
                <c:ptCount val="83"/>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4800"/>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inorUnit val="50"/>
      </c:valAx>
      <c:valAx>
        <c:axId val="416924224"/>
        <c:scaling>
          <c:orientation val="minMax"/>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'February''23 AR Aging '!$B$210</c:f>
              <c:strCache>
                <c:ptCount val="1"/>
                <c:pt idx="0">
                  <c:v>Current Month</c:v>
                </c:pt>
              </c:strCache>
            </c:strRef>
          </c:tx>
          <c:spPr>
            <a:solidFill>
              <a:srgbClr val="0070C0"/>
            </a:solidFill>
          </c:spPr>
          <c:invertIfNegative val="0"/>
          <c:val>
            <c:numRef>
              <c:f>'February''23 AR Aging '!$C$210:$N$210</c:f>
            </c:numRef>
          </c:val>
          <c:extLst>
            <c:ext xmlns:c15="http://schemas.microsoft.com/office/drawing/2012/chart" uri="{02D57815-91ED-43cb-92C2-25804820EDAC}">
              <c15:filteredCategoryTitle>
                <c15:cat>
                  <c:multiLvlStrRef>
                    <c:extLst>
                      <c:ext uri="{02D57815-91ED-43cb-92C2-25804820EDAC}">
                        <c15:formulaRef>
                          <c15:sqref>'February''23 AR Aging '!$C$209:$N$209</c15:sqref>
                        </c15:formulaRef>
                      </c:ext>
                    </c:extLst>
                  </c:multiLvlStrRef>
                </c15:cat>
              </c15:filteredCategoryTitle>
            </c:ext>
            <c:ext xmlns:c16="http://schemas.microsoft.com/office/drawing/2014/chart" uri="{C3380CC4-5D6E-409C-BE32-E72D297353CC}">
              <c16:uniqueId val="{00000000-0123-4EB4-86F4-5B3293A5D00E}"/>
            </c:ext>
          </c:extLst>
        </c:ser>
        <c:ser>
          <c:idx val="1"/>
          <c:order val="1"/>
          <c:tx>
            <c:strRef>
              <c:f>'February''23 AR Aging '!$B$211</c:f>
              <c:strCache>
                <c:ptCount val="1"/>
                <c:pt idx="0">
                  <c:v>Previous Month</c:v>
                </c:pt>
              </c:strCache>
            </c:strRef>
          </c:tx>
          <c:spPr>
            <a:solidFill>
              <a:schemeClr val="accent6">
                <a:lumMod val="40000"/>
                <a:lumOff val="60000"/>
              </a:schemeClr>
            </a:solidFill>
          </c:spPr>
          <c:invertIfNegative val="0"/>
          <c:val>
            <c:numRef>
              <c:f>'February''23 AR Aging '!$C$211:$N$211</c:f>
            </c:numRef>
          </c:val>
          <c:extLst>
            <c:ext xmlns:c15="http://schemas.microsoft.com/office/drawing/2012/chart" uri="{02D57815-91ED-43cb-92C2-25804820EDAC}">
              <c15:filteredCategoryTitle>
                <c15:cat>
                  <c:multiLvlStrRef>
                    <c:extLst>
                      <c:ext uri="{02D57815-91ED-43cb-92C2-25804820EDAC}">
                        <c15:formulaRef>
                          <c15:sqref>'February''23 AR Aging '!$C$209:$N$209</c15:sqref>
                        </c15:formulaRef>
                      </c:ext>
                    </c:extLst>
                  </c:multiLvlStrRef>
                </c15:cat>
              </c15:filteredCategoryTitle>
            </c:ext>
            <c:ext xmlns:c16="http://schemas.microsoft.com/office/drawing/2014/chart" uri="{C3380CC4-5D6E-409C-BE32-E72D297353CC}">
              <c16:uniqueId val="{00000001-0123-4EB4-86F4-5B3293A5D00E}"/>
            </c:ext>
          </c:extLst>
        </c:ser>
        <c:ser>
          <c:idx val="2"/>
          <c:order val="2"/>
          <c:tx>
            <c:strRef>
              <c:f>'February''23 AR Aging '!$B$212</c:f>
              <c:strCache>
                <c:ptCount val="1"/>
                <c:pt idx="0">
                  <c:v>Three Months Ago</c:v>
                </c:pt>
              </c:strCache>
            </c:strRef>
          </c:tx>
          <c:spPr>
            <a:solidFill>
              <a:schemeClr val="accent3">
                <a:lumMod val="75000"/>
              </a:schemeClr>
            </a:solidFill>
          </c:spPr>
          <c:invertIfNegative val="0"/>
          <c:val>
            <c:numRef>
              <c:f>'February''23 AR Aging '!$C$212:$N$212</c:f>
            </c:numRef>
          </c:val>
          <c:extLst>
            <c:ext xmlns:c15="http://schemas.microsoft.com/office/drawing/2012/chart" uri="{02D57815-91ED-43cb-92C2-25804820EDAC}">
              <c15:filteredCategoryTitle>
                <c15:cat>
                  <c:multiLvlStrRef>
                    <c:extLst>
                      <c:ext uri="{02D57815-91ED-43cb-92C2-25804820EDAC}">
                        <c15:formulaRef>
                          <c15:sqref>'February''23 AR Aging '!$C$209:$N$209</c15:sqref>
                        </c15:formulaRef>
                      </c:ext>
                    </c:extLst>
                  </c:multiLvlStrRef>
                </c15:cat>
              </c15:filteredCategoryTitle>
            </c:ext>
            <c:ext xmlns:c16="http://schemas.microsoft.com/office/drawing/2014/chart" uri="{C3380CC4-5D6E-409C-BE32-E72D297353CC}">
              <c16:uniqueId val="{00000002-0123-4EB4-86F4-5B3293A5D00E}"/>
            </c:ext>
          </c:extLst>
        </c:ser>
        <c:ser>
          <c:idx val="3"/>
          <c:order val="3"/>
          <c:tx>
            <c:strRef>
              <c:f>'February''23 AR Aging '!$B$213</c:f>
              <c:strCache>
                <c:ptCount val="1"/>
                <c:pt idx="0">
                  <c:v>Older than Three Months</c:v>
                </c:pt>
              </c:strCache>
            </c:strRef>
          </c:tx>
          <c:spPr>
            <a:solidFill>
              <a:schemeClr val="accent4">
                <a:lumMod val="40000"/>
                <a:lumOff val="60000"/>
              </a:schemeClr>
            </a:solidFill>
          </c:spPr>
          <c:invertIfNegative val="0"/>
          <c:val>
            <c:numRef>
              <c:f>'February''23 AR Aging '!$C$213:$N$213</c:f>
            </c:numRef>
          </c:val>
          <c:extLst>
            <c:ext xmlns:c15="http://schemas.microsoft.com/office/drawing/2012/chart" uri="{02D57815-91ED-43cb-92C2-25804820EDAC}">
              <c15:filteredCategoryTitle>
                <c15:cat>
                  <c:multiLvlStrRef>
                    <c:extLst>
                      <c:ext uri="{02D57815-91ED-43cb-92C2-25804820EDAC}">
                        <c15:formulaRef>
                          <c15:sqref>'February''23 AR Aging '!$C$209:$N$209</c15:sqref>
                        </c15:formulaRef>
                      </c:ext>
                    </c:extLst>
                  </c:multiLvlStr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25</xdr:row>
      <xdr:rowOff>47625</xdr:rowOff>
    </xdr:from>
    <xdr:to>
      <xdr:col>7</xdr:col>
      <xdr:colOff>1381125</xdr:colOff>
      <xdr:row>32</xdr:row>
      <xdr:rowOff>190500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203</xdr:row>
      <xdr:rowOff>47625</xdr:rowOff>
    </xdr:from>
    <xdr:to>
      <xdr:col>8</xdr:col>
      <xdr:colOff>523875</xdr:colOff>
      <xdr:row>240</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6">
          <cell r="N46">
            <v>0</v>
          </cell>
          <cell r="O46">
            <v>0</v>
          </cell>
          <cell r="P46">
            <v>0</v>
          </cell>
          <cell r="Q46">
            <v>0</v>
          </cell>
          <cell r="R46">
            <v>0</v>
          </cell>
          <cell r="S46">
            <v>0</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A3" t="str">
            <v>Eight Months Ended August 31, 2022 and 2021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refreshError="1"/>
      <sheetData sheetId="1" refreshError="1"/>
      <sheetData sheetId="2" refreshError="1"/>
      <sheetData sheetId="3" refreshError="1"/>
      <sheetData sheetId="4"/>
      <sheetData sheetId="5" refreshError="1"/>
      <sheetData sheetId="6" refreshError="1"/>
      <sheetData sheetId="7">
        <row r="26">
          <cell r="H26">
            <v>52740</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72"/>
  <sheetViews>
    <sheetView topLeftCell="A4" zoomScale="70" zoomScaleNormal="70" workbookViewId="0">
      <selection activeCell="K8" sqref="K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6.875" style="18" customWidth="1"/>
    <col min="10" max="10" width="1.75" style="18" customWidth="1"/>
    <col min="11" max="11" width="26.8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412</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439</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974" t="s">
        <v>49</v>
      </c>
      <c r="H5" s="974"/>
      <c r="I5" s="974"/>
      <c r="J5" s="974"/>
      <c r="K5" s="974"/>
      <c r="L5" s="415" t="s">
        <v>181</v>
      </c>
      <c r="M5" s="412"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793" t="s">
        <v>440</v>
      </c>
      <c r="H7" s="794" t="s">
        <v>441</v>
      </c>
      <c r="I7" s="794" t="s">
        <v>442</v>
      </c>
      <c r="J7" s="794"/>
      <c r="K7" s="795" t="s">
        <v>447</v>
      </c>
      <c r="L7" s="975" t="s">
        <v>416</v>
      </c>
      <c r="M7" s="975"/>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0" t="s">
        <v>101</v>
      </c>
      <c r="D8" s="420"/>
      <c r="E8" s="420"/>
      <c r="F8" s="73"/>
      <c r="G8" s="326">
        <v>200992</v>
      </c>
      <c r="H8" s="326">
        <v>507048</v>
      </c>
      <c r="I8" s="326">
        <f>G8+H8</f>
        <v>708040</v>
      </c>
      <c r="J8" s="326"/>
      <c r="K8" s="263">
        <v>700893</v>
      </c>
      <c r="L8" s="378">
        <f>I8-K8</f>
        <v>7147</v>
      </c>
      <c r="M8" s="413">
        <f>(I8-K8)/K8</f>
        <v>1.0196991552205544E-2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0" t="s">
        <v>150</v>
      </c>
      <c r="D9" s="420"/>
      <c r="E9" s="420"/>
      <c r="F9" s="73"/>
      <c r="G9" s="322">
        <v>18908</v>
      </c>
      <c r="H9" s="322">
        <v>61000</v>
      </c>
      <c r="I9" s="322">
        <f>G9+H9</f>
        <v>79908</v>
      </c>
      <c r="J9" s="322"/>
      <c r="K9" s="264">
        <v>90000</v>
      </c>
      <c r="L9" s="506">
        <f>I9-K9</f>
        <v>-10092</v>
      </c>
      <c r="M9" s="413">
        <f t="shared" ref="M9:M28" si="0">(I9-K9)/K9</f>
        <v>-0.11213333333333333</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0" t="s">
        <v>179</v>
      </c>
      <c r="D10" s="420"/>
      <c r="E10" s="420"/>
      <c r="F10" s="73"/>
      <c r="G10" s="322">
        <v>16159</v>
      </c>
      <c r="H10" s="322">
        <v>25547</v>
      </c>
      <c r="I10" s="322">
        <f>G10+H10</f>
        <v>41706</v>
      </c>
      <c r="J10" s="322"/>
      <c r="K10" s="264">
        <v>50397</v>
      </c>
      <c r="L10" s="506">
        <f>I10-K10</f>
        <v>-8691</v>
      </c>
      <c r="M10" s="413">
        <f t="shared" si="0"/>
        <v>-0.17245074111554259</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0" t="s">
        <v>102</v>
      </c>
      <c r="D11" s="420"/>
      <c r="E11" s="420"/>
      <c r="F11" s="73"/>
      <c r="G11" s="322"/>
      <c r="H11" s="322"/>
      <c r="I11" s="322">
        <f t="shared" ref="I11:I28" si="1">G11+H11</f>
        <v>0</v>
      </c>
      <c r="J11" s="322"/>
      <c r="K11" s="264"/>
      <c r="L11" s="506"/>
      <c r="M11" s="413"/>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0" t="s">
        <v>139</v>
      </c>
      <c r="E12" s="420"/>
      <c r="F12" s="73"/>
      <c r="G12" s="322">
        <v>78605</v>
      </c>
      <c r="H12" s="322">
        <f>239968-H10-H13-H14</f>
        <v>121781</v>
      </c>
      <c r="I12" s="322">
        <f t="shared" si="1"/>
        <v>200386</v>
      </c>
      <c r="J12" s="322"/>
      <c r="K12" s="264">
        <v>169789</v>
      </c>
      <c r="L12" s="506">
        <f t="shared" ref="L12:L28" si="2">I12-K12</f>
        <v>30597</v>
      </c>
      <c r="M12" s="413">
        <f t="shared" si="0"/>
        <v>0.18020602041357214</v>
      </c>
      <c r="N12" s="68"/>
      <c r="O12" s="469"/>
      <c r="P12" s="468"/>
      <c r="Q12" s="4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0" t="s">
        <v>159</v>
      </c>
      <c r="E13" s="420"/>
      <c r="F13" s="73"/>
      <c r="G13" s="322">
        <v>6000</v>
      </c>
      <c r="H13" s="322">
        <f>1500*8</f>
        <v>12000</v>
      </c>
      <c r="I13" s="322">
        <f t="shared" si="1"/>
        <v>18000</v>
      </c>
      <c r="J13" s="322"/>
      <c r="K13" s="264">
        <v>18000</v>
      </c>
      <c r="L13" s="506">
        <f t="shared" si="2"/>
        <v>0</v>
      </c>
      <c r="M13" s="413">
        <f t="shared" si="0"/>
        <v>0</v>
      </c>
      <c r="N13" s="68"/>
      <c r="O13" s="387"/>
      <c r="P13" s="470"/>
      <c r="Q13" s="361"/>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0"/>
      <c r="D14" s="420" t="s">
        <v>404</v>
      </c>
      <c r="E14" s="420"/>
      <c r="F14" s="73"/>
      <c r="G14" s="322">
        <v>39088</v>
      </c>
      <c r="H14" s="322">
        <v>80640</v>
      </c>
      <c r="I14" s="322">
        <f t="shared" si="1"/>
        <v>119728</v>
      </c>
      <c r="J14" s="322"/>
      <c r="K14" s="264">
        <v>114072</v>
      </c>
      <c r="L14" s="506">
        <f t="shared" si="2"/>
        <v>5656</v>
      </c>
      <c r="M14" s="413">
        <f t="shared" si="0"/>
        <v>4.9582719685812467E-2</v>
      </c>
      <c r="N14" s="68"/>
      <c r="O14" s="387"/>
      <c r="P14" s="470"/>
      <c r="Q14" s="361"/>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0" t="s">
        <v>377</v>
      </c>
      <c r="D15" s="420"/>
      <c r="E15" s="420"/>
      <c r="F15" s="73"/>
      <c r="G15" s="322">
        <v>5511</v>
      </c>
      <c r="H15" s="322">
        <f>17000-G15</f>
        <v>11489</v>
      </c>
      <c r="I15" s="322">
        <f t="shared" si="1"/>
        <v>17000</v>
      </c>
      <c r="J15" s="322"/>
      <c r="K15" s="264">
        <v>17000</v>
      </c>
      <c r="L15" s="506">
        <f t="shared" si="2"/>
        <v>0</v>
      </c>
      <c r="M15" s="413">
        <f t="shared" si="0"/>
        <v>0</v>
      </c>
      <c r="N15" s="68"/>
      <c r="O15" s="387"/>
      <c r="P15" s="470"/>
      <c r="Q15" s="361"/>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0" t="s">
        <v>110</v>
      </c>
      <c r="D16" s="420"/>
      <c r="E16" s="420"/>
      <c r="F16" s="73"/>
      <c r="G16" s="322">
        <v>228</v>
      </c>
      <c r="H16" s="322">
        <v>684</v>
      </c>
      <c r="I16" s="322">
        <f t="shared" si="1"/>
        <v>912</v>
      </c>
      <c r="J16" s="322"/>
      <c r="K16" s="264">
        <v>1200</v>
      </c>
      <c r="L16" s="506">
        <f t="shared" si="2"/>
        <v>-288</v>
      </c>
      <c r="M16" s="413">
        <f t="shared" si="0"/>
        <v>-0.24</v>
      </c>
      <c r="N16" s="68"/>
      <c r="O16" s="387"/>
      <c r="P16" s="470"/>
      <c r="Q16" s="361"/>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0" t="s">
        <v>237</v>
      </c>
      <c r="D17" s="420"/>
      <c r="E17" s="420"/>
      <c r="F17" s="73"/>
      <c r="G17" s="322">
        <v>-405</v>
      </c>
      <c r="H17" s="322">
        <f>400*8-1000</f>
        <v>2200</v>
      </c>
      <c r="I17" s="322">
        <f t="shared" si="1"/>
        <v>1795</v>
      </c>
      <c r="J17" s="322"/>
      <c r="K17" s="264">
        <v>4680</v>
      </c>
      <c r="L17" s="506">
        <f t="shared" si="2"/>
        <v>-2885</v>
      </c>
      <c r="M17" s="413">
        <f t="shared" si="0"/>
        <v>-0.61645299145299148</v>
      </c>
      <c r="N17" s="68"/>
      <c r="O17" s="387"/>
      <c r="P17" s="470"/>
      <c r="Q17" s="361"/>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0" t="s">
        <v>320</v>
      </c>
      <c r="D18" s="420"/>
      <c r="E18" s="420"/>
      <c r="F18" s="73"/>
      <c r="G18" s="322">
        <v>12304</v>
      </c>
      <c r="H18" s="322">
        <v>1500</v>
      </c>
      <c r="I18" s="322">
        <f t="shared" si="1"/>
        <v>13804</v>
      </c>
      <c r="J18" s="322"/>
      <c r="K18" s="264">
        <v>1500</v>
      </c>
      <c r="L18" s="506">
        <f t="shared" si="2"/>
        <v>12304</v>
      </c>
      <c r="M18" s="413">
        <f t="shared" si="0"/>
        <v>8.2026666666666674</v>
      </c>
      <c r="N18" s="68"/>
      <c r="O18" s="387"/>
      <c r="P18" s="470"/>
      <c r="Q18" s="361"/>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0" t="s">
        <v>417</v>
      </c>
      <c r="D19" s="420"/>
      <c r="E19" s="420"/>
      <c r="F19" s="73"/>
      <c r="G19" s="322"/>
      <c r="H19" s="322"/>
      <c r="I19" s="322">
        <f t="shared" si="1"/>
        <v>0</v>
      </c>
      <c r="J19" s="322"/>
      <c r="K19" s="264"/>
      <c r="L19" s="506">
        <f t="shared" si="2"/>
        <v>0</v>
      </c>
      <c r="M19" s="413"/>
      <c r="N19" s="68"/>
      <c r="O19" s="387"/>
      <c r="P19" s="470"/>
      <c r="Q19" s="361"/>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0"/>
      <c r="D20" s="420" t="s">
        <v>11</v>
      </c>
      <c r="E20" s="420"/>
      <c r="F20" s="73"/>
      <c r="G20" s="322">
        <f>10047-3000</f>
        <v>7047</v>
      </c>
      <c r="H20" s="322">
        <f>65179-H21-12000</f>
        <v>21179</v>
      </c>
      <c r="I20" s="322">
        <f t="shared" si="1"/>
        <v>28226</v>
      </c>
      <c r="J20" s="322"/>
      <c r="K20" s="264">
        <f>79293-48000</f>
        <v>31293</v>
      </c>
      <c r="L20" s="506">
        <f t="shared" si="2"/>
        <v>-3067</v>
      </c>
      <c r="M20" s="413">
        <f t="shared" si="0"/>
        <v>-9.8009139424152361E-2</v>
      </c>
      <c r="N20" s="68"/>
      <c r="O20" s="387"/>
      <c r="P20" s="470"/>
      <c r="Q20" s="361"/>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792"/>
      <c r="D21" s="420" t="s">
        <v>17</v>
      </c>
      <c r="E21" s="792"/>
      <c r="F21" s="792"/>
      <c r="G21" s="322">
        <f>48000/12*4</f>
        <v>16000</v>
      </c>
      <c r="H21" s="322">
        <f>48000-G21</f>
        <v>32000</v>
      </c>
      <c r="I21" s="322">
        <f t="shared" si="1"/>
        <v>48000</v>
      </c>
      <c r="J21" s="322"/>
      <c r="K21" s="264">
        <v>48000</v>
      </c>
      <c r="L21" s="506">
        <f t="shared" si="2"/>
        <v>0</v>
      </c>
      <c r="M21" s="413">
        <f t="shared" si="0"/>
        <v>0</v>
      </c>
      <c r="N21" s="68"/>
      <c r="O21" s="387"/>
      <c r="P21" s="470"/>
      <c r="Q21" s="361"/>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92"/>
      <c r="D22" s="420" t="s">
        <v>443</v>
      </c>
      <c r="E22" s="792"/>
      <c r="F22" s="792"/>
      <c r="G22" s="322">
        <v>3000</v>
      </c>
      <c r="H22" s="322">
        <v>12000</v>
      </c>
      <c r="I22" s="322">
        <f t="shared" si="1"/>
        <v>15000</v>
      </c>
      <c r="J22" s="322"/>
      <c r="K22" s="264">
        <v>0</v>
      </c>
      <c r="L22" s="506">
        <f t="shared" si="2"/>
        <v>15000</v>
      </c>
      <c r="M22" s="413"/>
      <c r="N22" s="68"/>
      <c r="O22" s="387"/>
      <c r="P22" s="470"/>
      <c r="Q22" s="361"/>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420" t="s">
        <v>322</v>
      </c>
      <c r="D23" s="792"/>
      <c r="E23" s="792"/>
      <c r="F23" s="792"/>
      <c r="G23" s="322">
        <v>3150</v>
      </c>
      <c r="H23" s="322">
        <v>0</v>
      </c>
      <c r="I23" s="322">
        <f t="shared" si="1"/>
        <v>3150</v>
      </c>
      <c r="J23" s="322"/>
      <c r="K23" s="264"/>
      <c r="L23" s="506">
        <f t="shared" si="2"/>
        <v>3150</v>
      </c>
      <c r="M23" s="413"/>
      <c r="N23" s="68"/>
      <c r="O23" s="387"/>
      <c r="P23" s="470"/>
      <c r="Q23" s="361"/>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420" t="s">
        <v>109</v>
      </c>
      <c r="D24" s="792"/>
      <c r="E24" s="792"/>
      <c r="F24" s="792"/>
      <c r="G24" s="322">
        <v>17580</v>
      </c>
      <c r="H24" s="322">
        <f>H35</f>
        <v>35160</v>
      </c>
      <c r="I24" s="322">
        <f t="shared" si="1"/>
        <v>52740</v>
      </c>
      <c r="J24" s="322"/>
      <c r="K24" s="322">
        <v>46576</v>
      </c>
      <c r="L24" s="506">
        <f t="shared" si="2"/>
        <v>6164</v>
      </c>
      <c r="M24" s="413">
        <f t="shared" si="0"/>
        <v>0.13234283751288217</v>
      </c>
      <c r="N24" s="68"/>
      <c r="O24" s="387"/>
      <c r="P24" s="470"/>
      <c r="Q24" s="361"/>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0" t="s">
        <v>420</v>
      </c>
      <c r="D25" s="792"/>
      <c r="E25" s="792"/>
      <c r="F25" s="792"/>
      <c r="G25" s="322">
        <v>5055</v>
      </c>
      <c r="H25" s="322">
        <f>15000+250</f>
        <v>15250</v>
      </c>
      <c r="I25" s="322">
        <f t="shared" si="1"/>
        <v>20305</v>
      </c>
      <c r="J25" s="322"/>
      <c r="K25" s="322">
        <v>21600</v>
      </c>
      <c r="L25" s="506">
        <f t="shared" si="2"/>
        <v>-1295</v>
      </c>
      <c r="M25" s="413">
        <f t="shared" si="0"/>
        <v>-5.9953703703703703E-2</v>
      </c>
      <c r="N25" s="68"/>
      <c r="O25" s="387"/>
      <c r="P25" s="470"/>
      <c r="Q25" s="361"/>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0" t="s">
        <v>102</v>
      </c>
      <c r="D26" s="792"/>
      <c r="E26" s="792"/>
      <c r="F26" s="792"/>
      <c r="G26" s="322">
        <f>18500/12*4</f>
        <v>6166.666666666667</v>
      </c>
      <c r="H26" s="322">
        <f>18500-G26</f>
        <v>12333.333333333332</v>
      </c>
      <c r="I26" s="322">
        <f t="shared" si="1"/>
        <v>18500</v>
      </c>
      <c r="J26" s="322"/>
      <c r="K26" s="322">
        <v>19000</v>
      </c>
      <c r="L26" s="506">
        <f t="shared" si="2"/>
        <v>-500</v>
      </c>
      <c r="M26" s="413">
        <f t="shared" si="0"/>
        <v>-2.6315789473684209E-2</v>
      </c>
      <c r="N26" s="68"/>
      <c r="O26" s="387"/>
      <c r="P26" s="470"/>
      <c r="Q26" s="361"/>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0" t="s">
        <v>319</v>
      </c>
      <c r="D27" s="792"/>
      <c r="E27" s="792"/>
      <c r="F27" s="792"/>
      <c r="G27" s="322">
        <f>41600/12*4</f>
        <v>13866.666666666666</v>
      </c>
      <c r="H27" s="322">
        <f>3466.67*8</f>
        <v>27733.360000000001</v>
      </c>
      <c r="I27" s="322">
        <f t="shared" si="1"/>
        <v>41600.026666666665</v>
      </c>
      <c r="J27" s="322"/>
      <c r="K27" s="322">
        <v>50000</v>
      </c>
      <c r="L27" s="506">
        <f t="shared" si="2"/>
        <v>-8399.9733333333352</v>
      </c>
      <c r="M27" s="413">
        <f t="shared" si="0"/>
        <v>-0.16799946666666671</v>
      </c>
      <c r="N27" s="68"/>
      <c r="O27" s="387"/>
      <c r="P27" s="470"/>
      <c r="Q27" s="361"/>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0" t="s">
        <v>321</v>
      </c>
      <c r="D28" s="792"/>
      <c r="E28" s="792"/>
      <c r="F28" s="792"/>
      <c r="G28" s="322">
        <f>27832-G26-G27</f>
        <v>7798.6666666666661</v>
      </c>
      <c r="H28" s="322">
        <v>11317</v>
      </c>
      <c r="I28" s="322">
        <f t="shared" si="1"/>
        <v>19115.666666666664</v>
      </c>
      <c r="J28" s="322"/>
      <c r="K28" s="322">
        <v>16835</v>
      </c>
      <c r="L28" s="506">
        <f t="shared" si="2"/>
        <v>2280.6666666666642</v>
      </c>
      <c r="M28" s="413">
        <f t="shared" si="0"/>
        <v>0.13547173547173533</v>
      </c>
      <c r="N28" s="68"/>
      <c r="O28" s="387"/>
      <c r="P28" s="470"/>
      <c r="Q28" s="36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0"/>
      <c r="D29" s="73" t="s">
        <v>105</v>
      </c>
      <c r="E29" s="420"/>
      <c r="F29" s="73"/>
      <c r="G29" s="749">
        <f>SUM(G8:G28)</f>
        <v>457054.00000000006</v>
      </c>
      <c r="H29" s="749">
        <f>SUM(H8:H28)</f>
        <v>990861.69333333336</v>
      </c>
      <c r="I29" s="749">
        <f>SUM(I8:I28)</f>
        <v>1447915.6933333334</v>
      </c>
      <c r="J29" s="749"/>
      <c r="K29" s="749">
        <f>SUM(K8:K28)</f>
        <v>1400835</v>
      </c>
      <c r="L29" s="750">
        <f>SUM(L8:L28)</f>
        <v>47080.693333333329</v>
      </c>
      <c r="M29" s="751">
        <f>L29/K29</f>
        <v>3.3609021286113872E-2</v>
      </c>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0"/>
      <c r="D30" s="73"/>
      <c r="E30" s="420"/>
      <c r="F30" s="73"/>
      <c r="G30" s="322"/>
      <c r="H30" s="322"/>
      <c r="I30" s="322"/>
      <c r="J30" s="322"/>
      <c r="K30" s="591"/>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1" thickBot="1" x14ac:dyDescent="0.25">
      <c r="A31" s="73"/>
      <c r="B31" s="87" t="s">
        <v>111</v>
      </c>
      <c r="C31" s="87"/>
      <c r="D31" s="87"/>
      <c r="E31" s="87"/>
      <c r="F31" s="87"/>
      <c r="G31" s="322"/>
      <c r="H31" s="322"/>
      <c r="I31" s="322"/>
      <c r="J31" s="322"/>
      <c r="K31" s="3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68" customFormat="1" ht="20.25" x14ac:dyDescent="0.2">
      <c r="A32" s="67"/>
      <c r="B32" s="67"/>
      <c r="C32" s="79" t="s">
        <v>112</v>
      </c>
      <c r="D32" s="79"/>
      <c r="E32" s="79"/>
      <c r="F32" s="79"/>
      <c r="G32" s="232">
        <v>276045.51</v>
      </c>
      <c r="H32" s="322">
        <v>641500</v>
      </c>
      <c r="I32" s="322">
        <f>SUM(G32:H32)</f>
        <v>917545.51</v>
      </c>
      <c r="J32" s="322"/>
      <c r="K32" s="752">
        <v>932770</v>
      </c>
      <c r="L32" s="506">
        <f>I32-K32</f>
        <v>-15224.489999999991</v>
      </c>
      <c r="M32" s="436">
        <f>L32/K32</f>
        <v>-1.6321804946557019E-2</v>
      </c>
    </row>
    <row r="33" spans="1:15" s="68" customFormat="1" ht="20.25" x14ac:dyDescent="0.2">
      <c r="A33" s="67"/>
      <c r="B33" s="67"/>
      <c r="C33" s="79" t="s">
        <v>113</v>
      </c>
      <c r="D33" s="79"/>
      <c r="E33" s="79"/>
      <c r="F33" s="79"/>
      <c r="G33" s="232">
        <f>60096.8</f>
        <v>60096.800000000003</v>
      </c>
      <c r="H33" s="322">
        <v>131256</v>
      </c>
      <c r="I33" s="322">
        <f>SUM(G33:H33)</f>
        <v>191352.8</v>
      </c>
      <c r="J33" s="322"/>
      <c r="K33" s="753">
        <v>181856</v>
      </c>
      <c r="L33" s="506">
        <f>I33-K33</f>
        <v>9496.7999999999884</v>
      </c>
      <c r="M33" s="436">
        <f>L33/K33</f>
        <v>5.2221537920112554E-2</v>
      </c>
    </row>
    <row r="34" spans="1:15" s="68" customFormat="1" ht="20.25" x14ac:dyDescent="0.2">
      <c r="A34" s="67"/>
      <c r="B34" s="67"/>
      <c r="C34" s="79" t="s">
        <v>114</v>
      </c>
      <c r="D34" s="79"/>
      <c r="E34" s="79"/>
      <c r="F34" s="79"/>
      <c r="G34" s="232">
        <v>600</v>
      </c>
      <c r="H34" s="322">
        <f>150*8</f>
        <v>1200</v>
      </c>
      <c r="I34" s="322">
        <f t="shared" ref="I34:K49" si="3">SUM(G34:H34)</f>
        <v>1800</v>
      </c>
      <c r="J34" s="322"/>
      <c r="K34" s="753">
        <v>1800</v>
      </c>
      <c r="L34" s="506">
        <f t="shared" ref="L34:L49" si="4">I34-K34</f>
        <v>0</v>
      </c>
      <c r="M34" s="436">
        <f t="shared" ref="M34:M49" si="5">L34/K34</f>
        <v>0</v>
      </c>
    </row>
    <row r="35" spans="1:15" s="68" customFormat="1" ht="20.25" x14ac:dyDescent="0.2">
      <c r="A35" s="67"/>
      <c r="B35" s="67"/>
      <c r="C35" s="79" t="s">
        <v>104</v>
      </c>
      <c r="D35" s="79"/>
      <c r="E35" s="79"/>
      <c r="F35" s="79"/>
      <c r="G35" s="232">
        <v>17580</v>
      </c>
      <c r="H35" s="322">
        <f>G35/4*8</f>
        <v>35160</v>
      </c>
      <c r="I35" s="322">
        <f t="shared" si="3"/>
        <v>52740</v>
      </c>
      <c r="J35" s="322"/>
      <c r="K35" s="753">
        <v>46576</v>
      </c>
      <c r="L35" s="506">
        <f t="shared" si="4"/>
        <v>6164</v>
      </c>
      <c r="M35" s="436">
        <f t="shared" si="5"/>
        <v>0.13234283751288217</v>
      </c>
    </row>
    <row r="36" spans="1:15" s="68" customFormat="1" ht="20.25" x14ac:dyDescent="0.2">
      <c r="A36" s="67"/>
      <c r="B36" s="67"/>
      <c r="C36" s="79" t="s">
        <v>115</v>
      </c>
      <c r="D36" s="79"/>
      <c r="E36" s="79"/>
      <c r="F36" s="79"/>
      <c r="G36" s="232">
        <v>6970</v>
      </c>
      <c r="H36" s="322">
        <v>13232</v>
      </c>
      <c r="I36" s="322">
        <f t="shared" si="3"/>
        <v>20202</v>
      </c>
      <c r="J36" s="322"/>
      <c r="K36" s="753">
        <v>19873</v>
      </c>
      <c r="L36" s="506">
        <f t="shared" si="4"/>
        <v>329</v>
      </c>
      <c r="M36" s="436">
        <f t="shared" si="5"/>
        <v>1.6555125044029589E-2</v>
      </c>
    </row>
    <row r="37" spans="1:15" s="68" customFormat="1" ht="20.25" x14ac:dyDescent="0.2">
      <c r="A37" s="67"/>
      <c r="B37" s="67"/>
      <c r="C37" s="79" t="s">
        <v>116</v>
      </c>
      <c r="D37" s="79"/>
      <c r="E37" s="79"/>
      <c r="F37" s="79"/>
      <c r="G37" s="232">
        <v>983</v>
      </c>
      <c r="H37" s="322">
        <f>2736-983</f>
        <v>1753</v>
      </c>
      <c r="I37" s="322">
        <f t="shared" si="3"/>
        <v>2736</v>
      </c>
      <c r="J37" s="322"/>
      <c r="K37" s="753">
        <v>2736</v>
      </c>
      <c r="L37" s="506">
        <f t="shared" si="4"/>
        <v>0</v>
      </c>
      <c r="M37" s="436">
        <f t="shared" si="5"/>
        <v>0</v>
      </c>
      <c r="O37" s="796"/>
    </row>
    <row r="38" spans="1:15" s="68" customFormat="1" ht="20.25" x14ac:dyDescent="0.2">
      <c r="A38" s="67"/>
      <c r="B38" s="67"/>
      <c r="C38" s="79" t="s">
        <v>117</v>
      </c>
      <c r="D38" s="79"/>
      <c r="E38" s="79"/>
      <c r="F38" s="79"/>
      <c r="G38" s="232">
        <v>1426</v>
      </c>
      <c r="H38" s="322">
        <v>4352</v>
      </c>
      <c r="I38" s="322">
        <f t="shared" si="3"/>
        <v>5778</v>
      </c>
      <c r="J38" s="322"/>
      <c r="K38" s="753">
        <v>5022</v>
      </c>
      <c r="L38" s="506">
        <f t="shared" si="4"/>
        <v>756</v>
      </c>
      <c r="M38" s="436">
        <f t="shared" si="5"/>
        <v>0.15053763440860216</v>
      </c>
    </row>
    <row r="39" spans="1:15" s="68" customFormat="1" ht="20.25" x14ac:dyDescent="0.2">
      <c r="A39" s="67"/>
      <c r="B39" s="67"/>
      <c r="C39" s="79" t="s">
        <v>118</v>
      </c>
      <c r="D39" s="79"/>
      <c r="E39" s="79"/>
      <c r="F39" s="79"/>
      <c r="G39" s="232">
        <v>286</v>
      </c>
      <c r="H39" s="322">
        <v>7958</v>
      </c>
      <c r="I39" s="322">
        <f t="shared" si="3"/>
        <v>8244</v>
      </c>
      <c r="J39" s="322"/>
      <c r="K39" s="753">
        <v>6244</v>
      </c>
      <c r="L39" s="506">
        <f t="shared" si="4"/>
        <v>2000</v>
      </c>
      <c r="M39" s="436">
        <f t="shared" si="5"/>
        <v>0.32030749519538759</v>
      </c>
    </row>
    <row r="40" spans="1:15" s="68" customFormat="1" ht="20.25" x14ac:dyDescent="0.2">
      <c r="A40" s="67"/>
      <c r="B40" s="67"/>
      <c r="C40" s="79" t="s">
        <v>119</v>
      </c>
      <c r="D40" s="79"/>
      <c r="E40" s="79"/>
      <c r="F40" s="79"/>
      <c r="G40" s="232">
        <v>14139</v>
      </c>
      <c r="H40" s="322">
        <f>27582</f>
        <v>27582</v>
      </c>
      <c r="I40" s="322">
        <f t="shared" si="3"/>
        <v>41721</v>
      </c>
      <c r="J40" s="322"/>
      <c r="K40" s="753">
        <v>40180</v>
      </c>
      <c r="L40" s="506">
        <f t="shared" si="4"/>
        <v>1541</v>
      </c>
      <c r="M40" s="436">
        <f t="shared" si="5"/>
        <v>3.8352414136386265E-2</v>
      </c>
      <c r="O40" s="262"/>
    </row>
    <row r="41" spans="1:15" s="68" customFormat="1" ht="20.25" x14ac:dyDescent="0.2">
      <c r="A41" s="67"/>
      <c r="B41" s="67"/>
      <c r="C41" s="79" t="s">
        <v>120</v>
      </c>
      <c r="D41" s="79"/>
      <c r="E41" s="79"/>
      <c r="F41" s="79"/>
      <c r="G41" s="232">
        <v>2253</v>
      </c>
      <c r="H41" s="322">
        <v>2960</v>
      </c>
      <c r="I41" s="322">
        <f t="shared" si="3"/>
        <v>5213</v>
      </c>
      <c r="J41" s="322"/>
      <c r="K41" s="753">
        <v>4270</v>
      </c>
      <c r="L41" s="506">
        <f t="shared" si="4"/>
        <v>943</v>
      </c>
      <c r="M41" s="436">
        <f t="shared" si="5"/>
        <v>0.2208430913348946</v>
      </c>
    </row>
    <row r="42" spans="1:15" s="68" customFormat="1" ht="20.25" x14ac:dyDescent="0.2">
      <c r="A42" s="67"/>
      <c r="B42" s="67"/>
      <c r="C42" s="79" t="s">
        <v>121</v>
      </c>
      <c r="D42" s="79"/>
      <c r="E42" s="79"/>
      <c r="F42" s="79"/>
      <c r="G42" s="232">
        <v>386</v>
      </c>
      <c r="H42" s="322">
        <f>1020-G42</f>
        <v>634</v>
      </c>
      <c r="I42" s="322">
        <f t="shared" si="3"/>
        <v>1020</v>
      </c>
      <c r="J42" s="322"/>
      <c r="K42" s="753">
        <v>1020</v>
      </c>
      <c r="L42" s="506">
        <f t="shared" si="4"/>
        <v>0</v>
      </c>
      <c r="M42" s="436">
        <f t="shared" si="5"/>
        <v>0</v>
      </c>
    </row>
    <row r="43" spans="1:15" s="68" customFormat="1" ht="20.25" x14ac:dyDescent="0.2">
      <c r="A43" s="67"/>
      <c r="B43" s="67"/>
      <c r="C43" s="79" t="s">
        <v>166</v>
      </c>
      <c r="D43" s="79"/>
      <c r="E43" s="79"/>
      <c r="F43" s="79"/>
      <c r="G43" s="232">
        <v>10200</v>
      </c>
      <c r="H43" s="322">
        <f>2800+125+25</f>
        <v>2950</v>
      </c>
      <c r="I43" s="322">
        <f t="shared" si="3"/>
        <v>13150</v>
      </c>
      <c r="J43" s="322"/>
      <c r="K43" s="753">
        <v>13618</v>
      </c>
      <c r="L43" s="506">
        <f t="shared" si="4"/>
        <v>-468</v>
      </c>
      <c r="M43" s="436">
        <f t="shared" si="5"/>
        <v>-3.4366279923630491E-2</v>
      </c>
    </row>
    <row r="44" spans="1:15" s="68" customFormat="1" ht="20.25" x14ac:dyDescent="0.2">
      <c r="A44" s="67"/>
      <c r="B44" s="67"/>
      <c r="C44" s="976" t="s">
        <v>324</v>
      </c>
      <c r="D44" s="976"/>
      <c r="E44" s="976"/>
      <c r="F44" s="976"/>
      <c r="G44" s="232"/>
      <c r="H44" s="322">
        <f>SUM([1]Transportaton!N46:S46)</f>
        <v>0</v>
      </c>
      <c r="I44" s="322">
        <f t="shared" si="3"/>
        <v>0</v>
      </c>
      <c r="J44" s="322"/>
      <c r="K44" s="322">
        <f t="shared" si="3"/>
        <v>0</v>
      </c>
      <c r="L44" s="506">
        <f t="shared" si="4"/>
        <v>0</v>
      </c>
      <c r="M44" s="436"/>
      <c r="O44" s="732"/>
    </row>
    <row r="45" spans="1:15" s="68" customFormat="1" ht="20.25" x14ac:dyDescent="0.2">
      <c r="A45" s="67"/>
      <c r="B45" s="67"/>
      <c r="C45" s="79" t="s">
        <v>122</v>
      </c>
      <c r="D45" s="79"/>
      <c r="E45" s="79"/>
      <c r="F45" s="79"/>
      <c r="G45" s="322">
        <v>7626</v>
      </c>
      <c r="H45" s="322">
        <v>7740</v>
      </c>
      <c r="I45" s="322">
        <f t="shared" si="3"/>
        <v>15366</v>
      </c>
      <c r="J45" s="322"/>
      <c r="K45" s="753">
        <v>13802</v>
      </c>
      <c r="L45" s="506">
        <f t="shared" si="4"/>
        <v>1564</v>
      </c>
      <c r="M45" s="436">
        <f t="shared" si="5"/>
        <v>0.11331691059266773</v>
      </c>
    </row>
    <row r="46" spans="1:15" s="68" customFormat="1" ht="20.25" x14ac:dyDescent="0.2">
      <c r="A46" s="67"/>
      <c r="B46" s="67"/>
      <c r="C46" s="79" t="s">
        <v>123</v>
      </c>
      <c r="D46" s="79"/>
      <c r="E46" s="79"/>
      <c r="F46" s="79"/>
      <c r="G46" s="322">
        <v>3742</v>
      </c>
      <c r="H46" s="322">
        <v>7566</v>
      </c>
      <c r="I46" s="322">
        <f t="shared" si="3"/>
        <v>11308</v>
      </c>
      <c r="J46" s="322"/>
      <c r="K46" s="753">
        <v>10740</v>
      </c>
      <c r="L46" s="506">
        <f t="shared" si="4"/>
        <v>568</v>
      </c>
      <c r="M46" s="436">
        <f t="shared" si="5"/>
        <v>5.2886405959031657E-2</v>
      </c>
      <c r="O46" s="732"/>
    </row>
    <row r="47" spans="1:15" s="68" customFormat="1" ht="20.25" x14ac:dyDescent="0.2">
      <c r="A47" s="67"/>
      <c r="B47" s="67"/>
      <c r="C47" s="79" t="s">
        <v>130</v>
      </c>
      <c r="D47" s="79"/>
      <c r="E47" s="79"/>
      <c r="F47" s="79"/>
      <c r="G47" s="232">
        <v>340</v>
      </c>
      <c r="H47" s="322">
        <v>1140</v>
      </c>
      <c r="I47" s="322">
        <f t="shared" si="3"/>
        <v>1480</v>
      </c>
      <c r="J47" s="322"/>
      <c r="K47" s="753">
        <v>1470</v>
      </c>
      <c r="L47" s="506">
        <f t="shared" si="4"/>
        <v>10</v>
      </c>
      <c r="M47" s="436">
        <f t="shared" si="5"/>
        <v>6.8027210884353739E-3</v>
      </c>
    </row>
    <row r="48" spans="1:15" s="68" customFormat="1" ht="20.25" x14ac:dyDescent="0.2">
      <c r="A48" s="67"/>
      <c r="B48" s="67"/>
      <c r="C48" s="79" t="s">
        <v>124</v>
      </c>
      <c r="D48" s="79"/>
      <c r="E48" s="79"/>
      <c r="F48" s="79"/>
      <c r="G48" s="322"/>
      <c r="H48" s="322">
        <v>2500</v>
      </c>
      <c r="I48" s="322">
        <f t="shared" si="3"/>
        <v>2500</v>
      </c>
      <c r="J48" s="322"/>
      <c r="K48" s="753">
        <v>3000</v>
      </c>
      <c r="L48" s="506">
        <f t="shared" si="4"/>
        <v>-500</v>
      </c>
      <c r="M48" s="436">
        <f t="shared" si="5"/>
        <v>-0.16666666666666666</v>
      </c>
      <c r="O48" s="732"/>
    </row>
    <row r="49" spans="1:17" s="68" customFormat="1" ht="20.25" customHeight="1" x14ac:dyDescent="0.2">
      <c r="A49" s="67"/>
      <c r="B49" s="67"/>
      <c r="C49" s="79" t="s">
        <v>199</v>
      </c>
      <c r="D49" s="79"/>
      <c r="E49" s="79"/>
      <c r="F49" s="79"/>
      <c r="G49" s="232">
        <v>462</v>
      </c>
      <c r="H49" s="322">
        <v>4500</v>
      </c>
      <c r="I49" s="322">
        <f t="shared" si="3"/>
        <v>4962</v>
      </c>
      <c r="J49" s="322"/>
      <c r="K49" s="753">
        <v>9980</v>
      </c>
      <c r="L49" s="506">
        <f t="shared" si="4"/>
        <v>-5018</v>
      </c>
      <c r="M49" s="436">
        <f t="shared" si="5"/>
        <v>-0.50280561122244494</v>
      </c>
    </row>
    <row r="50" spans="1:17" s="76" customFormat="1" ht="20.25" x14ac:dyDescent="0.2">
      <c r="A50" s="79"/>
      <c r="B50" s="79"/>
      <c r="C50" s="79" t="s">
        <v>126</v>
      </c>
      <c r="D50" s="79"/>
      <c r="E50" s="79"/>
      <c r="F50" s="79"/>
      <c r="G50" s="322">
        <v>5810</v>
      </c>
      <c r="H50" s="322">
        <v>21380</v>
      </c>
      <c r="I50" s="322">
        <f>G50+H50</f>
        <v>27190</v>
      </c>
      <c r="J50" s="322"/>
      <c r="K50" s="753">
        <v>8437</v>
      </c>
      <c r="L50" s="506">
        <f>I50-K50</f>
        <v>18753</v>
      </c>
      <c r="M50" s="436">
        <f>L50/K50</f>
        <v>2.2227094938959344</v>
      </c>
    </row>
    <row r="51" spans="1:17" s="68" customFormat="1" ht="20.25" x14ac:dyDescent="0.2">
      <c r="A51" s="67"/>
      <c r="B51" s="67"/>
      <c r="C51" s="79" t="s">
        <v>165</v>
      </c>
      <c r="D51" s="79"/>
      <c r="E51" s="79"/>
      <c r="F51" s="79"/>
      <c r="G51" s="232">
        <v>18022</v>
      </c>
      <c r="H51" s="322">
        <v>39426</v>
      </c>
      <c r="I51" s="322">
        <f t="shared" ref="I51:I53" si="6">G51+H51</f>
        <v>57448</v>
      </c>
      <c r="J51" s="322"/>
      <c r="K51" s="753">
        <v>54075</v>
      </c>
      <c r="L51" s="506">
        <f t="shared" ref="L51:L53" si="7">I51-K51</f>
        <v>3373</v>
      </c>
      <c r="M51" s="436">
        <f t="shared" ref="M51:M54" si="8">L51/K51</f>
        <v>6.2376329172445677E-2</v>
      </c>
      <c r="Q51" s="341"/>
    </row>
    <row r="52" spans="1:17" s="68" customFormat="1" ht="20.25" x14ac:dyDescent="0.2">
      <c r="A52" s="67"/>
      <c r="B52" s="67"/>
      <c r="C52" s="79" t="s">
        <v>127</v>
      </c>
      <c r="D52" s="79"/>
      <c r="E52" s="79"/>
      <c r="F52" s="79"/>
      <c r="G52" s="232">
        <v>39998</v>
      </c>
      <c r="H52" s="322">
        <v>31489</v>
      </c>
      <c r="I52" s="322">
        <f t="shared" si="6"/>
        <v>71487</v>
      </c>
      <c r="J52" s="322"/>
      <c r="K52" s="753">
        <v>42592</v>
      </c>
      <c r="L52" s="506">
        <f t="shared" si="7"/>
        <v>28895</v>
      </c>
      <c r="M52" s="436">
        <f t="shared" si="8"/>
        <v>0.67841378662659657</v>
      </c>
    </row>
    <row r="53" spans="1:17" s="68" customFormat="1" ht="21" thickBot="1" x14ac:dyDescent="0.25">
      <c r="A53" s="67"/>
      <c r="B53" s="67"/>
      <c r="C53" s="79" t="s">
        <v>406</v>
      </c>
      <c r="D53" s="79"/>
      <c r="E53" s="79"/>
      <c r="F53" s="79"/>
      <c r="G53" s="241">
        <v>660</v>
      </c>
      <c r="H53" s="398">
        <f>660/4*5</f>
        <v>825</v>
      </c>
      <c r="I53" s="398">
        <f t="shared" si="6"/>
        <v>1485</v>
      </c>
      <c r="J53" s="398"/>
      <c r="K53" s="754">
        <v>1980</v>
      </c>
      <c r="L53" s="509">
        <f t="shared" si="7"/>
        <v>-495</v>
      </c>
      <c r="M53" s="436">
        <f t="shared" si="8"/>
        <v>-0.25</v>
      </c>
    </row>
    <row r="54" spans="1:17" s="76" customFormat="1" ht="20.25" x14ac:dyDescent="0.2">
      <c r="A54" s="79"/>
      <c r="B54" s="79"/>
      <c r="C54" s="67"/>
      <c r="D54" s="67"/>
      <c r="G54" s="322">
        <f>SUM(G32:G53)</f>
        <v>467625.31</v>
      </c>
      <c r="H54" s="322">
        <f>SUM(H32:H53)</f>
        <v>987103</v>
      </c>
      <c r="I54" s="322">
        <f>SUM(I32:I53)</f>
        <v>1454728.31</v>
      </c>
      <c r="J54" s="322"/>
      <c r="K54" s="322">
        <f>SUM(K32:K53)</f>
        <v>1402041</v>
      </c>
      <c r="L54" s="322">
        <f>SUM(L32:L53)</f>
        <v>52687.31</v>
      </c>
      <c r="M54" s="751">
        <f t="shared" si="8"/>
        <v>3.7579008031862121E-2</v>
      </c>
    </row>
    <row r="55" spans="1:17" s="76" customFormat="1" ht="8.25" customHeight="1" x14ac:dyDescent="0.2">
      <c r="A55" s="79"/>
      <c r="B55" s="79"/>
      <c r="C55" s="67"/>
      <c r="D55" s="67"/>
      <c r="G55" s="322"/>
      <c r="H55" s="322"/>
      <c r="I55" s="322"/>
      <c r="J55" s="322"/>
      <c r="K55" s="322"/>
    </row>
    <row r="56" spans="1:17" s="76" customFormat="1" ht="20.25" x14ac:dyDescent="0.2">
      <c r="A56" s="79"/>
      <c r="B56" s="79"/>
      <c r="C56" s="755" t="s">
        <v>421</v>
      </c>
      <c r="D56"/>
      <c r="E56" s="67"/>
      <c r="F56" s="67"/>
      <c r="G56" s="242">
        <f>G29-G54</f>
        <v>-10571.309999999939</v>
      </c>
      <c r="H56" s="242">
        <f>H29-H54</f>
        <v>3758.6933333333582</v>
      </c>
      <c r="I56" s="242">
        <f>G56+H56</f>
        <v>-6812.6166666665813</v>
      </c>
      <c r="J56" s="232"/>
      <c r="K56" s="242">
        <f>K29-K54</f>
        <v>-1206</v>
      </c>
      <c r="L56" s="756">
        <f t="shared" ref="L56" si="9">I56-K56</f>
        <v>-5606.6166666665813</v>
      </c>
      <c r="M56" s="751">
        <f t="shared" ref="M56" si="10">L56/K56</f>
        <v>4.6489358761746118</v>
      </c>
    </row>
    <row r="57" spans="1:17" s="76" customFormat="1" ht="9" customHeight="1" x14ac:dyDescent="0.2">
      <c r="A57" s="79"/>
      <c r="B57" s="79"/>
      <c r="C57" s="79"/>
      <c r="D57" s="79"/>
      <c r="E57" s="79"/>
      <c r="F57" s="79"/>
      <c r="G57" s="232"/>
      <c r="H57" s="232"/>
      <c r="I57" s="232"/>
      <c r="J57" s="232"/>
      <c r="K57" s="232"/>
    </row>
    <row r="58" spans="1:17" s="76" customFormat="1" ht="20.25" x14ac:dyDescent="0.2">
      <c r="A58" s="79"/>
      <c r="B58" s="79"/>
      <c r="C58" s="79" t="s">
        <v>125</v>
      </c>
      <c r="D58" s="79"/>
      <c r="F58" s="79"/>
      <c r="G58" s="232">
        <v>12820</v>
      </c>
      <c r="H58" s="322">
        <f>25640+6</f>
        <v>25646</v>
      </c>
      <c r="I58" s="232">
        <f>G58+H58</f>
        <v>38466</v>
      </c>
      <c r="J58" s="232"/>
      <c r="K58" s="232">
        <v>34092</v>
      </c>
    </row>
    <row r="59" spans="1:17" s="76" customFormat="1" ht="9" customHeight="1" x14ac:dyDescent="0.2">
      <c r="A59" s="79"/>
      <c r="B59" s="79"/>
      <c r="C59" s="79"/>
      <c r="D59" s="79"/>
      <c r="E59" s="79"/>
      <c r="F59" s="79"/>
      <c r="G59" s="232"/>
      <c r="H59" s="232"/>
      <c r="I59" s="232"/>
      <c r="J59" s="232"/>
      <c r="K59" s="232"/>
    </row>
    <row r="60" spans="1:17" s="68" customFormat="1" ht="21" thickBot="1" x14ac:dyDescent="0.25">
      <c r="A60" s="67"/>
      <c r="B60" s="67"/>
      <c r="C60" s="755" t="s">
        <v>422</v>
      </c>
      <c r="D60"/>
      <c r="E60"/>
      <c r="F60"/>
      <c r="G60" s="757">
        <f>G56-G58</f>
        <v>-23391.309999999939</v>
      </c>
      <c r="H60" s="757">
        <f>H56-H58</f>
        <v>-21887.306666666642</v>
      </c>
      <c r="I60" s="757">
        <f>I56-I58</f>
        <v>-45278.616666666581</v>
      </c>
      <c r="J60" s="237"/>
      <c r="K60" s="757">
        <f>K56-K58</f>
        <v>-35298</v>
      </c>
    </row>
    <row r="61" spans="1:17" s="68" customFormat="1" ht="21" thickTop="1" x14ac:dyDescent="0.2">
      <c r="A61" s="67"/>
      <c r="B61" s="67"/>
      <c r="C61" s="67"/>
      <c r="D61" s="67"/>
      <c r="E61" s="67"/>
      <c r="F61" s="67"/>
      <c r="G61" s="237"/>
      <c r="H61" s="237"/>
      <c r="I61" s="237"/>
      <c r="J61" s="237"/>
      <c r="K61" s="237"/>
    </row>
    <row r="62" spans="1:17" s="68" customFormat="1" ht="23.25" x14ac:dyDescent="0.2">
      <c r="A62" s="67"/>
      <c r="B62" s="271"/>
      <c r="C62" s="67"/>
      <c r="D62" s="67"/>
      <c r="E62" s="67"/>
      <c r="F62" s="67"/>
      <c r="G62" s="232"/>
      <c r="H62" s="232"/>
      <c r="I62" s="232"/>
      <c r="J62" s="232"/>
      <c r="K62" s="232"/>
    </row>
    <row r="63" spans="1:17" s="76" customFormat="1" ht="20.25" x14ac:dyDescent="0.2">
      <c r="A63" s="79"/>
      <c r="B63" s="79"/>
      <c r="D63" s="79"/>
      <c r="E63" s="79"/>
      <c r="F63" s="79"/>
      <c r="G63" s="232"/>
      <c r="H63" s="232"/>
      <c r="I63" s="232"/>
      <c r="J63" s="232"/>
      <c r="K63" s="232"/>
    </row>
    <row r="64" spans="1:17" s="76" customFormat="1" ht="20.25" x14ac:dyDescent="0.2">
      <c r="A64" s="79"/>
      <c r="B64" s="79"/>
      <c r="D64" s="79"/>
      <c r="E64" s="79"/>
      <c r="F64" s="67" t="s">
        <v>423</v>
      </c>
      <c r="G64" s="232"/>
      <c r="H64" s="232"/>
      <c r="I64" s="232"/>
      <c r="J64" s="232"/>
      <c r="K64" s="232"/>
    </row>
    <row r="65" spans="1:11" s="68" customFormat="1" ht="20.25" x14ac:dyDescent="0.2">
      <c r="A65" s="67"/>
      <c r="B65" s="67"/>
      <c r="D65" s="79"/>
      <c r="E65" s="67"/>
      <c r="F65" s="797" t="s">
        <v>444</v>
      </c>
      <c r="G65" s="232"/>
      <c r="H65" s="232"/>
      <c r="I65" s="232"/>
      <c r="J65" s="232"/>
      <c r="K65" s="232"/>
    </row>
    <row r="66" spans="1:11" s="68" customFormat="1" ht="23.25" x14ac:dyDescent="0.2">
      <c r="A66" s="67"/>
      <c r="B66" s="271"/>
      <c r="C66" s="67"/>
      <c r="D66" s="67"/>
      <c r="E66" s="67"/>
      <c r="F66" s="797" t="s">
        <v>445</v>
      </c>
      <c r="G66" s="237"/>
      <c r="H66" s="237"/>
      <c r="I66" s="237"/>
      <c r="J66" s="237"/>
      <c r="K66" s="237"/>
    </row>
    <row r="67" spans="1:11" s="68" customFormat="1" ht="20.25" x14ac:dyDescent="0.2">
      <c r="A67" s="67"/>
      <c r="B67" s="67"/>
      <c r="C67" s="67"/>
      <c r="D67" s="67"/>
      <c r="E67" s="67"/>
      <c r="F67" s="797" t="s">
        <v>446</v>
      </c>
      <c r="G67" s="232"/>
      <c r="H67" s="232"/>
      <c r="I67" s="232"/>
      <c r="J67" s="232"/>
      <c r="K67" s="232"/>
    </row>
    <row r="68" spans="1:11" s="82" customFormat="1" ht="26.25" x14ac:dyDescent="0.2">
      <c r="A68" s="268"/>
      <c r="B68" s="268"/>
      <c r="C68" s="268"/>
      <c r="D68" s="268"/>
      <c r="E68" s="268"/>
      <c r="F68" s="268"/>
      <c r="G68" s="237"/>
      <c r="H68" s="237"/>
      <c r="I68" s="237"/>
      <c r="J68" s="237"/>
      <c r="K68" s="237"/>
    </row>
    <row r="69" spans="1:11" s="18" customFormat="1" ht="20.25" x14ac:dyDescent="0.3">
      <c r="A69" s="122"/>
      <c r="B69" s="122"/>
      <c r="C69" s="122"/>
      <c r="D69" s="122"/>
      <c r="E69" s="122"/>
      <c r="F69" s="122"/>
      <c r="G69" s="277"/>
      <c r="H69" s="277"/>
      <c r="I69" s="277"/>
      <c r="J69" s="277"/>
      <c r="K69" s="277"/>
    </row>
    <row r="70" spans="1:11" ht="20.25" x14ac:dyDescent="0.3">
      <c r="G70" s="277"/>
      <c r="H70" s="277"/>
      <c r="I70" s="277"/>
      <c r="J70" s="277"/>
      <c r="K70" s="277"/>
    </row>
    <row r="71" spans="1:11" ht="20.25" x14ac:dyDescent="0.3">
      <c r="G71" s="277"/>
      <c r="H71" s="277"/>
      <c r="I71" s="277"/>
      <c r="J71" s="277"/>
      <c r="K71" s="277"/>
    </row>
    <row r="72" spans="1:11" ht="20.25" x14ac:dyDescent="0.3">
      <c r="G72" s="274"/>
      <c r="H72" s="274"/>
      <c r="I72" s="274"/>
      <c r="J72" s="274"/>
      <c r="K72" s="27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O112"/>
  <sheetViews>
    <sheetView topLeftCell="A55" zoomScale="80" zoomScaleNormal="80" workbookViewId="0">
      <selection activeCell="G79" sqref="G78:G79"/>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7.125" style="57" customWidth="1"/>
    <col min="7" max="7" width="22.375" style="18" customWidth="1"/>
    <col min="8" max="8" width="1.75" style="18" customWidth="1"/>
    <col min="9" max="9" width="22.25" style="18" customWidth="1"/>
    <col min="10" max="10" width="10" style="18" bestFit="1" customWidth="1"/>
    <col min="11" max="11" width="9" style="521"/>
    <col min="12" max="12" width="11.5" style="190" bestFit="1" customWidth="1"/>
    <col min="13" max="13" width="9" style="521"/>
    <col min="14" max="52" width="9" style="1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119" ht="22.5" customHeight="1" x14ac:dyDescent="0.4">
      <c r="A1" s="58" t="s">
        <v>94</v>
      </c>
      <c r="B1" s="59"/>
      <c r="C1" s="60"/>
      <c r="D1" s="60"/>
      <c r="E1" s="60"/>
      <c r="F1" s="59"/>
      <c r="G1" s="59"/>
      <c r="H1" s="59"/>
      <c r="I1" s="59"/>
      <c r="J1" s="59"/>
      <c r="K1" s="846"/>
      <c r="L1" s="847"/>
      <c r="M1" s="846"/>
      <c r="N1" s="59"/>
      <c r="O1" s="59"/>
      <c r="P1" s="59"/>
      <c r="Q1" s="59"/>
      <c r="R1" s="59"/>
      <c r="S1" s="59"/>
      <c r="T1" s="59"/>
      <c r="U1" s="59"/>
      <c r="V1" s="59"/>
      <c r="W1" s="59"/>
      <c r="X1" s="59"/>
      <c r="Y1" s="59"/>
      <c r="Z1" s="59"/>
      <c r="AA1" s="59"/>
      <c r="AB1" s="59"/>
      <c r="AC1" s="59"/>
      <c r="AD1" s="59"/>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row>
    <row r="2" spans="1:119" ht="22.5" customHeight="1" x14ac:dyDescent="0.4">
      <c r="A2" s="58" t="s">
        <v>507</v>
      </c>
      <c r="B2" s="59"/>
      <c r="C2" s="60"/>
      <c r="D2" s="60"/>
      <c r="E2" s="60"/>
      <c r="F2" s="59"/>
      <c r="G2" s="59"/>
      <c r="H2" s="59"/>
      <c r="I2" s="59"/>
      <c r="J2" s="59"/>
      <c r="K2" s="846"/>
      <c r="L2" s="847"/>
      <c r="M2" s="846"/>
      <c r="N2" s="59"/>
      <c r="O2" s="59"/>
      <c r="P2" s="59"/>
      <c r="Q2" s="59"/>
      <c r="R2" s="59"/>
      <c r="S2" s="59"/>
      <c r="T2" s="59"/>
      <c r="U2" s="59"/>
      <c r="V2" s="59"/>
      <c r="W2" s="59"/>
      <c r="X2" s="59"/>
      <c r="Y2" s="59"/>
      <c r="Z2" s="59"/>
      <c r="AA2" s="59"/>
      <c r="AB2" s="59"/>
      <c r="AC2" s="59"/>
      <c r="AD2" s="59"/>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row>
    <row r="3" spans="1:119" ht="22.5" customHeight="1" x14ac:dyDescent="0.4">
      <c r="A3" s="58" t="s">
        <v>508</v>
      </c>
      <c r="B3" s="59"/>
      <c r="C3" s="60"/>
      <c r="D3" s="60"/>
      <c r="E3" s="60"/>
      <c r="F3" s="59"/>
      <c r="G3" s="59"/>
      <c r="H3" s="59"/>
      <c r="I3" s="59"/>
      <c r="J3" s="59"/>
      <c r="K3" s="846"/>
      <c r="L3" s="847"/>
      <c r="M3" s="846"/>
      <c r="N3" s="59"/>
      <c r="O3" s="59"/>
      <c r="P3" s="59"/>
      <c r="Q3" s="59"/>
      <c r="R3" s="59"/>
      <c r="S3" s="59"/>
      <c r="T3" s="59"/>
      <c r="U3" s="59"/>
      <c r="V3" s="59"/>
      <c r="W3" s="59"/>
      <c r="X3" s="59"/>
      <c r="Y3" s="59"/>
      <c r="Z3" s="59"/>
      <c r="AA3" s="59"/>
      <c r="AB3" s="59"/>
      <c r="AC3" s="59"/>
      <c r="AD3" s="59"/>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row>
    <row r="4" spans="1:119" s="63" customFormat="1" ht="8.25" customHeight="1" x14ac:dyDescent="0.2">
      <c r="A4" s="61"/>
      <c r="B4" s="61"/>
      <c r="C4" s="61"/>
      <c r="D4" s="61"/>
      <c r="E4" s="61"/>
      <c r="F4" s="61"/>
      <c r="G4" s="62"/>
      <c r="H4" s="62"/>
      <c r="I4" s="62"/>
      <c r="J4" s="62"/>
      <c r="K4" s="848"/>
      <c r="L4" s="849"/>
      <c r="M4" s="848"/>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row>
    <row r="5" spans="1:119" s="68" customFormat="1" ht="8.25" customHeight="1" thickBot="1" x14ac:dyDescent="0.25">
      <c r="A5" s="67"/>
      <c r="B5" s="67"/>
      <c r="C5" s="67"/>
      <c r="D5" s="67"/>
      <c r="E5" s="67"/>
      <c r="F5" s="67"/>
      <c r="K5" s="850"/>
      <c r="L5" s="849"/>
      <c r="M5" s="850"/>
    </row>
    <row r="6" spans="1:119" s="74" customFormat="1" ht="48" customHeight="1" thickBot="1" x14ac:dyDescent="0.25">
      <c r="A6" s="73"/>
      <c r="B6" s="851" t="s">
        <v>100</v>
      </c>
      <c r="C6" s="851"/>
      <c r="D6" s="851"/>
      <c r="E6" s="851"/>
      <c r="F6" s="851"/>
      <c r="G6" s="852" t="s">
        <v>509</v>
      </c>
      <c r="H6" s="852"/>
      <c r="I6" s="852" t="s">
        <v>510</v>
      </c>
      <c r="J6" s="68"/>
      <c r="K6" s="850"/>
      <c r="L6" s="849"/>
      <c r="M6" s="850"/>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row>
    <row r="7" spans="1:119" s="74" customFormat="1" ht="20.25" x14ac:dyDescent="0.2">
      <c r="A7" s="73"/>
      <c r="B7" s="73"/>
      <c r="C7" s="420" t="s">
        <v>101</v>
      </c>
      <c r="D7" s="420"/>
      <c r="E7" s="420"/>
      <c r="F7" s="73"/>
      <c r="G7" s="326">
        <v>768013</v>
      </c>
      <c r="H7" s="326"/>
      <c r="I7" s="326">
        <v>795100</v>
      </c>
      <c r="J7" s="68"/>
      <c r="K7" s="850"/>
      <c r="L7" s="849"/>
      <c r="M7" s="850"/>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row>
    <row r="8" spans="1:119" s="74" customFormat="1" ht="20.25" x14ac:dyDescent="0.2">
      <c r="A8" s="73"/>
      <c r="B8" s="73"/>
      <c r="C8" s="420" t="s">
        <v>150</v>
      </c>
      <c r="D8" s="420"/>
      <c r="E8" s="420"/>
      <c r="F8" s="73"/>
      <c r="G8" s="322">
        <v>92000</v>
      </c>
      <c r="H8" s="322"/>
      <c r="I8" s="322">
        <v>88160</v>
      </c>
      <c r="J8" s="68"/>
      <c r="K8" s="850"/>
      <c r="L8" s="849"/>
      <c r="M8" s="850"/>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row>
    <row r="9" spans="1:119" s="74" customFormat="1" ht="20.25" x14ac:dyDescent="0.2">
      <c r="A9" s="73"/>
      <c r="B9" s="73"/>
      <c r="C9" s="420" t="s">
        <v>179</v>
      </c>
      <c r="D9" s="420"/>
      <c r="E9" s="420"/>
      <c r="F9" s="73"/>
      <c r="G9" s="322">
        <v>42167</v>
      </c>
      <c r="H9" s="322"/>
      <c r="I9" s="322">
        <v>32100</v>
      </c>
      <c r="J9" s="68"/>
      <c r="K9" s="850"/>
      <c r="L9" s="849"/>
      <c r="M9" s="850"/>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row>
    <row r="10" spans="1:119" s="74" customFormat="1" ht="20.25" x14ac:dyDescent="0.2">
      <c r="A10" s="73"/>
      <c r="B10" s="73"/>
      <c r="C10" s="420" t="s">
        <v>102</v>
      </c>
      <c r="D10" s="420"/>
      <c r="E10" s="420"/>
      <c r="F10" s="73"/>
      <c r="G10" s="322">
        <v>0</v>
      </c>
      <c r="H10" s="322"/>
      <c r="I10" s="322"/>
      <c r="J10" s="68"/>
      <c r="K10" s="850"/>
      <c r="L10" s="849"/>
      <c r="M10" s="850"/>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row>
    <row r="11" spans="1:119" s="74" customFormat="1" ht="20.25" x14ac:dyDescent="0.2">
      <c r="A11" s="73"/>
      <c r="B11" s="73"/>
      <c r="C11" s="77"/>
      <c r="D11" s="420" t="s">
        <v>139</v>
      </c>
      <c r="E11" s="420"/>
      <c r="F11" s="73"/>
      <c r="G11" s="322">
        <f>148159+47500+3687</f>
        <v>199346</v>
      </c>
      <c r="H11" s="322"/>
      <c r="I11" s="322">
        <v>204910</v>
      </c>
      <c r="J11" s="469"/>
      <c r="K11" s="850"/>
      <c r="L11" s="853"/>
      <c r="M11" s="850"/>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row>
    <row r="12" spans="1:119" s="74" customFormat="1" ht="20.25" x14ac:dyDescent="0.2">
      <c r="A12" s="73"/>
      <c r="B12" s="73"/>
      <c r="C12" s="77"/>
      <c r="D12" s="420" t="s">
        <v>159</v>
      </c>
      <c r="E12" s="420"/>
      <c r="F12" s="73"/>
      <c r="G12" s="322">
        <v>18000</v>
      </c>
      <c r="H12" s="322"/>
      <c r="I12" s="322">
        <v>18000</v>
      </c>
      <c r="J12" s="388"/>
      <c r="K12" s="850"/>
      <c r="L12" s="849"/>
      <c r="M12" s="850"/>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row>
    <row r="13" spans="1:119" s="74" customFormat="1" ht="20.25" x14ac:dyDescent="0.2">
      <c r="A13" s="73"/>
      <c r="B13" s="73"/>
      <c r="C13" s="420"/>
      <c r="D13" s="420" t="s">
        <v>404</v>
      </c>
      <c r="E13" s="420"/>
      <c r="F13" s="73"/>
      <c r="G13" s="322">
        <v>30439</v>
      </c>
      <c r="H13" s="322"/>
      <c r="I13" s="322">
        <v>265600</v>
      </c>
      <c r="J13" s="388"/>
      <c r="K13" s="850"/>
      <c r="L13" s="849"/>
      <c r="M13" s="850"/>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row>
    <row r="14" spans="1:119" s="74" customFormat="1" ht="20.25" x14ac:dyDescent="0.2">
      <c r="A14" s="73"/>
      <c r="B14" s="73"/>
      <c r="C14" s="420" t="s">
        <v>377</v>
      </c>
      <c r="D14" s="420"/>
      <c r="E14" s="420"/>
      <c r="F14" s="73"/>
      <c r="G14" s="322">
        <v>20000</v>
      </c>
      <c r="H14" s="322"/>
      <c r="I14" s="322">
        <v>17600</v>
      </c>
      <c r="J14" s="388"/>
      <c r="K14" s="850"/>
      <c r="L14" s="849"/>
      <c r="M14" s="850"/>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row>
    <row r="15" spans="1:119" s="74" customFormat="1" ht="20.25" x14ac:dyDescent="0.2">
      <c r="A15" s="73"/>
      <c r="B15" s="73"/>
      <c r="C15" s="420" t="s">
        <v>110</v>
      </c>
      <c r="D15" s="420"/>
      <c r="E15" s="420"/>
      <c r="F15" s="73"/>
      <c r="G15" s="322">
        <v>684</v>
      </c>
      <c r="H15" s="322"/>
      <c r="I15" s="322">
        <v>420</v>
      </c>
      <c r="J15" s="388"/>
      <c r="K15" s="850"/>
      <c r="L15" s="849"/>
      <c r="M15" s="850"/>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row>
    <row r="16" spans="1:119" s="74" customFormat="1" ht="20.25" x14ac:dyDescent="0.2">
      <c r="A16" s="73"/>
      <c r="B16" s="73"/>
      <c r="C16" s="420" t="s">
        <v>237</v>
      </c>
      <c r="D16" s="420"/>
      <c r="E16" s="420"/>
      <c r="F16" s="73"/>
      <c r="G16" s="322">
        <v>1200</v>
      </c>
      <c r="H16" s="322"/>
      <c r="I16" s="322">
        <v>1000</v>
      </c>
      <c r="J16" s="388"/>
      <c r="K16" s="850"/>
      <c r="L16" s="849"/>
      <c r="M16" s="850"/>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row>
    <row r="17" spans="1:52" s="74" customFormat="1" ht="20.25" x14ac:dyDescent="0.2">
      <c r="A17" s="73"/>
      <c r="B17" s="73"/>
      <c r="C17" s="864" t="s">
        <v>320</v>
      </c>
      <c r="D17" s="864"/>
      <c r="E17" s="864"/>
      <c r="F17" s="865"/>
      <c r="G17" s="322">
        <v>-3000</v>
      </c>
      <c r="H17" s="322"/>
      <c r="I17" s="844">
        <v>-48000</v>
      </c>
      <c r="J17" s="388"/>
      <c r="K17" s="850"/>
      <c r="L17" s="849"/>
      <c r="M17" s="850"/>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row>
    <row r="18" spans="1:52" s="74" customFormat="1" ht="20.25" x14ac:dyDescent="0.2">
      <c r="A18" s="73"/>
      <c r="B18" s="73"/>
      <c r="C18" s="420" t="s">
        <v>417</v>
      </c>
      <c r="D18" s="420"/>
      <c r="E18" s="420"/>
      <c r="F18" s="73"/>
      <c r="G18" s="322">
        <v>282538</v>
      </c>
      <c r="H18" s="322"/>
      <c r="I18" s="322">
        <v>159000</v>
      </c>
      <c r="J18" s="387"/>
      <c r="K18" s="850"/>
      <c r="L18" s="849"/>
      <c r="M18" s="850"/>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row>
    <row r="19" spans="1:52" s="74" customFormat="1" ht="20.25" x14ac:dyDescent="0.2">
      <c r="A19" s="73"/>
      <c r="B19" s="73"/>
      <c r="C19" s="420" t="s">
        <v>109</v>
      </c>
      <c r="D19" s="841"/>
      <c r="E19" s="841"/>
      <c r="F19" s="841"/>
      <c r="G19" s="322">
        <v>52740</v>
      </c>
      <c r="H19" s="322"/>
      <c r="I19" s="322">
        <v>52740</v>
      </c>
      <c r="J19" s="387"/>
      <c r="K19" s="850"/>
      <c r="L19" s="849"/>
      <c r="M19" s="850"/>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row>
    <row r="20" spans="1:52" s="74" customFormat="1" ht="20.25" x14ac:dyDescent="0.2">
      <c r="A20" s="73"/>
      <c r="B20" s="73"/>
      <c r="C20" s="420" t="s">
        <v>420</v>
      </c>
      <c r="D20" s="841"/>
      <c r="E20" s="841"/>
      <c r="F20" s="841"/>
      <c r="G20" s="322">
        <v>10250</v>
      </c>
      <c r="H20" s="322"/>
      <c r="I20" s="322">
        <v>31710</v>
      </c>
      <c r="J20" s="387"/>
      <c r="K20" s="850"/>
      <c r="L20" s="849"/>
      <c r="M20" s="850"/>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row>
    <row r="21" spans="1:52" s="74" customFormat="1" ht="20.25" x14ac:dyDescent="0.2">
      <c r="A21" s="73"/>
      <c r="B21" s="73"/>
      <c r="C21" s="420" t="s">
        <v>102</v>
      </c>
      <c r="D21" s="841"/>
      <c r="E21" s="841"/>
      <c r="F21" s="841"/>
      <c r="G21" s="322">
        <v>20000</v>
      </c>
      <c r="H21" s="322"/>
      <c r="I21" s="322">
        <v>20000</v>
      </c>
      <c r="J21" s="387"/>
      <c r="K21" s="850"/>
      <c r="L21" s="849"/>
      <c r="M21" s="850"/>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row>
    <row r="22" spans="1:52" s="74" customFormat="1" ht="20.25" x14ac:dyDescent="0.2">
      <c r="A22" s="73"/>
      <c r="B22" s="73"/>
      <c r="C22" s="420" t="s">
        <v>319</v>
      </c>
      <c r="D22" s="841"/>
      <c r="E22" s="841"/>
      <c r="F22" s="841"/>
      <c r="G22" s="322">
        <v>52000</v>
      </c>
      <c r="H22" s="322"/>
      <c r="I22" s="322">
        <v>62400</v>
      </c>
      <c r="J22" s="387"/>
      <c r="K22" s="850"/>
      <c r="L22" s="849"/>
      <c r="M22" s="850"/>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row>
    <row r="23" spans="1:52" s="74" customFormat="1" ht="20.25" x14ac:dyDescent="0.2">
      <c r="A23" s="73"/>
      <c r="B23" s="73"/>
      <c r="C23" s="420" t="s">
        <v>321</v>
      </c>
      <c r="D23" s="841"/>
      <c r="E23" s="841"/>
      <c r="F23" s="841"/>
      <c r="G23" s="322">
        <v>18537</v>
      </c>
      <c r="H23" s="322"/>
      <c r="I23" s="322">
        <v>18600</v>
      </c>
      <c r="J23" s="387"/>
      <c r="K23" s="850"/>
      <c r="L23" s="849"/>
      <c r="M23" s="850"/>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row>
    <row r="24" spans="1:52" s="74" customFormat="1" ht="20.25" x14ac:dyDescent="0.2">
      <c r="A24" s="73"/>
      <c r="B24" s="73"/>
      <c r="C24" s="420"/>
      <c r="D24" s="73" t="s">
        <v>105</v>
      </c>
      <c r="E24" s="420"/>
      <c r="F24" s="73"/>
      <c r="G24" s="749">
        <f>SUM(G7:G23)</f>
        <v>1604914</v>
      </c>
      <c r="H24" s="749"/>
      <c r="I24" s="749">
        <f>SUM(I7:I23)</f>
        <v>1719340</v>
      </c>
      <c r="J24" s="68"/>
      <c r="K24" s="850"/>
      <c r="L24" s="849"/>
      <c r="M24" s="850"/>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row>
    <row r="25" spans="1:52" s="74" customFormat="1" ht="21" thickBot="1" x14ac:dyDescent="0.25">
      <c r="A25" s="73"/>
      <c r="B25" s="73"/>
      <c r="C25" s="420"/>
      <c r="D25" s="73"/>
      <c r="E25" s="420"/>
      <c r="F25" s="73"/>
      <c r="G25" s="322"/>
      <c r="H25" s="322"/>
      <c r="I25" s="322"/>
      <c r="J25" s="68"/>
      <c r="K25" s="850"/>
      <c r="L25" s="849"/>
      <c r="M25" s="850"/>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row>
    <row r="26" spans="1:52" s="74" customFormat="1" ht="54.75" thickBot="1" x14ac:dyDescent="0.25">
      <c r="A26" s="73"/>
      <c r="B26" s="851" t="s">
        <v>111</v>
      </c>
      <c r="C26" s="851"/>
      <c r="D26" s="851"/>
      <c r="E26" s="851"/>
      <c r="F26" s="851"/>
      <c r="G26" s="852" t="s">
        <v>509</v>
      </c>
      <c r="H26" s="852"/>
      <c r="I26" s="852" t="s">
        <v>510</v>
      </c>
      <c r="J26" s="68"/>
      <c r="K26" s="850"/>
      <c r="L26" s="849"/>
      <c r="M26" s="850"/>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row>
    <row r="27" spans="1:52" s="68" customFormat="1" ht="20.25" x14ac:dyDescent="0.2">
      <c r="A27" s="67"/>
      <c r="B27" s="67"/>
      <c r="C27" s="79" t="s">
        <v>112</v>
      </c>
      <c r="D27" s="79"/>
      <c r="E27" s="79"/>
      <c r="F27" s="79"/>
      <c r="G27" s="322">
        <v>1121855</v>
      </c>
      <c r="H27" s="322"/>
      <c r="I27" s="322">
        <v>994800</v>
      </c>
      <c r="K27" s="850"/>
      <c r="L27" s="849"/>
      <c r="M27" s="850"/>
    </row>
    <row r="28" spans="1:52" s="68" customFormat="1" ht="20.25" x14ac:dyDescent="0.2">
      <c r="A28" s="67"/>
      <c r="B28" s="67"/>
      <c r="C28" s="79" t="s">
        <v>113</v>
      </c>
      <c r="D28" s="79"/>
      <c r="E28" s="79"/>
      <c r="F28" s="79"/>
      <c r="G28" s="322">
        <v>256895</v>
      </c>
      <c r="H28" s="322"/>
      <c r="I28" s="322">
        <f>199118+20000</f>
        <v>219118</v>
      </c>
      <c r="K28" s="850"/>
      <c r="L28" s="849"/>
      <c r="M28" s="850"/>
    </row>
    <row r="29" spans="1:52" s="68" customFormat="1" ht="20.25" x14ac:dyDescent="0.2">
      <c r="A29" s="67"/>
      <c r="B29" s="67"/>
      <c r="C29" s="79" t="s">
        <v>114</v>
      </c>
      <c r="D29" s="79"/>
      <c r="E29" s="79"/>
      <c r="F29" s="79"/>
      <c r="G29" s="322">
        <v>1800</v>
      </c>
      <c r="H29" s="322"/>
      <c r="I29" s="322">
        <v>1800</v>
      </c>
      <c r="K29" s="850"/>
      <c r="L29" s="849"/>
      <c r="M29" s="850"/>
    </row>
    <row r="30" spans="1:52" s="68" customFormat="1" ht="20.25" x14ac:dyDescent="0.2">
      <c r="A30" s="67"/>
      <c r="B30" s="67"/>
      <c r="C30" s="79" t="s">
        <v>104</v>
      </c>
      <c r="D30" s="79"/>
      <c r="E30" s="79"/>
      <c r="F30" s="79"/>
      <c r="G30" s="322">
        <v>52740</v>
      </c>
      <c r="H30" s="322"/>
      <c r="I30" s="322">
        <v>52740</v>
      </c>
      <c r="K30" s="850"/>
      <c r="L30" s="849"/>
      <c r="M30" s="850"/>
    </row>
    <row r="31" spans="1:52" s="68" customFormat="1" ht="20.25" x14ac:dyDescent="0.2">
      <c r="A31" s="67"/>
      <c r="B31" s="67"/>
      <c r="C31" s="79" t="s">
        <v>115</v>
      </c>
      <c r="D31" s="79"/>
      <c r="E31" s="79"/>
      <c r="F31" s="79"/>
      <c r="G31" s="322">
        <v>22940</v>
      </c>
      <c r="H31" s="322"/>
      <c r="I31" s="322">
        <v>21250</v>
      </c>
      <c r="K31" s="850"/>
      <c r="L31" s="849"/>
      <c r="M31" s="850"/>
    </row>
    <row r="32" spans="1:52" s="68" customFormat="1" ht="20.25" x14ac:dyDescent="0.2">
      <c r="A32" s="67"/>
      <c r="B32" s="67"/>
      <c r="C32" s="79" t="s">
        <v>116</v>
      </c>
      <c r="D32" s="79"/>
      <c r="E32" s="79"/>
      <c r="F32" s="79"/>
      <c r="G32" s="322">
        <v>2385</v>
      </c>
      <c r="H32" s="322"/>
      <c r="I32" s="322">
        <v>2520</v>
      </c>
      <c r="K32" s="850"/>
      <c r="L32" s="849"/>
      <c r="M32" s="850"/>
    </row>
    <row r="33" spans="1:14" s="68" customFormat="1" ht="20.25" x14ac:dyDescent="0.2">
      <c r="A33" s="67"/>
      <c r="B33" s="67"/>
      <c r="C33" s="79" t="s">
        <v>117</v>
      </c>
      <c r="D33" s="79"/>
      <c r="E33" s="79"/>
      <c r="F33" s="79"/>
      <c r="G33" s="322">
        <v>4620</v>
      </c>
      <c r="H33" s="322"/>
      <c r="I33" s="322">
        <v>3720</v>
      </c>
      <c r="K33" s="850"/>
      <c r="L33" s="849"/>
      <c r="M33" s="850"/>
    </row>
    <row r="34" spans="1:14" s="68" customFormat="1" ht="20.25" x14ac:dyDescent="0.2">
      <c r="A34" s="67"/>
      <c r="B34" s="67"/>
      <c r="C34" s="79" t="s">
        <v>118</v>
      </c>
      <c r="D34" s="79"/>
      <c r="E34" s="79"/>
      <c r="F34" s="79"/>
      <c r="G34" s="322">
        <v>13333</v>
      </c>
      <c r="H34" s="322"/>
      <c r="I34" s="322">
        <v>11230</v>
      </c>
      <c r="K34" s="850"/>
      <c r="L34" s="849"/>
      <c r="M34" s="850"/>
    </row>
    <row r="35" spans="1:14" s="68" customFormat="1" ht="20.25" x14ac:dyDescent="0.2">
      <c r="A35" s="67"/>
      <c r="B35" s="67"/>
      <c r="C35" s="79" t="s">
        <v>119</v>
      </c>
      <c r="D35" s="79"/>
      <c r="E35" s="79"/>
      <c r="F35" s="79"/>
      <c r="G35" s="322">
        <f>25674+15000</f>
        <v>40674</v>
      </c>
      <c r="H35" s="322"/>
      <c r="I35" s="322">
        <v>39910</v>
      </c>
      <c r="K35" s="850"/>
      <c r="L35" s="849"/>
      <c r="M35" s="850"/>
    </row>
    <row r="36" spans="1:14" s="68" customFormat="1" ht="20.25" x14ac:dyDescent="0.2">
      <c r="A36" s="67"/>
      <c r="B36" s="67"/>
      <c r="C36" s="79" t="s">
        <v>120</v>
      </c>
      <c r="D36" s="79"/>
      <c r="E36" s="79"/>
      <c r="F36" s="79"/>
      <c r="G36" s="322">
        <v>2918</v>
      </c>
      <c r="H36" s="322"/>
      <c r="I36" s="322">
        <v>3920</v>
      </c>
      <c r="K36" s="850"/>
      <c r="L36" s="849"/>
      <c r="M36" s="850"/>
    </row>
    <row r="37" spans="1:14" s="68" customFormat="1" ht="20.25" x14ac:dyDescent="0.2">
      <c r="A37" s="67"/>
      <c r="B37" s="67"/>
      <c r="C37" s="79" t="s">
        <v>121</v>
      </c>
      <c r="D37" s="79"/>
      <c r="E37" s="79"/>
      <c r="F37" s="79"/>
      <c r="G37" s="322">
        <v>1300</v>
      </c>
      <c r="H37" s="322"/>
      <c r="I37" s="322">
        <f>940+360</f>
        <v>1300</v>
      </c>
      <c r="K37" s="850"/>
      <c r="L37" s="849"/>
      <c r="M37" s="850"/>
    </row>
    <row r="38" spans="1:14" s="68" customFormat="1" ht="20.25" x14ac:dyDescent="0.2">
      <c r="A38" s="67"/>
      <c r="B38" s="67"/>
      <c r="C38" s="79" t="s">
        <v>166</v>
      </c>
      <c r="D38" s="79"/>
      <c r="E38" s="79"/>
      <c r="F38" s="79"/>
      <c r="G38" s="322">
        <v>15125</v>
      </c>
      <c r="H38" s="322"/>
      <c r="I38" s="322">
        <v>16375</v>
      </c>
      <c r="K38" s="850"/>
      <c r="L38" s="849"/>
      <c r="M38" s="850"/>
    </row>
    <row r="39" spans="1:14" s="68" customFormat="1" ht="20.25" x14ac:dyDescent="0.2">
      <c r="A39" s="67"/>
      <c r="B39" s="67"/>
      <c r="C39" s="976" t="s">
        <v>324</v>
      </c>
      <c r="D39" s="976"/>
      <c r="E39" s="976"/>
      <c r="F39" s="976"/>
      <c r="G39" s="322">
        <v>0</v>
      </c>
      <c r="H39" s="322"/>
      <c r="I39" s="322"/>
      <c r="J39" s="732"/>
      <c r="K39" s="850"/>
      <c r="L39" s="849"/>
      <c r="M39" s="850"/>
    </row>
    <row r="40" spans="1:14" s="68" customFormat="1" ht="20.25" x14ac:dyDescent="0.2">
      <c r="A40" s="67"/>
      <c r="B40" s="67"/>
      <c r="C40" s="79" t="s">
        <v>122</v>
      </c>
      <c r="D40" s="79"/>
      <c r="E40" s="79"/>
      <c r="F40" s="79"/>
      <c r="G40" s="322">
        <v>23851</v>
      </c>
      <c r="H40" s="322"/>
      <c r="I40" s="322">
        <v>22610</v>
      </c>
      <c r="K40" s="850"/>
      <c r="L40" s="849"/>
      <c r="M40" s="850"/>
      <c r="N40" s="850"/>
    </row>
    <row r="41" spans="1:14" s="68" customFormat="1" ht="20.25" x14ac:dyDescent="0.2">
      <c r="A41" s="67"/>
      <c r="B41" s="67"/>
      <c r="C41" s="79" t="s">
        <v>123</v>
      </c>
      <c r="D41" s="79"/>
      <c r="E41" s="79"/>
      <c r="F41" s="79"/>
      <c r="G41" s="322">
        <v>13155</v>
      </c>
      <c r="H41" s="322"/>
      <c r="I41" s="322">
        <v>12600</v>
      </c>
      <c r="J41" s="732"/>
      <c r="K41" s="850"/>
      <c r="L41" s="849"/>
      <c r="M41" s="850"/>
    </row>
    <row r="42" spans="1:14" s="68" customFormat="1" ht="20.25" x14ac:dyDescent="0.2">
      <c r="A42" s="67"/>
      <c r="B42" s="67"/>
      <c r="C42" s="79" t="s">
        <v>130</v>
      </c>
      <c r="D42" s="79"/>
      <c r="E42" s="79"/>
      <c r="F42" s="79"/>
      <c r="G42" s="322">
        <v>1320</v>
      </c>
      <c r="H42" s="322"/>
      <c r="I42" s="322">
        <v>900</v>
      </c>
      <c r="K42" s="850"/>
      <c r="L42" s="849"/>
      <c r="M42" s="850"/>
    </row>
    <row r="43" spans="1:14" s="68" customFormat="1" ht="20.25" x14ac:dyDescent="0.2">
      <c r="A43" s="67"/>
      <c r="B43" s="67"/>
      <c r="C43" s="79" t="s">
        <v>124</v>
      </c>
      <c r="D43" s="79"/>
      <c r="E43" s="79"/>
      <c r="F43" s="79"/>
      <c r="G43" s="322">
        <f>1500+4750</f>
        <v>6250</v>
      </c>
      <c r="H43" s="322"/>
      <c r="I43" s="322">
        <v>6750</v>
      </c>
      <c r="J43" s="732"/>
      <c r="K43" s="850"/>
      <c r="L43" s="849"/>
      <c r="M43" s="850"/>
    </row>
    <row r="44" spans="1:14" s="68" customFormat="1" ht="20.25" customHeight="1" x14ac:dyDescent="0.2">
      <c r="A44" s="67"/>
      <c r="B44" s="67"/>
      <c r="C44" s="79" t="s">
        <v>199</v>
      </c>
      <c r="D44" s="79"/>
      <c r="E44" s="79"/>
      <c r="F44" s="79"/>
      <c r="G44" s="322">
        <v>8812</v>
      </c>
      <c r="H44" s="322"/>
      <c r="I44" s="322">
        <v>8840</v>
      </c>
      <c r="K44" s="850"/>
      <c r="L44" s="849"/>
      <c r="M44" s="850"/>
    </row>
    <row r="45" spans="1:14" s="76" customFormat="1" ht="20.25" x14ac:dyDescent="0.2">
      <c r="A45" s="79"/>
      <c r="B45" s="79"/>
      <c r="C45" s="79" t="s">
        <v>126</v>
      </c>
      <c r="D45" s="79"/>
      <c r="E45" s="79"/>
      <c r="F45" s="79"/>
      <c r="G45" s="322">
        <v>13980</v>
      </c>
      <c r="H45" s="322"/>
      <c r="I45" s="322">
        <v>150220</v>
      </c>
      <c r="K45" s="854"/>
      <c r="L45" s="849"/>
      <c r="M45" s="854"/>
    </row>
    <row r="46" spans="1:14" s="68" customFormat="1" ht="20.25" x14ac:dyDescent="0.2">
      <c r="A46" s="67"/>
      <c r="B46" s="67"/>
      <c r="C46" s="79" t="s">
        <v>165</v>
      </c>
      <c r="D46" s="79"/>
      <c r="E46" s="79"/>
      <c r="F46" s="79"/>
      <c r="G46" s="322">
        <v>71775</v>
      </c>
      <c r="H46" s="322"/>
      <c r="I46" s="322">
        <v>75200</v>
      </c>
      <c r="K46" s="850"/>
      <c r="L46" s="849"/>
      <c r="M46" s="850"/>
    </row>
    <row r="47" spans="1:14" s="68" customFormat="1" ht="20.25" x14ac:dyDescent="0.2">
      <c r="A47" s="67"/>
      <c r="B47" s="67"/>
      <c r="C47" s="79" t="s">
        <v>127</v>
      </c>
      <c r="D47" s="79"/>
      <c r="E47" s="79"/>
      <c r="F47" s="79"/>
      <c r="G47" s="322">
        <f>3750+38808</f>
        <v>42558</v>
      </c>
      <c r="H47" s="322"/>
      <c r="I47" s="322">
        <v>79050</v>
      </c>
      <c r="K47" s="850"/>
      <c r="L47" s="849"/>
      <c r="M47" s="850"/>
    </row>
    <row r="48" spans="1:14" s="76" customFormat="1" ht="20.25" x14ac:dyDescent="0.2">
      <c r="A48" s="79"/>
      <c r="B48" s="79"/>
      <c r="D48" s="67" t="s">
        <v>128</v>
      </c>
      <c r="G48" s="322">
        <f>SUM(G27:G47)</f>
        <v>1718286</v>
      </c>
      <c r="H48" s="322"/>
      <c r="I48" s="322">
        <f>SUM(I27:I47)</f>
        <v>1724853</v>
      </c>
      <c r="K48" s="854"/>
      <c r="L48" s="849"/>
      <c r="M48" s="854"/>
    </row>
    <row r="49" spans="1:13" s="76" customFormat="1" ht="8.25" customHeight="1" x14ac:dyDescent="0.2">
      <c r="A49" s="79"/>
      <c r="B49" s="79"/>
      <c r="C49" s="67"/>
      <c r="D49" s="67"/>
      <c r="G49" s="322"/>
      <c r="H49" s="322"/>
      <c r="I49" s="322"/>
      <c r="K49" s="854"/>
      <c r="L49" s="849"/>
      <c r="M49" s="854"/>
    </row>
    <row r="50" spans="1:13" s="76" customFormat="1" ht="20.25" x14ac:dyDescent="0.2">
      <c r="A50" s="79"/>
      <c r="B50" s="79"/>
      <c r="C50" s="855" t="s">
        <v>421</v>
      </c>
      <c r="D50"/>
      <c r="E50" s="67"/>
      <c r="F50" s="67"/>
      <c r="G50" s="242">
        <f>G24-G48</f>
        <v>-113372</v>
      </c>
      <c r="H50" s="232"/>
      <c r="I50" s="242">
        <f>I24-I48</f>
        <v>-5513</v>
      </c>
      <c r="K50" s="854"/>
      <c r="L50" s="849"/>
      <c r="M50" s="854"/>
    </row>
    <row r="51" spans="1:13" s="76" customFormat="1" ht="9" customHeight="1" x14ac:dyDescent="0.2">
      <c r="A51" s="79"/>
      <c r="B51" s="79"/>
      <c r="C51" s="79"/>
      <c r="D51" s="79"/>
      <c r="E51" s="79"/>
      <c r="F51" s="79"/>
      <c r="G51" s="232"/>
      <c r="H51" s="232"/>
      <c r="I51" s="232"/>
      <c r="K51" s="854"/>
      <c r="L51" s="849"/>
      <c r="M51" s="854"/>
    </row>
    <row r="52" spans="1:13" s="76" customFormat="1" ht="23.25" customHeight="1" x14ac:dyDescent="0.2">
      <c r="A52" s="79"/>
      <c r="B52" s="79"/>
      <c r="C52" s="79" t="s">
        <v>495</v>
      </c>
      <c r="D52" s="79"/>
      <c r="F52" s="79"/>
      <c r="G52" s="232">
        <v>48285</v>
      </c>
      <c r="H52" s="232"/>
      <c r="I52" s="232">
        <v>39540</v>
      </c>
      <c r="K52" s="854"/>
      <c r="L52" s="849"/>
      <c r="M52" s="854"/>
    </row>
    <row r="53" spans="1:13" s="76" customFormat="1" ht="20.25" x14ac:dyDescent="0.2">
      <c r="A53" s="79"/>
      <c r="B53" s="79"/>
      <c r="C53" s="79" t="s">
        <v>32</v>
      </c>
      <c r="D53" s="79"/>
      <c r="F53" s="79"/>
      <c r="G53" s="232">
        <v>5933</v>
      </c>
      <c r="H53" s="232"/>
      <c r="I53" s="232">
        <v>465</v>
      </c>
      <c r="K53" s="854"/>
      <c r="L53" s="849"/>
      <c r="M53" s="854"/>
    </row>
    <row r="54" spans="1:13" s="76" customFormat="1" ht="9" customHeight="1" thickBot="1" x14ac:dyDescent="0.25">
      <c r="A54" s="79"/>
      <c r="B54" s="79"/>
      <c r="C54" s="79"/>
      <c r="D54" s="79"/>
      <c r="E54" s="79"/>
      <c r="F54" s="79"/>
      <c r="G54" s="232"/>
      <c r="H54" s="232"/>
      <c r="I54" s="232"/>
      <c r="K54" s="854"/>
      <c r="L54" s="849"/>
      <c r="M54" s="854"/>
    </row>
    <row r="55" spans="1:13" s="68" customFormat="1" ht="21.75" thickTop="1" thickBot="1" x14ac:dyDescent="0.25">
      <c r="A55" s="67"/>
      <c r="B55" s="67"/>
      <c r="C55" s="856" t="s">
        <v>422</v>
      </c>
      <c r="D55" s="857"/>
      <c r="E55" s="857"/>
      <c r="F55" s="857"/>
      <c r="G55" s="858">
        <f>G50-G53-G52</f>
        <v>-167590</v>
      </c>
      <c r="H55" s="858"/>
      <c r="I55" s="858">
        <f>I50-I53-I52</f>
        <v>-45518</v>
      </c>
      <c r="K55" s="850"/>
      <c r="L55" s="849"/>
      <c r="M55" s="850"/>
    </row>
    <row r="56" spans="1:13" s="68" customFormat="1" ht="21" thickTop="1" x14ac:dyDescent="0.2">
      <c r="A56" s="67"/>
      <c r="B56" s="67"/>
      <c r="C56" s="67"/>
      <c r="D56" s="67"/>
      <c r="E56" s="67"/>
      <c r="F56" s="67"/>
      <c r="G56" s="237"/>
      <c r="H56" s="237"/>
      <c r="K56" s="850"/>
      <c r="L56" s="849"/>
      <c r="M56" s="850"/>
    </row>
    <row r="57" spans="1:13" s="18" customFormat="1" ht="20.25" x14ac:dyDescent="0.3">
      <c r="A57" s="122"/>
      <c r="B57" s="859" t="s">
        <v>511</v>
      </c>
      <c r="C57" s="860"/>
      <c r="D57" s="122"/>
      <c r="E57" s="122"/>
      <c r="F57" s="760"/>
      <c r="G57" s="277"/>
      <c r="H57" s="277"/>
      <c r="I57" s="860"/>
      <c r="K57" s="521"/>
      <c r="L57" s="190"/>
      <c r="M57" s="521"/>
    </row>
    <row r="58" spans="1:13" s="18" customFormat="1" ht="9.75" customHeight="1" x14ac:dyDescent="0.3">
      <c r="A58" s="122"/>
      <c r="B58" s="859"/>
      <c r="C58" s="860"/>
      <c r="D58" s="122"/>
      <c r="E58" s="122"/>
      <c r="F58" s="760"/>
      <c r="G58" s="277"/>
      <c r="H58" s="277"/>
      <c r="I58" s="860"/>
      <c r="K58" s="521"/>
      <c r="L58" s="190"/>
      <c r="M58" s="521"/>
    </row>
    <row r="59" spans="1:13" s="18" customFormat="1" ht="20.25" x14ac:dyDescent="0.3">
      <c r="A59" s="122"/>
      <c r="B59" s="859"/>
      <c r="C59" s="861" t="s">
        <v>512</v>
      </c>
      <c r="D59" s="122"/>
      <c r="E59" s="122"/>
      <c r="F59" s="760"/>
      <c r="G59" s="277"/>
      <c r="H59" s="277"/>
      <c r="I59" s="860"/>
      <c r="K59" s="521"/>
      <c r="L59" s="190"/>
      <c r="M59" s="521"/>
    </row>
    <row r="60" spans="1:13" s="18" customFormat="1" ht="20.25" x14ac:dyDescent="0.3">
      <c r="A60" s="122"/>
      <c r="B60" s="859"/>
      <c r="C60" s="862" t="s">
        <v>513</v>
      </c>
      <c r="D60" s="122"/>
      <c r="E60" s="122"/>
      <c r="F60" s="760"/>
      <c r="G60" s="277"/>
      <c r="H60" s="277"/>
      <c r="I60" s="860"/>
      <c r="K60" s="521"/>
      <c r="L60" s="190"/>
      <c r="M60" s="521"/>
    </row>
    <row r="61" spans="1:13" s="18" customFormat="1" ht="33.75" customHeight="1" x14ac:dyDescent="0.3">
      <c r="A61" s="122"/>
      <c r="B61" s="859"/>
      <c r="C61" s="977" t="s">
        <v>563</v>
      </c>
      <c r="D61" s="977"/>
      <c r="E61" s="977"/>
      <c r="F61" s="977"/>
      <c r="G61" s="977"/>
      <c r="H61" s="977"/>
      <c r="I61" s="977"/>
      <c r="K61" s="521"/>
      <c r="L61" s="190"/>
      <c r="M61" s="521"/>
    </row>
    <row r="62" spans="1:13" s="912" customFormat="1" ht="39" customHeight="1" x14ac:dyDescent="0.2">
      <c r="A62" s="910"/>
      <c r="B62" s="911"/>
      <c r="C62" s="978" t="s">
        <v>562</v>
      </c>
      <c r="D62" s="978"/>
      <c r="E62" s="978"/>
      <c r="F62" s="978"/>
      <c r="G62" s="978"/>
      <c r="H62" s="978"/>
      <c r="I62" s="978"/>
      <c r="K62" s="913"/>
      <c r="L62" s="914"/>
      <c r="M62" s="913"/>
    </row>
    <row r="63" spans="1:13" s="18" customFormat="1" ht="20.25" x14ac:dyDescent="0.3">
      <c r="A63" s="122"/>
      <c r="B63" s="859"/>
      <c r="C63" s="862" t="s">
        <v>559</v>
      </c>
      <c r="D63" s="122"/>
      <c r="E63" s="122"/>
      <c r="F63" s="760"/>
      <c r="G63" s="277"/>
      <c r="H63" s="277"/>
      <c r="I63" s="860"/>
      <c r="K63" s="521"/>
      <c r="L63" s="190"/>
      <c r="M63" s="521"/>
    </row>
    <row r="64" spans="1:13" s="18" customFormat="1" ht="20.25" x14ac:dyDescent="0.3">
      <c r="A64" s="122"/>
      <c r="B64" s="859"/>
      <c r="C64" s="18">
        <v>1</v>
      </c>
      <c r="D64" s="862" t="s">
        <v>544</v>
      </c>
      <c r="E64" s="122"/>
      <c r="F64" s="760"/>
      <c r="G64" s="277"/>
      <c r="H64" s="277"/>
      <c r="I64" s="860"/>
      <c r="K64" s="521"/>
      <c r="L64" s="190"/>
      <c r="M64" s="521"/>
    </row>
    <row r="65" spans="1:15" s="18" customFormat="1" ht="20.25" x14ac:dyDescent="0.3">
      <c r="A65" s="122"/>
      <c r="B65" s="859"/>
      <c r="C65" s="862">
        <v>2</v>
      </c>
      <c r="D65" s="909" t="s">
        <v>545</v>
      </c>
      <c r="E65" s="122"/>
      <c r="F65" s="760"/>
      <c r="G65" s="277"/>
      <c r="H65" s="277"/>
      <c r="I65" s="860"/>
      <c r="K65" s="521"/>
      <c r="L65" s="190"/>
      <c r="M65" s="521"/>
    </row>
    <row r="66" spans="1:15" s="18" customFormat="1" ht="20.25" x14ac:dyDescent="0.3">
      <c r="A66" s="122"/>
      <c r="B66" s="859"/>
      <c r="C66" s="862">
        <v>3</v>
      </c>
      <c r="D66" s="909" t="s">
        <v>546</v>
      </c>
      <c r="E66" s="122"/>
      <c r="F66" s="760"/>
      <c r="G66" s="277"/>
      <c r="H66" s="277"/>
      <c r="I66" s="860"/>
      <c r="K66" s="521"/>
      <c r="L66" s="190"/>
      <c r="M66" s="521"/>
    </row>
    <row r="67" spans="1:15" s="18" customFormat="1" ht="20.25" x14ac:dyDescent="0.3">
      <c r="A67" s="122"/>
      <c r="B67" s="859"/>
      <c r="C67" s="862" t="s">
        <v>560</v>
      </c>
      <c r="D67" s="909"/>
      <c r="E67" s="122"/>
      <c r="F67" s="760"/>
      <c r="G67" s="277"/>
      <c r="H67" s="277"/>
      <c r="I67" s="860"/>
      <c r="K67" s="521"/>
      <c r="L67" s="190"/>
      <c r="M67" s="521"/>
    </row>
    <row r="68" spans="1:15" s="18" customFormat="1" ht="39.75" customHeight="1" x14ac:dyDescent="0.3">
      <c r="A68" s="122"/>
      <c r="B68" s="859"/>
      <c r="C68" s="977" t="s">
        <v>561</v>
      </c>
      <c r="D68" s="977"/>
      <c r="E68" s="977"/>
      <c r="F68" s="977"/>
      <c r="G68" s="977"/>
      <c r="H68" s="977"/>
      <c r="I68" s="977"/>
      <c r="K68" s="521"/>
      <c r="L68" s="190"/>
      <c r="M68" s="521"/>
      <c r="O68" s="1"/>
    </row>
    <row r="69" spans="1:15" ht="20.25" customHeight="1" x14ac:dyDescent="0.2">
      <c r="C69" s="977" t="s">
        <v>564</v>
      </c>
      <c r="D69" s="977"/>
      <c r="E69" s="977"/>
      <c r="F69" s="977"/>
      <c r="G69" s="977"/>
      <c r="H69" s="977"/>
      <c r="I69" s="977"/>
      <c r="O69" s="1"/>
    </row>
    <row r="70" spans="1:15" ht="11.25" customHeight="1" x14ac:dyDescent="0.3">
      <c r="C70" s="862"/>
      <c r="F70" s="761"/>
      <c r="G70" s="277"/>
      <c r="H70" s="277"/>
      <c r="I70" s="860"/>
      <c r="O70" s="1"/>
    </row>
    <row r="71" spans="1:15" ht="20.25" x14ac:dyDescent="0.3">
      <c r="C71" s="863" t="s">
        <v>514</v>
      </c>
      <c r="F71" s="761"/>
      <c r="G71" s="277"/>
      <c r="H71" s="277"/>
      <c r="I71" s="860"/>
      <c r="O71" s="1"/>
    </row>
    <row r="72" spans="1:15" ht="38.25" customHeight="1" x14ac:dyDescent="0.2">
      <c r="C72" s="977" t="s">
        <v>515</v>
      </c>
      <c r="D72" s="977"/>
      <c r="E72" s="977"/>
      <c r="F72" s="977"/>
      <c r="G72" s="977"/>
      <c r="H72" s="977"/>
      <c r="I72" s="977"/>
      <c r="O72" s="1"/>
    </row>
    <row r="73" spans="1:15" ht="37.5" customHeight="1" x14ac:dyDescent="0.2">
      <c r="C73" s="978" t="s">
        <v>558</v>
      </c>
      <c r="D73" s="978"/>
      <c r="E73" s="978"/>
      <c r="F73" s="978"/>
      <c r="G73" s="978"/>
      <c r="H73" s="978"/>
      <c r="I73" s="978"/>
      <c r="O73" s="1"/>
    </row>
    <row r="74" spans="1:15" ht="18" x14ac:dyDescent="0.25">
      <c r="C74" s="862" t="s">
        <v>516</v>
      </c>
      <c r="F74" s="761"/>
      <c r="G74" s="860"/>
      <c r="H74" s="860"/>
      <c r="I74" s="860"/>
      <c r="O74" s="1"/>
    </row>
    <row r="75" spans="1:15" ht="18" x14ac:dyDescent="0.25">
      <c r="C75" s="862" t="s">
        <v>556</v>
      </c>
      <c r="F75" s="761"/>
      <c r="G75" s="860"/>
      <c r="H75" s="860"/>
      <c r="I75" s="860"/>
      <c r="O75" s="1"/>
    </row>
    <row r="76" spans="1:15" ht="29.25" customHeight="1" x14ac:dyDescent="0.2">
      <c r="C76" s="977" t="s">
        <v>557</v>
      </c>
      <c r="D76" s="977"/>
      <c r="E76" s="977"/>
      <c r="F76" s="977"/>
      <c r="G76" s="977"/>
      <c r="H76" s="977"/>
      <c r="I76" s="977"/>
      <c r="O76" s="1"/>
    </row>
    <row r="77" spans="1:15" ht="18" x14ac:dyDescent="0.25">
      <c r="C77" s="279" t="s">
        <v>547</v>
      </c>
      <c r="F77" s="761"/>
      <c r="G77" s="860"/>
      <c r="H77" s="860"/>
      <c r="I77" s="860"/>
      <c r="O77" s="1"/>
    </row>
    <row r="78" spans="1:15" ht="18" x14ac:dyDescent="0.25">
      <c r="C78" s="279">
        <v>1</v>
      </c>
      <c r="D78" s="279" t="s">
        <v>548</v>
      </c>
      <c r="F78" s="761"/>
      <c r="G78" s="860"/>
      <c r="H78" s="860"/>
      <c r="I78" s="860"/>
      <c r="O78" s="1"/>
    </row>
    <row r="79" spans="1:15" ht="18" x14ac:dyDescent="0.25">
      <c r="C79" s="279">
        <v>2</v>
      </c>
      <c r="D79" s="279" t="s">
        <v>554</v>
      </c>
      <c r="F79" s="761"/>
    </row>
    <row r="80" spans="1:15" ht="18" x14ac:dyDescent="0.25">
      <c r="C80" s="279">
        <v>3</v>
      </c>
      <c r="D80" s="279" t="s">
        <v>555</v>
      </c>
      <c r="F80" s="761"/>
    </row>
    <row r="81" spans="3:6" ht="18" x14ac:dyDescent="0.25">
      <c r="C81" s="279">
        <v>4</v>
      </c>
      <c r="D81" s="279" t="s">
        <v>550</v>
      </c>
      <c r="F81" s="761"/>
    </row>
    <row r="82" spans="3:6" ht="18" x14ac:dyDescent="0.25">
      <c r="C82" s="279" t="s">
        <v>549</v>
      </c>
      <c r="D82" s="279"/>
      <c r="F82" s="761"/>
    </row>
    <row r="83" spans="3:6" ht="18" x14ac:dyDescent="0.25">
      <c r="C83" s="279" t="s">
        <v>552</v>
      </c>
      <c r="D83" s="279"/>
      <c r="F83" s="761"/>
    </row>
    <row r="84" spans="3:6" ht="18" x14ac:dyDescent="0.25">
      <c r="C84" s="279">
        <v>1</v>
      </c>
      <c r="D84" s="279" t="s">
        <v>551</v>
      </c>
      <c r="F84" s="762"/>
    </row>
    <row r="85" spans="3:6" ht="18" x14ac:dyDescent="0.25">
      <c r="C85" s="279">
        <v>2</v>
      </c>
      <c r="D85" s="279" t="s">
        <v>553</v>
      </c>
      <c r="F85" s="762"/>
    </row>
    <row r="86" spans="3:6" x14ac:dyDescent="0.2">
      <c r="C86" s="279" t="s">
        <v>549</v>
      </c>
      <c r="D86" s="279"/>
    </row>
    <row r="87" spans="3:6" x14ac:dyDescent="0.2">
      <c r="C87" s="279" t="s">
        <v>565</v>
      </c>
      <c r="D87" s="279"/>
    </row>
    <row r="88" spans="3:6" x14ac:dyDescent="0.2">
      <c r="C88" s="279" t="s">
        <v>566</v>
      </c>
      <c r="D88" s="279"/>
    </row>
    <row r="89" spans="3:6" x14ac:dyDescent="0.2">
      <c r="C89" s="279"/>
      <c r="D89" s="279"/>
    </row>
    <row r="90" spans="3:6" x14ac:dyDescent="0.2">
      <c r="C90" s="279"/>
      <c r="D90" s="279"/>
    </row>
    <row r="91" spans="3:6" x14ac:dyDescent="0.2">
      <c r="C91" s="279"/>
      <c r="D91" s="279"/>
    </row>
    <row r="92" spans="3:6" x14ac:dyDescent="0.2">
      <c r="C92" s="279"/>
      <c r="D92" s="279"/>
    </row>
    <row r="93" spans="3:6" x14ac:dyDescent="0.2">
      <c r="C93" s="279"/>
      <c r="D93" s="279"/>
    </row>
    <row r="94" spans="3:6" x14ac:dyDescent="0.2">
      <c r="C94" s="279"/>
      <c r="D94" s="279"/>
    </row>
    <row r="95" spans="3:6" x14ac:dyDescent="0.2">
      <c r="C95" s="279"/>
      <c r="D95" s="279"/>
    </row>
    <row r="96" spans="3:6" x14ac:dyDescent="0.2">
      <c r="C96" s="279"/>
      <c r="D96" s="279"/>
    </row>
    <row r="97" spans="3:4" x14ac:dyDescent="0.2">
      <c r="C97" s="279"/>
      <c r="D97" s="279"/>
    </row>
    <row r="98" spans="3:4" x14ac:dyDescent="0.2">
      <c r="C98" s="279"/>
    </row>
    <row r="99" spans="3:4" x14ac:dyDescent="0.2">
      <c r="C99" s="279"/>
    </row>
    <row r="100" spans="3:4" x14ac:dyDescent="0.2">
      <c r="C100" s="279"/>
    </row>
    <row r="101" spans="3:4" x14ac:dyDescent="0.2">
      <c r="C101" s="279"/>
    </row>
    <row r="102" spans="3:4" x14ac:dyDescent="0.2">
      <c r="C102" s="279"/>
    </row>
    <row r="103" spans="3:4" x14ac:dyDescent="0.2">
      <c r="C103" s="279"/>
    </row>
    <row r="104" spans="3:4" x14ac:dyDescent="0.2">
      <c r="C104" s="279"/>
    </row>
    <row r="105" spans="3:4" x14ac:dyDescent="0.2">
      <c r="C105" s="279"/>
    </row>
    <row r="106" spans="3:4" x14ac:dyDescent="0.2">
      <c r="C106" s="279"/>
    </row>
    <row r="107" spans="3:4" x14ac:dyDescent="0.2">
      <c r="C107" s="279"/>
    </row>
    <row r="108" spans="3:4" x14ac:dyDescent="0.2">
      <c r="C108" s="279"/>
    </row>
    <row r="109" spans="3:4" x14ac:dyDescent="0.2">
      <c r="C109" s="279"/>
    </row>
    <row r="110" spans="3:4" x14ac:dyDescent="0.2">
      <c r="C110" s="279"/>
    </row>
    <row r="111" spans="3:4" x14ac:dyDescent="0.2">
      <c r="C111" s="279"/>
    </row>
    <row r="112" spans="3:4" x14ac:dyDescent="0.2">
      <c r="C112" s="279"/>
    </row>
  </sheetData>
  <mergeCells count="8">
    <mergeCell ref="C76:I76"/>
    <mergeCell ref="C39:F39"/>
    <mergeCell ref="C72:I72"/>
    <mergeCell ref="C73:I73"/>
    <mergeCell ref="C68:I68"/>
    <mergeCell ref="C69:I69"/>
    <mergeCell ref="C61:I61"/>
    <mergeCell ref="C62:I6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B117"/>
  <sheetViews>
    <sheetView zoomScale="70" zoomScaleNormal="70" workbookViewId="0">
      <selection activeCell="F41" sqref="F41"/>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51.375" style="57" bestFit="1" customWidth="1"/>
    <col min="7" max="7" width="24.25" style="57" customWidth="1"/>
    <col min="8" max="9" width="24.125" style="57" customWidth="1"/>
    <col min="10" max="10" width="24.125" style="18" customWidth="1"/>
    <col min="11" max="11" width="22.875" style="18" bestFit="1" customWidth="1"/>
    <col min="12" max="12" width="10.25" style="366" bestFit="1" customWidth="1"/>
    <col min="13" max="13" width="10.875" style="18" bestFit="1" customWidth="1"/>
    <col min="14" max="15" width="10.875" style="18" customWidth="1"/>
    <col min="16" max="16" width="10.5" style="18" bestFit="1" customWidth="1"/>
    <col min="17" max="17" width="15.25" style="18" customWidth="1"/>
    <col min="18" max="18" width="14.625" style="898" customWidth="1"/>
    <col min="19" max="22" width="9" style="18"/>
    <col min="23" max="23" width="13.125" style="877" customWidth="1"/>
    <col min="24" max="24" width="18" style="18" customWidth="1"/>
    <col min="25" max="25" width="11.375" style="899" bestFit="1" customWidth="1"/>
    <col min="26" max="39" width="9" style="18"/>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106" ht="22.5" customHeight="1" x14ac:dyDescent="0.4">
      <c r="A1" s="58" t="s">
        <v>94</v>
      </c>
      <c r="B1" s="59"/>
      <c r="C1" s="60"/>
      <c r="D1" s="60"/>
      <c r="E1" s="60"/>
      <c r="F1" s="59"/>
      <c r="G1" s="59"/>
      <c r="H1" s="59"/>
      <c r="I1" s="59"/>
      <c r="J1" s="59"/>
      <c r="K1" s="59"/>
      <c r="L1" s="358"/>
      <c r="M1" s="59"/>
      <c r="N1" s="59"/>
      <c r="O1" s="59"/>
      <c r="P1" s="59"/>
      <c r="Q1" s="59"/>
      <c r="R1" s="866"/>
      <c r="S1" s="4"/>
      <c r="T1" s="4"/>
      <c r="U1" s="4"/>
      <c r="V1" s="4"/>
      <c r="W1" s="9"/>
      <c r="X1" s="4"/>
      <c r="Y1" s="867"/>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row>
    <row r="2" spans="1:106" ht="22.5" customHeight="1" x14ac:dyDescent="0.4">
      <c r="A2" s="58" t="s">
        <v>213</v>
      </c>
      <c r="B2" s="59"/>
      <c r="C2" s="60"/>
      <c r="D2" s="60"/>
      <c r="E2" s="60"/>
      <c r="F2" s="59"/>
      <c r="G2" s="59"/>
      <c r="H2" s="59"/>
      <c r="I2" s="59"/>
      <c r="J2" s="59"/>
      <c r="K2" s="59"/>
      <c r="L2" s="358"/>
      <c r="M2" s="59"/>
      <c r="N2" s="59"/>
      <c r="O2" s="59"/>
      <c r="P2" s="59"/>
      <c r="Q2" s="59"/>
      <c r="R2" s="866"/>
      <c r="S2" s="4"/>
      <c r="T2" s="4"/>
      <c r="U2" s="4"/>
      <c r="V2" s="4"/>
      <c r="W2" s="9"/>
      <c r="X2" s="4"/>
      <c r="Y2" s="867"/>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row>
    <row r="3" spans="1:106" ht="21.75" hidden="1" customHeight="1" x14ac:dyDescent="0.4">
      <c r="A3" s="58" t="str">
        <f>'[2]August''22 State of Activities'!A3</f>
        <v>Eight Months Ended August 31, 2022 and 2021</v>
      </c>
      <c r="B3" s="59"/>
      <c r="C3" s="60"/>
      <c r="D3" s="60"/>
      <c r="E3" s="60"/>
      <c r="F3" s="59"/>
      <c r="G3" s="59"/>
      <c r="H3" s="59"/>
      <c r="I3" s="59"/>
      <c r="J3" s="59"/>
      <c r="K3" s="59"/>
      <c r="L3" s="358"/>
      <c r="M3" s="59"/>
      <c r="N3" s="59"/>
      <c r="O3" s="59"/>
      <c r="P3" s="59"/>
      <c r="Q3" s="59"/>
      <c r="R3" s="866"/>
      <c r="S3" s="4"/>
      <c r="T3" s="4"/>
      <c r="U3" s="4"/>
      <c r="V3" s="4"/>
      <c r="W3" s="9"/>
      <c r="X3" s="4"/>
      <c r="Y3" s="867"/>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row>
    <row r="4" spans="1:106" ht="22.5" customHeight="1" x14ac:dyDescent="0.4">
      <c r="A4" s="58" t="s">
        <v>517</v>
      </c>
      <c r="B4" s="59"/>
      <c r="C4" s="60"/>
      <c r="D4" s="60"/>
      <c r="E4" s="60"/>
      <c r="F4" s="59"/>
      <c r="G4" s="59"/>
      <c r="H4" s="59"/>
      <c r="I4" s="59"/>
      <c r="J4" s="59"/>
      <c r="K4" s="59"/>
      <c r="L4" s="358"/>
      <c r="M4" s="59"/>
      <c r="N4" s="59"/>
      <c r="O4" s="59"/>
      <c r="P4" s="59"/>
      <c r="Q4" s="59"/>
      <c r="R4" s="866"/>
      <c r="S4" s="4"/>
      <c r="T4" s="4"/>
      <c r="U4" s="4"/>
      <c r="V4" s="4"/>
      <c r="W4" s="9"/>
      <c r="X4" s="4"/>
      <c r="Y4" s="867"/>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row>
    <row r="5" spans="1:106" s="63" customFormat="1" ht="8.25" customHeight="1" thickBot="1" x14ac:dyDescent="0.25">
      <c r="A5" s="61"/>
      <c r="B5" s="61"/>
      <c r="C5" s="61"/>
      <c r="D5" s="61"/>
      <c r="E5" s="61"/>
      <c r="F5" s="61"/>
      <c r="G5" s="61"/>
      <c r="H5" s="61"/>
      <c r="I5" s="61"/>
      <c r="J5" s="62"/>
      <c r="K5" s="320"/>
      <c r="L5" s="359"/>
      <c r="M5" s="62"/>
      <c r="N5" s="62"/>
      <c r="O5" s="62"/>
      <c r="P5" s="62"/>
      <c r="Q5" s="62"/>
      <c r="R5" s="868"/>
      <c r="S5" s="62"/>
      <c r="T5" s="62"/>
      <c r="U5" s="62"/>
      <c r="V5" s="62"/>
      <c r="W5" s="869"/>
      <c r="X5" s="62"/>
      <c r="Y5" s="870"/>
      <c r="Z5" s="62"/>
      <c r="AA5" s="62"/>
      <c r="AB5" s="62"/>
      <c r="AC5" s="62"/>
      <c r="AD5" s="62"/>
      <c r="AE5" s="62"/>
      <c r="AF5" s="62"/>
      <c r="AG5" s="62"/>
      <c r="AH5" s="62"/>
      <c r="AI5" s="62"/>
      <c r="AJ5" s="62"/>
      <c r="AK5" s="62"/>
      <c r="AL5" s="62"/>
      <c r="AM5" s="62"/>
    </row>
    <row r="6" spans="1:106" s="66" customFormat="1" ht="24.75" customHeight="1" thickTop="1" thickBot="1" x14ac:dyDescent="0.25">
      <c r="A6" s="64" t="s">
        <v>108</v>
      </c>
      <c r="B6" s="64"/>
      <c r="C6" s="64"/>
      <c r="D6" s="64"/>
      <c r="E6" s="64"/>
      <c r="F6" s="64"/>
      <c r="G6" s="64"/>
      <c r="H6" s="64"/>
      <c r="I6" s="64"/>
      <c r="J6" s="838"/>
      <c r="K6" s="871"/>
      <c r="L6" s="360"/>
      <c r="M6" s="65"/>
      <c r="N6" s="65"/>
      <c r="O6" s="65"/>
      <c r="P6" s="65"/>
      <c r="Q6" s="65"/>
      <c r="R6" s="872"/>
      <c r="S6" s="65"/>
      <c r="T6" s="65"/>
      <c r="U6" s="65"/>
      <c r="V6" s="65"/>
      <c r="W6" s="873"/>
      <c r="X6" s="65"/>
      <c r="Y6" s="874"/>
      <c r="Z6" s="65"/>
      <c r="AA6" s="65"/>
      <c r="AB6" s="65"/>
      <c r="AC6" s="65"/>
      <c r="AD6" s="65"/>
      <c r="AE6" s="65"/>
      <c r="AF6" s="65"/>
      <c r="AG6" s="65"/>
      <c r="AH6" s="65"/>
      <c r="AI6" s="65"/>
      <c r="AJ6" s="65"/>
      <c r="AK6" s="65"/>
      <c r="AL6" s="65"/>
      <c r="AM6" s="65"/>
    </row>
    <row r="7" spans="1:106" s="68" customFormat="1" ht="8.25" customHeight="1" thickTop="1" x14ac:dyDescent="0.2">
      <c r="A7" s="67"/>
      <c r="B7" s="67"/>
      <c r="C7" s="67"/>
      <c r="D7" s="67"/>
      <c r="E7" s="67"/>
      <c r="F7" s="67"/>
      <c r="G7" s="67"/>
      <c r="H7" s="67"/>
      <c r="I7" s="67"/>
      <c r="L7" s="361"/>
      <c r="R7" s="875"/>
      <c r="W7" s="869"/>
      <c r="Y7" s="874"/>
    </row>
    <row r="8" spans="1:106" s="72" customFormat="1" ht="21" thickBot="1" x14ac:dyDescent="0.35">
      <c r="A8" s="69"/>
      <c r="B8" s="153" t="s">
        <v>100</v>
      </c>
      <c r="C8" s="153"/>
      <c r="D8" s="153"/>
      <c r="E8" s="153"/>
      <c r="F8" s="153"/>
      <c r="G8" s="668">
        <v>43465</v>
      </c>
      <c r="H8" s="668">
        <v>43830</v>
      </c>
      <c r="I8" s="668">
        <v>44196</v>
      </c>
      <c r="J8" s="668">
        <v>44561</v>
      </c>
      <c r="K8" s="668">
        <v>44926</v>
      </c>
      <c r="L8" s="362"/>
      <c r="M8" s="71"/>
      <c r="N8" s="71"/>
      <c r="O8" s="71"/>
      <c r="P8" s="71"/>
      <c r="Q8" s="71"/>
      <c r="R8" s="876"/>
      <c r="S8" s="71"/>
      <c r="T8" s="71"/>
      <c r="U8" s="71"/>
      <c r="V8" s="71"/>
      <c r="W8" s="877"/>
      <c r="X8" s="71"/>
      <c r="Y8" s="878"/>
      <c r="Z8" s="71"/>
      <c r="AA8" s="71"/>
      <c r="AB8" s="71"/>
      <c r="AC8" s="71"/>
      <c r="AD8" s="71"/>
      <c r="AE8" s="71"/>
      <c r="AF8" s="71"/>
      <c r="AG8" s="71"/>
      <c r="AH8" s="71"/>
      <c r="AI8" s="71"/>
      <c r="AJ8" s="71"/>
      <c r="AK8" s="71"/>
      <c r="AL8" s="71"/>
      <c r="AM8" s="71"/>
    </row>
    <row r="9" spans="1:106" s="74" customFormat="1" ht="20.25" x14ac:dyDescent="0.2">
      <c r="A9" s="73"/>
      <c r="B9" s="73"/>
      <c r="C9" s="420" t="s">
        <v>150</v>
      </c>
      <c r="D9" s="420"/>
      <c r="E9" s="420"/>
      <c r="F9" s="73"/>
      <c r="G9" s="326">
        <f>153461+3123</f>
        <v>156584</v>
      </c>
      <c r="H9" s="326">
        <v>158721</v>
      </c>
      <c r="I9" s="326">
        <f>68070.06</f>
        <v>68070.06</v>
      </c>
      <c r="J9" s="326">
        <v>85646.89</v>
      </c>
      <c r="K9" s="326">
        <f>57601.72+8000*2+14508</f>
        <v>88109.72</v>
      </c>
      <c r="L9" s="879"/>
      <c r="M9" s="68"/>
      <c r="N9" s="68"/>
      <c r="O9" s="68"/>
      <c r="P9" s="68"/>
      <c r="Q9" s="68"/>
      <c r="R9" s="875"/>
      <c r="S9" s="68"/>
      <c r="T9" s="68"/>
      <c r="U9" s="68"/>
      <c r="V9" s="68"/>
      <c r="W9" s="869"/>
      <c r="X9" s="68"/>
      <c r="Y9" s="874"/>
      <c r="Z9" s="68"/>
      <c r="AA9" s="68"/>
      <c r="AB9" s="68"/>
      <c r="AC9" s="68"/>
      <c r="AD9" s="68"/>
      <c r="AE9" s="68"/>
      <c r="AF9" s="68"/>
      <c r="AG9" s="68"/>
      <c r="AH9" s="68"/>
      <c r="AI9" s="68"/>
      <c r="AJ9" s="68"/>
      <c r="AK9" s="68"/>
      <c r="AL9" s="68"/>
      <c r="AM9" s="68"/>
    </row>
    <row r="10" spans="1:106" s="74" customFormat="1" ht="20.25" x14ac:dyDescent="0.2">
      <c r="A10" s="73"/>
      <c r="B10" s="73"/>
      <c r="C10" s="420" t="s">
        <v>214</v>
      </c>
      <c r="D10" s="420"/>
      <c r="E10" s="420"/>
      <c r="F10" s="73"/>
      <c r="G10" s="322">
        <v>20332</v>
      </c>
      <c r="H10" s="322">
        <v>12278.42</v>
      </c>
      <c r="I10" s="322">
        <v>16169.1</v>
      </c>
      <c r="J10" s="322">
        <v>34505.879999999997</v>
      </c>
      <c r="K10" s="322">
        <v>13825</v>
      </c>
      <c r="L10" s="879"/>
      <c r="M10" s="68"/>
      <c r="N10" s="68"/>
      <c r="O10" s="68"/>
      <c r="P10" s="68"/>
      <c r="Q10" s="68"/>
      <c r="R10" s="875"/>
      <c r="S10" s="68"/>
      <c r="T10" s="68"/>
      <c r="U10" s="68"/>
      <c r="V10" s="68"/>
      <c r="W10" s="869"/>
      <c r="X10" s="68"/>
      <c r="Y10" s="874"/>
      <c r="Z10" s="68"/>
      <c r="AA10" s="68"/>
      <c r="AB10" s="68"/>
      <c r="AC10" s="68"/>
      <c r="AD10" s="68"/>
      <c r="AE10" s="68"/>
      <c r="AF10" s="68"/>
      <c r="AG10" s="68"/>
      <c r="AH10" s="68"/>
      <c r="AI10" s="68"/>
      <c r="AJ10" s="68"/>
      <c r="AK10" s="68"/>
      <c r="AL10" s="68"/>
      <c r="AM10" s="68"/>
    </row>
    <row r="11" spans="1:106" s="74" customFormat="1" ht="20.25" x14ac:dyDescent="0.2">
      <c r="A11" s="73"/>
      <c r="B11" s="73"/>
      <c r="C11" s="420" t="s">
        <v>390</v>
      </c>
      <c r="D11" s="420"/>
      <c r="E11" s="420"/>
      <c r="F11" s="73"/>
      <c r="G11" s="322"/>
      <c r="H11" s="322">
        <v>10616</v>
      </c>
      <c r="I11" s="322">
        <v>3260</v>
      </c>
      <c r="J11" s="322">
        <v>0</v>
      </c>
      <c r="K11" s="322">
        <f>29668+15301</f>
        <v>44969</v>
      </c>
      <c r="L11" s="879"/>
      <c r="M11" s="68"/>
      <c r="N11" s="68"/>
      <c r="O11" s="68"/>
      <c r="P11" s="68"/>
      <c r="Q11" s="68"/>
      <c r="R11" s="875"/>
      <c r="S11" s="68"/>
      <c r="T11" s="68"/>
      <c r="U11" s="68"/>
      <c r="V11" s="68"/>
      <c r="W11" s="869"/>
      <c r="X11" s="68"/>
      <c r="Y11" s="874"/>
      <c r="Z11" s="68"/>
      <c r="AA11" s="68"/>
      <c r="AB11" s="68"/>
      <c r="AC11" s="68"/>
      <c r="AD11" s="68"/>
      <c r="AE11" s="68"/>
      <c r="AF11" s="68"/>
      <c r="AG11" s="68"/>
      <c r="AH11" s="68"/>
      <c r="AI11" s="68"/>
      <c r="AJ11" s="68"/>
      <c r="AK11" s="68"/>
      <c r="AL11" s="68"/>
      <c r="AM11" s="68"/>
    </row>
    <row r="12" spans="1:106" s="74" customFormat="1" ht="20.25" x14ac:dyDescent="0.2">
      <c r="A12" s="73"/>
      <c r="B12" s="73"/>
      <c r="C12" s="420" t="s">
        <v>102</v>
      </c>
      <c r="D12" s="420"/>
      <c r="E12" s="420"/>
      <c r="F12" s="73"/>
      <c r="G12" s="322"/>
      <c r="H12" s="322"/>
      <c r="I12" s="322"/>
      <c r="J12" s="322"/>
      <c r="K12" s="322"/>
      <c r="L12" s="879"/>
      <c r="M12" s="68"/>
      <c r="N12" s="68"/>
      <c r="O12" s="68"/>
      <c r="P12" s="68"/>
      <c r="Q12" s="68"/>
      <c r="R12" s="875"/>
      <c r="S12" s="68"/>
      <c r="T12" s="68"/>
      <c r="U12" s="68"/>
      <c r="V12" s="68"/>
      <c r="W12" s="869"/>
      <c r="X12" s="68"/>
      <c r="Y12" s="874"/>
      <c r="Z12" s="68"/>
      <c r="AA12" s="68"/>
      <c r="AB12" s="68"/>
      <c r="AC12" s="68"/>
      <c r="AD12" s="68"/>
      <c r="AE12" s="68"/>
      <c r="AF12" s="68"/>
      <c r="AG12" s="68"/>
      <c r="AH12" s="68"/>
      <c r="AI12" s="68"/>
      <c r="AJ12" s="68"/>
      <c r="AK12" s="68"/>
      <c r="AL12" s="68"/>
      <c r="AM12" s="68"/>
    </row>
    <row r="13" spans="1:106" s="74" customFormat="1" ht="20.25" x14ac:dyDescent="0.2">
      <c r="A13" s="73"/>
      <c r="B13" s="73"/>
      <c r="C13" s="77"/>
      <c r="D13" s="420" t="s">
        <v>215</v>
      </c>
      <c r="E13" s="420"/>
      <c r="F13" s="73"/>
      <c r="G13" s="322">
        <v>42500</v>
      </c>
      <c r="H13" s="322">
        <v>44499.96</v>
      </c>
      <c r="I13" s="322">
        <f>3750*12</f>
        <v>45000</v>
      </c>
      <c r="J13" s="322">
        <v>45500</v>
      </c>
      <c r="K13" s="322">
        <v>46000</v>
      </c>
      <c r="L13" s="880"/>
      <c r="M13" s="468"/>
      <c r="N13" s="468"/>
      <c r="O13" s="468"/>
      <c r="P13" s="468"/>
      <c r="Q13" s="68"/>
      <c r="R13" s="875"/>
      <c r="S13" s="68"/>
      <c r="T13" s="68"/>
      <c r="U13" s="68"/>
      <c r="V13" s="68"/>
      <c r="W13" s="869"/>
      <c r="X13" s="68"/>
      <c r="Y13" s="874"/>
      <c r="Z13" s="68"/>
      <c r="AA13" s="68"/>
      <c r="AB13" s="68"/>
      <c r="AC13" s="68"/>
      <c r="AD13" s="68"/>
      <c r="AE13" s="68"/>
      <c r="AF13" s="68"/>
      <c r="AG13" s="68"/>
      <c r="AH13" s="68"/>
      <c r="AI13" s="68"/>
      <c r="AJ13" s="68"/>
      <c r="AK13" s="68"/>
      <c r="AL13" s="68"/>
      <c r="AM13" s="68"/>
    </row>
    <row r="14" spans="1:106" s="74" customFormat="1" ht="20.25" x14ac:dyDescent="0.2">
      <c r="A14" s="73"/>
      <c r="B14" s="73"/>
      <c r="C14" s="77"/>
      <c r="D14" s="420" t="s">
        <v>159</v>
      </c>
      <c r="E14" s="420"/>
      <c r="F14" s="73"/>
      <c r="G14" s="322">
        <v>9000</v>
      </c>
      <c r="H14" s="322">
        <v>13000</v>
      </c>
      <c r="I14" s="322">
        <v>18000</v>
      </c>
      <c r="J14" s="322">
        <v>18000</v>
      </c>
      <c r="K14" s="322">
        <v>18000</v>
      </c>
      <c r="L14" s="879"/>
      <c r="M14" s="470"/>
      <c r="N14" s="470"/>
      <c r="O14" s="470"/>
      <c r="P14" s="79"/>
      <c r="Q14" s="68"/>
      <c r="R14" s="875"/>
      <c r="S14" s="68"/>
      <c r="T14" s="68"/>
      <c r="U14" s="68"/>
      <c r="V14" s="68"/>
      <c r="W14" s="869"/>
      <c r="X14" s="68"/>
      <c r="Y14" s="874"/>
      <c r="Z14" s="68"/>
      <c r="AA14" s="68"/>
      <c r="AB14" s="68"/>
      <c r="AC14" s="68"/>
      <c r="AD14" s="68"/>
      <c r="AE14" s="68"/>
      <c r="AF14" s="68"/>
      <c r="AG14" s="68"/>
      <c r="AH14" s="68"/>
      <c r="AI14" s="68"/>
      <c r="AJ14" s="68"/>
      <c r="AK14" s="68"/>
      <c r="AL14" s="68"/>
      <c r="AM14" s="68"/>
    </row>
    <row r="15" spans="1:106" s="74" customFormat="1" ht="20.25" x14ac:dyDescent="0.2">
      <c r="A15" s="73"/>
      <c r="B15" s="73"/>
      <c r="C15" s="420" t="s">
        <v>103</v>
      </c>
      <c r="D15" s="420"/>
      <c r="E15" s="420"/>
      <c r="F15" s="73"/>
      <c r="G15" s="322">
        <v>12796</v>
      </c>
      <c r="H15" s="322">
        <v>13071.46</v>
      </c>
      <c r="I15" s="322">
        <v>12695.06</v>
      </c>
      <c r="J15" s="322">
        <v>17445.740000000002</v>
      </c>
      <c r="K15" s="322">
        <v>17500</v>
      </c>
      <c r="L15" s="879"/>
      <c r="M15" s="470"/>
      <c r="N15" s="470"/>
      <c r="O15" s="470"/>
      <c r="P15" s="361"/>
      <c r="Q15" s="68"/>
      <c r="R15" s="875"/>
      <c r="S15" s="68"/>
      <c r="T15" s="68"/>
      <c r="U15" s="68"/>
      <c r="V15" s="68"/>
      <c r="W15" s="869"/>
      <c r="X15" s="68"/>
      <c r="Y15" s="874"/>
      <c r="Z15" s="68"/>
      <c r="AA15" s="68"/>
      <c r="AB15" s="68"/>
      <c r="AC15" s="68"/>
      <c r="AD15" s="68"/>
      <c r="AE15" s="68"/>
      <c r="AF15" s="68"/>
      <c r="AG15" s="68"/>
      <c r="AH15" s="68"/>
      <c r="AI15" s="68"/>
      <c r="AJ15" s="68"/>
      <c r="AK15" s="68"/>
      <c r="AL15" s="68"/>
      <c r="AM15" s="68"/>
    </row>
    <row r="16" spans="1:106" s="74" customFormat="1" ht="20.25" x14ac:dyDescent="0.2">
      <c r="A16" s="73"/>
      <c r="B16" s="73"/>
      <c r="C16" s="420" t="s">
        <v>518</v>
      </c>
      <c r="D16" s="420"/>
      <c r="E16" s="420"/>
      <c r="F16" s="73"/>
      <c r="G16" s="322">
        <f>25000</f>
        <v>25000</v>
      </c>
      <c r="H16" s="322">
        <v>71886</v>
      </c>
      <c r="I16" s="322">
        <v>77911.459999999992</v>
      </c>
      <c r="J16" s="322">
        <v>80378.48</v>
      </c>
      <c r="K16" s="322">
        <v>34118</v>
      </c>
      <c r="L16" s="879"/>
      <c r="M16" s="470"/>
      <c r="N16" s="470"/>
      <c r="O16" s="470"/>
      <c r="P16" s="361"/>
      <c r="Q16" s="68"/>
      <c r="R16" s="875"/>
      <c r="S16" s="68"/>
      <c r="T16" s="68"/>
      <c r="U16" s="68"/>
      <c r="V16" s="68"/>
      <c r="W16" s="869"/>
      <c r="X16" s="68"/>
      <c r="Y16" s="874"/>
      <c r="Z16" s="68"/>
      <c r="AA16" s="68"/>
      <c r="AB16" s="68"/>
      <c r="AC16" s="68"/>
      <c r="AD16" s="68"/>
      <c r="AE16" s="68"/>
      <c r="AF16" s="68"/>
      <c r="AG16" s="68"/>
      <c r="AH16" s="68"/>
      <c r="AI16" s="68"/>
      <c r="AJ16" s="68"/>
      <c r="AK16" s="68"/>
      <c r="AL16" s="68"/>
      <c r="AM16" s="68"/>
    </row>
    <row r="17" spans="1:39" s="74" customFormat="1" ht="20.25" x14ac:dyDescent="0.2">
      <c r="A17" s="73"/>
      <c r="B17" s="73"/>
      <c r="C17" s="420" t="s">
        <v>350</v>
      </c>
      <c r="D17" s="420"/>
      <c r="E17" s="420"/>
      <c r="F17" s="73"/>
      <c r="G17" s="322">
        <f>659</f>
        <v>659</v>
      </c>
      <c r="H17" s="322">
        <v>7946</v>
      </c>
      <c r="I17" s="322">
        <v>255.74</v>
      </c>
      <c r="J17" s="322">
        <v>3312.47</v>
      </c>
      <c r="K17" s="322">
        <v>180</v>
      </c>
      <c r="L17" s="879"/>
      <c r="M17" s="470"/>
      <c r="N17" s="470"/>
      <c r="O17" s="470"/>
      <c r="P17" s="361"/>
      <c r="Q17" s="68"/>
      <c r="R17" s="875"/>
      <c r="S17" s="68"/>
      <c r="T17" s="68"/>
      <c r="U17" s="68"/>
      <c r="V17" s="68"/>
      <c r="W17" s="869"/>
      <c r="X17" s="68"/>
      <c r="Y17" s="874"/>
      <c r="Z17" s="68"/>
      <c r="AA17" s="68"/>
      <c r="AB17" s="68"/>
      <c r="AC17" s="68"/>
      <c r="AD17" s="68"/>
      <c r="AE17" s="68"/>
      <c r="AF17" s="68"/>
      <c r="AG17" s="68"/>
      <c r="AH17" s="68"/>
      <c r="AI17" s="68"/>
      <c r="AJ17" s="68"/>
      <c r="AK17" s="68"/>
      <c r="AL17" s="68"/>
      <c r="AM17" s="68"/>
    </row>
    <row r="18" spans="1:39" s="74" customFormat="1" ht="21" thickBot="1" x14ac:dyDescent="0.25">
      <c r="A18" s="73"/>
      <c r="B18" s="73"/>
      <c r="C18" s="420" t="s">
        <v>217</v>
      </c>
      <c r="D18" s="420"/>
      <c r="E18" s="420"/>
      <c r="F18" s="73"/>
      <c r="G18" s="265">
        <v>9315</v>
      </c>
      <c r="H18" s="265">
        <v>9315</v>
      </c>
      <c r="I18" s="265">
        <v>9315</v>
      </c>
      <c r="J18" s="265">
        <v>10548</v>
      </c>
      <c r="K18" s="265">
        <v>10548</v>
      </c>
      <c r="L18" s="879"/>
      <c r="M18" s="68"/>
      <c r="N18" s="68"/>
      <c r="O18" s="68"/>
      <c r="P18" s="68"/>
      <c r="S18" s="68"/>
      <c r="T18" s="68"/>
      <c r="U18" s="68"/>
      <c r="V18" s="68"/>
      <c r="W18" s="869"/>
      <c r="X18" s="68"/>
      <c r="Y18" s="874"/>
      <c r="Z18" s="68"/>
      <c r="AA18" s="68"/>
      <c r="AB18" s="68"/>
      <c r="AC18" s="68"/>
      <c r="AD18" s="68"/>
      <c r="AE18" s="68"/>
      <c r="AF18" s="68"/>
      <c r="AG18" s="68"/>
      <c r="AH18" s="68"/>
      <c r="AI18" s="68"/>
      <c r="AJ18" s="68"/>
      <c r="AK18" s="68"/>
      <c r="AL18" s="68"/>
      <c r="AM18" s="68"/>
    </row>
    <row r="19" spans="1:39" s="74" customFormat="1" ht="20.25" x14ac:dyDescent="0.2">
      <c r="A19" s="73"/>
      <c r="B19" s="73"/>
      <c r="C19" s="420"/>
      <c r="D19" s="73" t="s">
        <v>105</v>
      </c>
      <c r="E19" s="420"/>
      <c r="F19" s="73"/>
      <c r="G19" s="264">
        <f>SUM(G9:G18)</f>
        <v>276186</v>
      </c>
      <c r="H19" s="264">
        <f>SUM(H9:H18)</f>
        <v>341333.83999999997</v>
      </c>
      <c r="I19" s="264">
        <f>SUM(I9:I18)</f>
        <v>250676.41999999998</v>
      </c>
      <c r="J19" s="264">
        <f>SUM(J9:J18)</f>
        <v>295337.45999999996</v>
      </c>
      <c r="K19" s="264">
        <f>SUM(K9:K18)</f>
        <v>273249.71999999997</v>
      </c>
      <c r="L19" s="879"/>
      <c r="M19" s="68"/>
      <c r="N19" s="68"/>
      <c r="O19" s="68"/>
      <c r="P19" s="68"/>
      <c r="S19" s="68"/>
      <c r="T19" s="68"/>
      <c r="U19" s="68"/>
      <c r="V19" s="68"/>
      <c r="W19" s="869"/>
      <c r="X19" s="68"/>
      <c r="Y19" s="874"/>
      <c r="Z19" s="68"/>
      <c r="AA19" s="68"/>
      <c r="AB19" s="68"/>
      <c r="AC19" s="68"/>
      <c r="AD19" s="68"/>
      <c r="AE19" s="68"/>
      <c r="AF19" s="68"/>
      <c r="AG19" s="68"/>
      <c r="AH19" s="68"/>
      <c r="AI19" s="68"/>
      <c r="AJ19" s="68"/>
      <c r="AK19" s="68"/>
      <c r="AL19" s="68"/>
      <c r="AM19" s="68"/>
    </row>
    <row r="20" spans="1:39" s="74" customFormat="1" ht="20.25" x14ac:dyDescent="0.2">
      <c r="A20" s="73"/>
      <c r="B20" s="73"/>
      <c r="C20" s="73" t="s">
        <v>218</v>
      </c>
      <c r="D20" s="420"/>
      <c r="E20" s="420"/>
      <c r="F20" s="73"/>
      <c r="G20" s="322">
        <v>19000</v>
      </c>
      <c r="H20" s="322">
        <v>19000</v>
      </c>
      <c r="I20" s="322">
        <v>19000</v>
      </c>
      <c r="J20" s="322">
        <v>18500</v>
      </c>
      <c r="K20" s="322">
        <f>13333/8*12</f>
        <v>19999.5</v>
      </c>
      <c r="L20" s="879"/>
      <c r="M20" s="68"/>
      <c r="N20" s="68"/>
      <c r="O20" s="68"/>
      <c r="P20" s="68"/>
      <c r="Q20" s="68"/>
      <c r="R20" s="875"/>
      <c r="S20" s="68"/>
      <c r="T20" s="68"/>
      <c r="U20" s="68"/>
      <c r="V20" s="68"/>
      <c r="W20" s="869"/>
      <c r="X20" s="68"/>
      <c r="Y20" s="874"/>
      <c r="Z20" s="68"/>
      <c r="AA20" s="68"/>
      <c r="AB20" s="68"/>
      <c r="AC20" s="68"/>
      <c r="AD20" s="68"/>
      <c r="AE20" s="68"/>
      <c r="AF20" s="68"/>
      <c r="AG20" s="68"/>
      <c r="AH20" s="68"/>
      <c r="AI20" s="68"/>
      <c r="AJ20" s="68"/>
      <c r="AK20" s="68"/>
      <c r="AL20" s="68"/>
      <c r="AM20" s="68"/>
    </row>
    <row r="21" spans="1:39" s="74" customFormat="1" ht="21" thickBot="1" x14ac:dyDescent="0.25">
      <c r="A21" s="73"/>
      <c r="B21" s="73"/>
      <c r="C21" s="73" t="s">
        <v>219</v>
      </c>
      <c r="D21" s="420"/>
      <c r="E21" s="420"/>
      <c r="F21" s="73"/>
      <c r="G21" s="265">
        <v>37641</v>
      </c>
      <c r="H21" s="265">
        <v>37834</v>
      </c>
      <c r="I21" s="265">
        <v>34669.31</v>
      </c>
      <c r="J21" s="265">
        <v>26400.720000000001</v>
      </c>
      <c r="K21" s="265">
        <v>43300</v>
      </c>
      <c r="L21" s="879"/>
      <c r="M21" s="68"/>
      <c r="N21" s="68"/>
      <c r="O21" s="68"/>
      <c r="P21" s="68"/>
      <c r="Q21" s="68"/>
      <c r="R21" s="875"/>
      <c r="S21" s="68"/>
      <c r="T21" s="68"/>
      <c r="U21" s="68"/>
      <c r="V21" s="68"/>
      <c r="W21" s="869"/>
      <c r="X21" s="68"/>
      <c r="Y21" s="874"/>
      <c r="Z21" s="68"/>
      <c r="AA21" s="68"/>
      <c r="AB21" s="68"/>
      <c r="AC21" s="68"/>
      <c r="AD21" s="68"/>
      <c r="AE21" s="68"/>
      <c r="AF21" s="68"/>
      <c r="AG21" s="68"/>
      <c r="AH21" s="68"/>
      <c r="AI21" s="68"/>
      <c r="AJ21" s="68"/>
      <c r="AK21" s="68"/>
      <c r="AL21" s="68"/>
      <c r="AM21" s="68"/>
    </row>
    <row r="22" spans="1:39" s="74" customFormat="1" ht="20.25" x14ac:dyDescent="0.2">
      <c r="A22" s="73"/>
      <c r="B22" s="73"/>
      <c r="C22" s="420"/>
      <c r="D22" s="73" t="s">
        <v>107</v>
      </c>
      <c r="E22" s="420"/>
      <c r="F22" s="73"/>
      <c r="G22" s="264">
        <f>SUM(G19:G21)</f>
        <v>332827</v>
      </c>
      <c r="H22" s="264">
        <f>SUM(H19:H21)</f>
        <v>398167.83999999997</v>
      </c>
      <c r="I22" s="264">
        <f>SUM(I19:I21)</f>
        <v>304345.73</v>
      </c>
      <c r="J22" s="264">
        <f>SUM(J19:J21)</f>
        <v>340238.17999999993</v>
      </c>
      <c r="K22" s="264">
        <f>SUM(K19:K21)</f>
        <v>336549.22</v>
      </c>
      <c r="L22" s="879"/>
      <c r="M22" s="68"/>
      <c r="N22" s="68"/>
      <c r="O22" s="68"/>
      <c r="P22" s="68"/>
      <c r="Q22" s="68"/>
      <c r="R22" s="875"/>
      <c r="S22" s="68"/>
      <c r="T22" s="68"/>
      <c r="U22" s="68"/>
      <c r="V22" s="68"/>
      <c r="W22" s="869"/>
      <c r="X22" s="68"/>
      <c r="Y22" s="874"/>
      <c r="Z22" s="68"/>
      <c r="AA22" s="68"/>
      <c r="AB22" s="68"/>
      <c r="AC22" s="68"/>
      <c r="AD22" s="68"/>
      <c r="AE22" s="68"/>
      <c r="AF22" s="68"/>
      <c r="AG22" s="68"/>
      <c r="AH22" s="68"/>
      <c r="AI22" s="68"/>
      <c r="AJ22" s="68"/>
      <c r="AK22" s="68"/>
      <c r="AL22" s="68"/>
      <c r="AM22" s="68"/>
    </row>
    <row r="23" spans="1:39" s="74" customFormat="1" ht="20.25" x14ac:dyDescent="0.2">
      <c r="A23" s="73"/>
      <c r="B23" s="73"/>
      <c r="C23" s="420"/>
      <c r="D23" s="73"/>
      <c r="E23" s="420"/>
      <c r="F23" s="73" t="s">
        <v>519</v>
      </c>
      <c r="G23" s="264"/>
      <c r="H23" s="264">
        <v>-46886</v>
      </c>
      <c r="I23" s="264"/>
      <c r="J23" s="264"/>
      <c r="K23" s="264"/>
      <c r="L23" s="361"/>
      <c r="M23" s="68"/>
      <c r="N23" s="68"/>
      <c r="O23" s="68"/>
      <c r="P23" s="68"/>
      <c r="Q23" s="68"/>
      <c r="R23" s="875"/>
      <c r="S23" s="68"/>
      <c r="T23" s="68"/>
      <c r="U23" s="68"/>
      <c r="V23" s="68"/>
      <c r="W23" s="869"/>
      <c r="X23" s="68"/>
      <c r="Y23" s="874"/>
      <c r="Z23" s="68"/>
      <c r="AA23" s="68"/>
      <c r="AB23" s="68"/>
      <c r="AC23" s="68"/>
      <c r="AD23" s="68"/>
      <c r="AE23" s="68"/>
      <c r="AF23" s="68"/>
      <c r="AG23" s="68"/>
      <c r="AH23" s="68"/>
      <c r="AI23" s="68"/>
      <c r="AJ23" s="68"/>
      <c r="AK23" s="68"/>
      <c r="AL23" s="68"/>
      <c r="AM23" s="68"/>
    </row>
    <row r="24" spans="1:39" s="74" customFormat="1" ht="20.25" x14ac:dyDescent="0.2">
      <c r="A24" s="73"/>
      <c r="B24" s="73"/>
      <c r="C24" s="420"/>
      <c r="D24" s="73" t="s">
        <v>520</v>
      </c>
      <c r="E24" s="420"/>
      <c r="F24" s="73"/>
      <c r="G24" s="264"/>
      <c r="H24" s="264">
        <f>SUM(H22:H23)</f>
        <v>351281.83999999997</v>
      </c>
      <c r="I24" s="264"/>
      <c r="J24" s="264"/>
      <c r="K24" s="264"/>
      <c r="L24" s="361"/>
      <c r="M24" s="68"/>
      <c r="N24" s="68"/>
      <c r="O24" s="68"/>
      <c r="P24" s="68"/>
      <c r="Q24" s="68"/>
      <c r="R24" s="875"/>
      <c r="S24" s="68"/>
      <c r="T24" s="68"/>
      <c r="U24" s="68"/>
      <c r="V24" s="68"/>
      <c r="W24" s="869"/>
      <c r="X24" s="68"/>
      <c r="Y24" s="874"/>
      <c r="Z24" s="68"/>
      <c r="AA24" s="68"/>
      <c r="AB24" s="68"/>
      <c r="AC24" s="68"/>
      <c r="AD24" s="68"/>
      <c r="AE24" s="68"/>
      <c r="AF24" s="68"/>
      <c r="AG24" s="68"/>
      <c r="AH24" s="68"/>
      <c r="AI24" s="68"/>
      <c r="AJ24" s="68"/>
      <c r="AK24" s="68"/>
      <c r="AL24" s="68"/>
      <c r="AM24" s="68"/>
    </row>
    <row r="25" spans="1:39" s="74" customFormat="1" ht="20.25" x14ac:dyDescent="0.2">
      <c r="A25" s="73"/>
      <c r="B25" s="73"/>
      <c r="C25" s="420"/>
      <c r="D25" s="73"/>
      <c r="E25" s="420"/>
      <c r="F25" s="73"/>
      <c r="G25" s="73"/>
      <c r="H25" s="73"/>
      <c r="I25" s="73"/>
      <c r="J25" s="591"/>
      <c r="K25" s="591"/>
      <c r="L25" s="361"/>
      <c r="M25" s="68"/>
      <c r="N25" s="68"/>
      <c r="O25" s="68"/>
      <c r="P25" s="68"/>
      <c r="Q25" s="68"/>
      <c r="R25" s="875"/>
      <c r="S25" s="68"/>
      <c r="T25" s="68"/>
      <c r="U25" s="68"/>
      <c r="V25" s="68"/>
      <c r="W25" s="869"/>
      <c r="X25" s="68"/>
      <c r="Y25" s="874"/>
      <c r="Z25" s="68"/>
      <c r="AA25" s="68"/>
      <c r="AB25" s="68"/>
      <c r="AC25" s="68"/>
      <c r="AD25" s="68"/>
      <c r="AE25" s="68"/>
      <c r="AF25" s="68"/>
      <c r="AG25" s="68"/>
      <c r="AH25" s="68"/>
      <c r="AI25" s="68"/>
      <c r="AJ25" s="68"/>
      <c r="AK25" s="68"/>
      <c r="AL25" s="68"/>
      <c r="AM25" s="68"/>
    </row>
    <row r="26" spans="1:39" s="74" customFormat="1" ht="21" thickBot="1" x14ac:dyDescent="0.25">
      <c r="A26" s="73"/>
      <c r="B26" s="87" t="s">
        <v>111</v>
      </c>
      <c r="C26" s="87"/>
      <c r="D26" s="87"/>
      <c r="E26" s="87"/>
      <c r="F26" s="87"/>
      <c r="G26" s="67"/>
      <c r="H26" s="67"/>
      <c r="I26" s="67"/>
      <c r="J26" s="368"/>
      <c r="K26" s="368"/>
      <c r="L26" s="361"/>
      <c r="M26" s="68"/>
      <c r="N26" s="68"/>
      <c r="O26" s="68"/>
      <c r="P26" s="68"/>
      <c r="Q26" s="68"/>
      <c r="R26" s="875"/>
      <c r="S26" s="68"/>
      <c r="T26" s="68"/>
      <c r="U26" s="68"/>
      <c r="V26" s="68"/>
      <c r="W26" s="869"/>
      <c r="X26" s="68"/>
      <c r="Y26" s="874"/>
      <c r="Z26" s="68"/>
      <c r="AA26" s="68"/>
      <c r="AB26" s="68"/>
      <c r="AC26" s="68"/>
      <c r="AD26" s="68"/>
      <c r="AE26" s="68"/>
      <c r="AF26" s="68"/>
      <c r="AG26" s="68"/>
      <c r="AH26" s="68"/>
      <c r="AI26" s="68"/>
      <c r="AJ26" s="68"/>
      <c r="AK26" s="68"/>
      <c r="AL26" s="68"/>
      <c r="AM26" s="68"/>
    </row>
    <row r="27" spans="1:39" s="68" customFormat="1" ht="20.25" x14ac:dyDescent="0.2">
      <c r="A27" s="67"/>
      <c r="B27" s="67"/>
      <c r="C27" s="79" t="s">
        <v>220</v>
      </c>
      <c r="D27" s="79"/>
      <c r="E27" s="79"/>
      <c r="F27" s="79"/>
      <c r="G27" s="79"/>
      <c r="H27" s="79"/>
      <c r="I27" s="79"/>
      <c r="J27" s="399"/>
      <c r="K27" s="399"/>
      <c r="L27" s="361"/>
      <c r="R27" s="875"/>
      <c r="W27" s="869"/>
      <c r="Y27" s="874"/>
    </row>
    <row r="28" spans="1:39" s="68" customFormat="1" ht="20.25" x14ac:dyDescent="0.2">
      <c r="A28" s="67"/>
      <c r="B28" s="67"/>
      <c r="C28" s="79"/>
      <c r="D28" s="976" t="s">
        <v>221</v>
      </c>
      <c r="E28" s="976"/>
      <c r="F28" s="976"/>
      <c r="G28" s="844">
        <v>146508</v>
      </c>
      <c r="H28" s="844">
        <v>162253.75</v>
      </c>
      <c r="I28" s="844">
        <v>133830.65</v>
      </c>
      <c r="J28" s="844">
        <v>155035.70000000001</v>
      </c>
      <c r="K28" s="844">
        <v>203000</v>
      </c>
      <c r="L28" s="879" t="s">
        <v>521</v>
      </c>
      <c r="R28" s="875"/>
      <c r="W28" s="869"/>
      <c r="Y28" s="874"/>
    </row>
    <row r="29" spans="1:39" s="68" customFormat="1" ht="20.25" x14ac:dyDescent="0.2">
      <c r="A29" s="67"/>
      <c r="B29" s="67"/>
      <c r="C29" s="79"/>
      <c r="D29" s="976" t="s">
        <v>222</v>
      </c>
      <c r="E29" s="976"/>
      <c r="F29" s="976"/>
      <c r="G29" s="322">
        <v>59928</v>
      </c>
      <c r="H29" s="322">
        <f>37966.12+23862.63+605.03+106.59</f>
        <v>62540.369999999995</v>
      </c>
      <c r="I29" s="322">
        <f>44061.17+21220.39</f>
        <v>65281.56</v>
      </c>
      <c r="J29" s="322">
        <f>43631.85+27917.65</f>
        <v>71549.5</v>
      </c>
      <c r="K29" s="322">
        <f>49205+29027</f>
        <v>78232</v>
      </c>
      <c r="L29" s="879"/>
      <c r="M29" s="341"/>
      <c r="R29" s="875"/>
      <c r="W29" s="869"/>
      <c r="Y29" s="874"/>
    </row>
    <row r="30" spans="1:39" s="68" customFormat="1" ht="20.25" x14ac:dyDescent="0.2">
      <c r="A30" s="67"/>
      <c r="B30" s="67"/>
      <c r="C30" s="79"/>
      <c r="D30" s="976" t="s">
        <v>113</v>
      </c>
      <c r="E30" s="976"/>
      <c r="F30" s="976"/>
      <c r="G30" s="322">
        <v>39636</v>
      </c>
      <c r="H30" s="322">
        <v>42279.58</v>
      </c>
      <c r="I30" s="322">
        <v>36601</v>
      </c>
      <c r="J30" s="322">
        <f>J28*0.213+J29*0.14</f>
        <v>43039.534100000004</v>
      </c>
      <c r="K30" s="322">
        <f>K28*0.213+K29*0.14</f>
        <v>54191.48</v>
      </c>
      <c r="L30" s="879"/>
      <c r="M30" s="341"/>
      <c r="N30" s="341"/>
      <c r="P30" s="341"/>
      <c r="R30" s="875"/>
      <c r="W30" s="869"/>
      <c r="Y30" s="874"/>
    </row>
    <row r="31" spans="1:39" s="68" customFormat="1" ht="20.25" x14ac:dyDescent="0.2">
      <c r="A31" s="67"/>
      <c r="B31" s="67"/>
      <c r="C31" s="79" t="s">
        <v>278</v>
      </c>
      <c r="D31" s="79"/>
      <c r="E31" s="79"/>
      <c r="F31" s="79"/>
      <c r="G31" s="767"/>
      <c r="H31" s="767"/>
      <c r="I31" s="767"/>
      <c r="J31" s="767"/>
      <c r="K31" s="767"/>
      <c r="L31" s="879"/>
      <c r="R31" s="875"/>
      <c r="W31" s="869"/>
      <c r="Y31" s="874"/>
    </row>
    <row r="32" spans="1:39" s="68" customFormat="1" ht="20.25" x14ac:dyDescent="0.2">
      <c r="A32" s="67"/>
      <c r="B32" s="67"/>
      <c r="C32" s="79"/>
      <c r="D32" s="976" t="s">
        <v>223</v>
      </c>
      <c r="E32" s="976"/>
      <c r="F32" s="976"/>
      <c r="G32" s="844">
        <v>27184</v>
      </c>
      <c r="H32" s="844">
        <v>25472.83</v>
      </c>
      <c r="I32" s="844">
        <v>15135.29</v>
      </c>
      <c r="J32" s="844">
        <v>25112.19</v>
      </c>
      <c r="K32" s="844">
        <v>38000</v>
      </c>
      <c r="L32" s="879" t="s">
        <v>521</v>
      </c>
      <c r="R32" s="875"/>
      <c r="W32" s="869"/>
      <c r="Y32" s="874"/>
    </row>
    <row r="33" spans="1:25" s="68" customFormat="1" ht="20.25" x14ac:dyDescent="0.2">
      <c r="A33" s="67"/>
      <c r="B33" s="67"/>
      <c r="C33" s="79"/>
      <c r="D33" s="976" t="s">
        <v>224</v>
      </c>
      <c r="E33" s="976"/>
      <c r="F33" s="976"/>
      <c r="G33" s="322">
        <v>15511</v>
      </c>
      <c r="H33" s="322">
        <v>17989.87</v>
      </c>
      <c r="I33" s="322">
        <v>22636.98</v>
      </c>
      <c r="J33" s="322">
        <v>23957.25</v>
      </c>
      <c r="K33" s="322">
        <f>24654.76+600</f>
        <v>25254.76</v>
      </c>
      <c r="L33" s="879"/>
      <c r="R33" s="875"/>
      <c r="W33" s="869"/>
      <c r="Y33" s="874"/>
    </row>
    <row r="34" spans="1:25" s="68" customFormat="1" ht="20.25" x14ac:dyDescent="0.2">
      <c r="A34" s="67"/>
      <c r="B34" s="67"/>
      <c r="C34" s="79"/>
      <c r="D34" s="976" t="s">
        <v>304</v>
      </c>
      <c r="E34" s="976"/>
      <c r="F34" s="976"/>
      <c r="G34" s="844">
        <v>12450</v>
      </c>
      <c r="H34" s="844">
        <v>16090.9</v>
      </c>
      <c r="I34" s="844">
        <v>11030.88</v>
      </c>
      <c r="J34" s="844">
        <v>19504.66</v>
      </c>
      <c r="K34" s="844">
        <v>8800</v>
      </c>
      <c r="L34" s="879" t="s">
        <v>521</v>
      </c>
      <c r="R34" s="875"/>
      <c r="W34" s="869"/>
      <c r="Y34" s="874"/>
    </row>
    <row r="35" spans="1:25" s="68" customFormat="1" ht="20.25" x14ac:dyDescent="0.2">
      <c r="A35" s="67"/>
      <c r="B35" s="67"/>
      <c r="C35" s="79"/>
      <c r="D35" s="976" t="s">
        <v>225</v>
      </c>
      <c r="E35" s="976"/>
      <c r="F35" s="976"/>
      <c r="G35" s="322">
        <v>377</v>
      </c>
      <c r="H35" s="322">
        <v>1427.75</v>
      </c>
      <c r="I35" s="322">
        <v>397</v>
      </c>
      <c r="J35" s="322">
        <v>663</v>
      </c>
      <c r="K35" s="322">
        <v>750</v>
      </c>
      <c r="L35" s="879"/>
      <c r="R35" s="875"/>
      <c r="W35" s="869"/>
      <c r="Y35" s="874"/>
    </row>
    <row r="36" spans="1:25" s="68" customFormat="1" ht="20.25" x14ac:dyDescent="0.2">
      <c r="A36" s="67"/>
      <c r="B36" s="67"/>
      <c r="C36" s="79" t="s">
        <v>497</v>
      </c>
      <c r="D36" s="79"/>
      <c r="E36" s="79"/>
      <c r="F36" s="79"/>
      <c r="G36" s="322">
        <v>25080</v>
      </c>
      <c r="H36" s="322">
        <f>22438.68+1591</f>
        <v>24029.68</v>
      </c>
      <c r="I36" s="322">
        <f>29909+1860</f>
        <v>31769</v>
      </c>
      <c r="J36" s="322">
        <f>1903+28481</f>
        <v>30384</v>
      </c>
      <c r="K36" s="322">
        <f>20556/8*12</f>
        <v>30834</v>
      </c>
      <c r="L36" s="879"/>
      <c r="R36" s="875"/>
      <c r="W36" s="869"/>
      <c r="Y36" s="874"/>
    </row>
    <row r="37" spans="1:25" s="68" customFormat="1" ht="20.25" x14ac:dyDescent="0.2">
      <c r="A37" s="67"/>
      <c r="B37" s="67"/>
      <c r="C37" s="79" t="s">
        <v>104</v>
      </c>
      <c r="D37" s="79"/>
      <c r="E37" s="79"/>
      <c r="F37" s="79"/>
      <c r="G37" s="322">
        <f>G18</f>
        <v>9315</v>
      </c>
      <c r="H37" s="322">
        <f>H18</f>
        <v>9315</v>
      </c>
      <c r="I37" s="322">
        <f>I18</f>
        <v>9315</v>
      </c>
      <c r="J37" s="322">
        <f>J18</f>
        <v>10548</v>
      </c>
      <c r="K37" s="322">
        <f>K18</f>
        <v>10548</v>
      </c>
      <c r="L37" s="879"/>
      <c r="R37" s="875"/>
      <c r="W37" s="869"/>
      <c r="Y37" s="874"/>
    </row>
    <row r="38" spans="1:25" s="68" customFormat="1" ht="20.25" x14ac:dyDescent="0.2">
      <c r="A38" s="67"/>
      <c r="B38" s="67"/>
      <c r="C38" s="79" t="s">
        <v>313</v>
      </c>
      <c r="D38" s="79"/>
      <c r="E38" s="79"/>
      <c r="F38" s="79"/>
      <c r="G38" s="322">
        <v>4075</v>
      </c>
      <c r="H38" s="322">
        <v>4497</v>
      </c>
      <c r="I38" s="322">
        <v>4682.25</v>
      </c>
      <c r="J38" s="322">
        <v>4231.88</v>
      </c>
      <c r="K38" s="322">
        <f>3948.9+400+400</f>
        <v>4748.8999999999996</v>
      </c>
      <c r="L38" s="879"/>
      <c r="R38" s="875"/>
      <c r="W38" s="869"/>
      <c r="Y38" s="874"/>
    </row>
    <row r="39" spans="1:25" s="68" customFormat="1" ht="20.25" x14ac:dyDescent="0.2">
      <c r="A39" s="67"/>
      <c r="B39" s="67"/>
      <c r="C39" s="79" t="s">
        <v>227</v>
      </c>
      <c r="D39" s="79"/>
      <c r="E39" s="79"/>
      <c r="F39" s="79"/>
      <c r="G39" s="322">
        <v>1496</v>
      </c>
      <c r="H39" s="322">
        <f>75+874</f>
        <v>949</v>
      </c>
      <c r="I39" s="322">
        <v>982</v>
      </c>
      <c r="J39" s="322">
        <f>99+937</f>
        <v>1036</v>
      </c>
      <c r="K39" s="322">
        <v>1314</v>
      </c>
      <c r="L39" s="879"/>
      <c r="R39" s="875"/>
      <c r="W39" s="869"/>
      <c r="Y39" s="874"/>
    </row>
    <row r="40" spans="1:25" s="68" customFormat="1" ht="20.25" x14ac:dyDescent="0.2">
      <c r="A40" s="67"/>
      <c r="B40" s="67"/>
      <c r="C40" s="79" t="s">
        <v>383</v>
      </c>
      <c r="D40" s="79"/>
      <c r="E40" s="79"/>
      <c r="F40" s="79"/>
      <c r="G40" s="322">
        <v>3430</v>
      </c>
      <c r="H40" s="322">
        <v>4436.1400000000003</v>
      </c>
      <c r="I40" s="322">
        <v>7774.44</v>
      </c>
      <c r="J40" s="322">
        <f>7884.62+184.74</f>
        <v>8069.36</v>
      </c>
      <c r="K40" s="322">
        <v>8600</v>
      </c>
      <c r="L40" s="879"/>
      <c r="R40" s="875"/>
      <c r="W40" s="869"/>
      <c r="Y40" s="874"/>
    </row>
    <row r="41" spans="1:25" s="68" customFormat="1" ht="20.25" x14ac:dyDescent="0.2">
      <c r="A41" s="67"/>
      <c r="B41" s="67"/>
      <c r="C41" s="79" t="s">
        <v>228</v>
      </c>
      <c r="D41" s="79"/>
      <c r="E41" s="79"/>
      <c r="F41" s="79"/>
      <c r="G41" s="322">
        <v>459</v>
      </c>
      <c r="H41" s="322">
        <f>223.01+568.51</f>
        <v>791.52</v>
      </c>
      <c r="I41" s="322">
        <v>636.94000000000005</v>
      </c>
      <c r="J41" s="322">
        <f>958.23+28.31+10.3+36.4+4907.37</f>
        <v>5940.61</v>
      </c>
      <c r="K41" s="322">
        <v>1811</v>
      </c>
      <c r="L41" s="879"/>
      <c r="R41" s="875"/>
      <c r="W41" s="869"/>
      <c r="Y41" s="874"/>
    </row>
    <row r="42" spans="1:25" s="68" customFormat="1" ht="20.25" x14ac:dyDescent="0.2">
      <c r="A42" s="67"/>
      <c r="B42" s="67"/>
      <c r="C42" s="79" t="s">
        <v>122</v>
      </c>
      <c r="D42" s="79"/>
      <c r="E42" s="79"/>
      <c r="F42" s="79"/>
      <c r="G42" s="322">
        <v>1041</v>
      </c>
      <c r="H42" s="322">
        <v>1826.56</v>
      </c>
      <c r="I42" s="322">
        <v>2528.2399999999998</v>
      </c>
      <c r="J42" s="322">
        <v>3426.72</v>
      </c>
      <c r="K42" s="322">
        <f>235.23+4801.81</f>
        <v>5037.04</v>
      </c>
      <c r="L42" s="879"/>
      <c r="R42" s="875"/>
      <c r="W42" s="869"/>
      <c r="Y42" s="874"/>
    </row>
    <row r="43" spans="1:25" s="68" customFormat="1" ht="20.25" x14ac:dyDescent="0.2">
      <c r="A43" s="67"/>
      <c r="B43" s="67"/>
      <c r="C43" s="79" t="s">
        <v>120</v>
      </c>
      <c r="D43" s="79"/>
      <c r="E43" s="79"/>
      <c r="F43" s="79"/>
      <c r="G43" s="322">
        <v>436</v>
      </c>
      <c r="H43" s="322">
        <v>396.82</v>
      </c>
      <c r="I43" s="322">
        <v>385.18</v>
      </c>
      <c r="J43" s="322">
        <v>420.52</v>
      </c>
      <c r="K43" s="322">
        <f>421/10*12+125</f>
        <v>630.20000000000005</v>
      </c>
      <c r="L43" s="879"/>
      <c r="R43" s="875"/>
      <c r="W43" s="869"/>
      <c r="Y43" s="874"/>
    </row>
    <row r="44" spans="1:25" s="68" customFormat="1" ht="20.25" hidden="1" x14ac:dyDescent="0.2">
      <c r="A44" s="67"/>
      <c r="B44" s="67"/>
      <c r="C44" s="79" t="s">
        <v>229</v>
      </c>
      <c r="D44" s="79"/>
      <c r="E44" s="79"/>
      <c r="F44" s="79"/>
      <c r="G44" s="322"/>
      <c r="H44" s="322"/>
      <c r="I44" s="322"/>
      <c r="J44" s="322"/>
      <c r="K44" s="322"/>
      <c r="L44" s="879"/>
      <c r="R44" s="875"/>
      <c r="W44" s="869"/>
      <c r="Y44" s="874"/>
    </row>
    <row r="45" spans="1:25" s="76" customFormat="1" ht="20.25" x14ac:dyDescent="0.2">
      <c r="A45" s="79"/>
      <c r="B45" s="79"/>
      <c r="C45" s="79" t="s">
        <v>116</v>
      </c>
      <c r="D45" s="79"/>
      <c r="E45" s="79"/>
      <c r="F45" s="79"/>
      <c r="G45" s="322">
        <v>205</v>
      </c>
      <c r="H45" s="322">
        <v>422.62</v>
      </c>
      <c r="I45" s="322">
        <v>265.58</v>
      </c>
      <c r="J45" s="322">
        <v>225.92</v>
      </c>
      <c r="K45" s="322">
        <f>226/8*12</f>
        <v>339</v>
      </c>
      <c r="L45" s="662"/>
      <c r="R45" s="881"/>
      <c r="W45" s="882"/>
      <c r="Y45" s="874"/>
    </row>
    <row r="46" spans="1:25" s="76" customFormat="1" ht="20.25" x14ac:dyDescent="0.2">
      <c r="A46" s="79"/>
      <c r="B46" s="79"/>
      <c r="C46" s="79" t="s">
        <v>230</v>
      </c>
      <c r="D46" s="79"/>
      <c r="E46" s="79"/>
      <c r="F46" s="79"/>
      <c r="G46" s="398">
        <v>542</v>
      </c>
      <c r="H46" s="398">
        <f>248.22+18.56+28.25+5</f>
        <v>300.02999999999997</v>
      </c>
      <c r="I46" s="398">
        <v>938.98</v>
      </c>
      <c r="J46" s="398">
        <f>292.24+4514.12-J38+84.23</f>
        <v>658.70999999999958</v>
      </c>
      <c r="K46" s="398">
        <v>225</v>
      </c>
      <c r="L46" s="662"/>
      <c r="R46" s="881"/>
      <c r="W46" s="882"/>
      <c r="Y46" s="874"/>
    </row>
    <row r="47" spans="1:25" s="68" customFormat="1" ht="21" thickBot="1" x14ac:dyDescent="0.25">
      <c r="A47" s="67"/>
      <c r="B47" s="67"/>
      <c r="C47" s="67"/>
      <c r="D47" s="73" t="s">
        <v>128</v>
      </c>
      <c r="E47" s="67"/>
      <c r="F47" s="67"/>
      <c r="G47" s="465">
        <f>SUM(G28:G46)</f>
        <v>347673</v>
      </c>
      <c r="H47" s="465">
        <f>SUM(H28:H46)</f>
        <v>375019.4200000001</v>
      </c>
      <c r="I47" s="465">
        <f>SUM(I28:I46)</f>
        <v>344190.97</v>
      </c>
      <c r="J47" s="465">
        <f>SUM(J28:J46)</f>
        <v>403803.55409999995</v>
      </c>
      <c r="K47" s="465">
        <f>SUM(K28:K46)</f>
        <v>472315.38</v>
      </c>
      <c r="L47" s="879"/>
      <c r="R47" s="875"/>
      <c r="W47" s="869"/>
      <c r="Y47" s="874"/>
    </row>
    <row r="48" spans="1:25" s="68" customFormat="1" ht="21" thickBot="1" x14ac:dyDescent="0.25">
      <c r="A48" s="67"/>
      <c r="B48" s="67"/>
      <c r="C48" s="67"/>
      <c r="D48" s="67" t="s">
        <v>129</v>
      </c>
      <c r="E48" s="67"/>
      <c r="F48" s="67"/>
      <c r="G48" s="466">
        <f>G22-G47</f>
        <v>-14846</v>
      </c>
      <c r="H48" s="466">
        <f>H22-H47</f>
        <v>23148.419999999867</v>
      </c>
      <c r="I48" s="466">
        <f>I22-I47</f>
        <v>-39845.239999999991</v>
      </c>
      <c r="J48" s="466">
        <f>J22-J47</f>
        <v>-63565.374100000015</v>
      </c>
      <c r="K48" s="466">
        <f>K22-K47</f>
        <v>-135766.16000000003</v>
      </c>
      <c r="L48" s="361"/>
      <c r="R48" s="875"/>
      <c r="W48" s="869"/>
      <c r="Y48" s="874"/>
    </row>
    <row r="49" spans="1:25" s="68" customFormat="1" ht="20.25" x14ac:dyDescent="0.2">
      <c r="A49" s="67"/>
      <c r="B49" s="67"/>
      <c r="C49" s="67"/>
      <c r="D49" s="67"/>
      <c r="E49" s="67"/>
      <c r="F49" s="67"/>
      <c r="G49" s="67"/>
      <c r="H49" s="67"/>
      <c r="I49" s="322"/>
      <c r="J49" s="322"/>
      <c r="K49" s="322"/>
      <c r="L49" s="361"/>
      <c r="R49" s="875"/>
      <c r="W49" s="869"/>
      <c r="Y49" s="874"/>
    </row>
    <row r="50" spans="1:25" s="65" customFormat="1" ht="26.25" x14ac:dyDescent="0.2">
      <c r="A50" s="268"/>
      <c r="B50" s="268"/>
      <c r="C50" s="79" t="s">
        <v>265</v>
      </c>
      <c r="E50" s="79"/>
      <c r="F50" s="79"/>
      <c r="G50" s="883"/>
      <c r="H50" s="883">
        <f>-69500</f>
        <v>-69500</v>
      </c>
      <c r="I50" s="79"/>
      <c r="J50" s="322"/>
      <c r="K50" s="322"/>
      <c r="L50" s="360"/>
      <c r="R50" s="872"/>
      <c r="W50" s="873"/>
      <c r="Y50" s="874"/>
    </row>
    <row r="51" spans="1:25" s="68" customFormat="1" ht="20.25" x14ac:dyDescent="0.2">
      <c r="A51" s="67"/>
      <c r="B51" s="67"/>
      <c r="C51" s="79" t="s">
        <v>469</v>
      </c>
      <c r="E51" s="67"/>
      <c r="G51" s="322">
        <f>G36</f>
        <v>25080</v>
      </c>
      <c r="H51" s="322">
        <f>H36</f>
        <v>24029.68</v>
      </c>
      <c r="I51" s="322">
        <f>I36</f>
        <v>31769</v>
      </c>
      <c r="J51" s="322">
        <f>J36</f>
        <v>30384</v>
      </c>
      <c r="K51" s="322">
        <f>K36</f>
        <v>30834</v>
      </c>
      <c r="L51" s="361"/>
      <c r="R51" s="875"/>
      <c r="W51" s="869"/>
      <c r="Y51" s="874"/>
    </row>
    <row r="52" spans="1:25" s="68" customFormat="1" ht="24" thickBot="1" x14ac:dyDescent="0.25">
      <c r="A52" s="67"/>
      <c r="B52" s="396"/>
      <c r="C52" s="67"/>
      <c r="D52" s="979" t="s">
        <v>232</v>
      </c>
      <c r="E52" s="979"/>
      <c r="F52" s="979"/>
      <c r="G52" s="467">
        <f>G48+G50+G51</f>
        <v>10234</v>
      </c>
      <c r="H52" s="467">
        <f>H48+H50+H51</f>
        <v>-22321.900000000132</v>
      </c>
      <c r="I52" s="467">
        <f>I48+I50+I51</f>
        <v>-8076.2399999999907</v>
      </c>
      <c r="J52" s="467">
        <f>J48+J50+J51</f>
        <v>-33181.374100000015</v>
      </c>
      <c r="K52" s="467">
        <f>K48+K50+K51</f>
        <v>-104932.16000000003</v>
      </c>
      <c r="L52" s="361"/>
      <c r="R52" s="875"/>
      <c r="W52" s="869"/>
      <c r="Y52" s="874"/>
    </row>
    <row r="53" spans="1:25" s="68" customFormat="1" ht="42" customHeight="1" thickTop="1" x14ac:dyDescent="0.2">
      <c r="A53" s="67"/>
      <c r="B53" s="67"/>
      <c r="C53" s="67"/>
      <c r="D53" s="67"/>
      <c r="E53" s="67"/>
      <c r="F53" s="67"/>
      <c r="G53" s="67"/>
      <c r="H53" s="67"/>
      <c r="I53" s="67"/>
      <c r="J53" s="322"/>
      <c r="K53" s="322"/>
      <c r="L53" s="361"/>
      <c r="R53" s="875"/>
      <c r="W53" s="869"/>
      <c r="Y53" s="874"/>
    </row>
    <row r="54" spans="1:25" s="76" customFormat="1" ht="20.25" x14ac:dyDescent="0.2">
      <c r="A54" s="79"/>
      <c r="B54" s="79"/>
      <c r="C54" s="79"/>
      <c r="D54" s="79"/>
      <c r="F54" s="79" t="s">
        <v>309</v>
      </c>
      <c r="G54" s="322">
        <v>225930</v>
      </c>
      <c r="H54" s="322">
        <v>227723</v>
      </c>
      <c r="I54" s="322">
        <v>178666</v>
      </c>
      <c r="J54" s="322">
        <v>206080</v>
      </c>
      <c r="K54" s="322">
        <v>226000</v>
      </c>
      <c r="L54" s="662"/>
      <c r="R54" s="881"/>
      <c r="W54" s="882"/>
      <c r="Y54" s="874"/>
    </row>
    <row r="55" spans="1:25" s="76" customFormat="1" ht="21" thickBot="1" x14ac:dyDescent="0.25">
      <c r="A55" s="79"/>
      <c r="B55" s="79"/>
      <c r="C55" s="79"/>
      <c r="D55" s="79"/>
      <c r="F55" s="79" t="s">
        <v>314</v>
      </c>
      <c r="G55" s="608">
        <f>(G47-G36-G37)/G54</f>
        <v>1.386615323330235</v>
      </c>
      <c r="H55" s="608">
        <f>(H47-H36-H37)/H54</f>
        <v>1.5003962709080774</v>
      </c>
      <c r="I55" s="608">
        <f>(I47-I36-I37)/I54</f>
        <v>1.6965005653006167</v>
      </c>
      <c r="J55" s="608">
        <f>(J47-J36-J37)/J54</f>
        <v>1.7608285816187885</v>
      </c>
      <c r="K55" s="608">
        <f>(K47-K36-K37)/K54</f>
        <v>1.9067848672566372</v>
      </c>
      <c r="L55" s="662"/>
      <c r="R55" s="881"/>
      <c r="W55" s="882"/>
      <c r="Y55" s="874"/>
    </row>
    <row r="56" spans="1:25" s="76" customFormat="1" ht="20.25" x14ac:dyDescent="0.2">
      <c r="A56" s="79"/>
      <c r="B56" s="79"/>
      <c r="C56" s="79"/>
      <c r="D56" s="79"/>
      <c r="F56" s="79"/>
      <c r="G56" s="79"/>
      <c r="H56" s="322"/>
      <c r="I56" s="322"/>
      <c r="J56" s="322"/>
      <c r="K56" s="322"/>
      <c r="L56" s="662"/>
      <c r="R56" s="881"/>
      <c r="W56" s="882"/>
      <c r="Y56" s="874"/>
    </row>
    <row r="57" spans="1:25" s="76" customFormat="1" ht="20.25" x14ac:dyDescent="0.2">
      <c r="A57" s="79"/>
      <c r="B57" s="79"/>
      <c r="C57" s="79"/>
      <c r="D57" s="79"/>
      <c r="F57" s="79" t="s">
        <v>310</v>
      </c>
      <c r="G57" s="322">
        <v>15755</v>
      </c>
      <c r="H57" s="322">
        <v>16457</v>
      </c>
      <c r="I57" s="322">
        <v>10151</v>
      </c>
      <c r="J57" s="322">
        <v>10428</v>
      </c>
      <c r="K57" s="322">
        <v>11740</v>
      </c>
      <c r="L57" s="662"/>
      <c r="R57" s="881"/>
      <c r="W57" s="882"/>
      <c r="Y57" s="874"/>
    </row>
    <row r="58" spans="1:25" s="76" customFormat="1" ht="21" thickBot="1" x14ac:dyDescent="0.25">
      <c r="A58" s="79"/>
      <c r="B58" s="79"/>
      <c r="C58" s="79"/>
      <c r="D58" s="79"/>
      <c r="F58" s="79" t="s">
        <v>372</v>
      </c>
      <c r="G58" s="608">
        <f>(G47-G36-G37)/G57</f>
        <v>19.884354173278325</v>
      </c>
      <c r="H58" s="608">
        <f>(H47-H36-H37)/H57</f>
        <v>20.761666160296535</v>
      </c>
      <c r="I58" s="608">
        <f>(I47-I36-I37)/I57</f>
        <v>29.859813811447147</v>
      </c>
      <c r="J58" s="608">
        <f>(J47-J36-J37)/J57</f>
        <v>34.797809177215186</v>
      </c>
      <c r="K58" s="608">
        <f>(K47-K36-K37)/K57</f>
        <v>36.706420783645655</v>
      </c>
      <c r="L58" s="662"/>
      <c r="R58" s="881"/>
      <c r="W58" s="882"/>
      <c r="Y58" s="874"/>
    </row>
    <row r="59" spans="1:25" s="76" customFormat="1" ht="20.25" x14ac:dyDescent="0.2">
      <c r="A59" s="79"/>
      <c r="B59" s="79"/>
      <c r="C59" s="79"/>
      <c r="D59" s="79"/>
      <c r="F59" s="79"/>
      <c r="G59" s="79"/>
      <c r="H59" s="322"/>
      <c r="I59" s="322"/>
      <c r="J59" s="322"/>
      <c r="K59" s="322"/>
      <c r="L59" s="662"/>
      <c r="R59" s="881"/>
      <c r="W59" s="882"/>
      <c r="Y59" s="874"/>
    </row>
    <row r="60" spans="1:25" s="76" customFormat="1" ht="20.25" hidden="1" x14ac:dyDescent="0.2">
      <c r="A60" s="79"/>
      <c r="B60" s="79"/>
      <c r="C60" s="67"/>
      <c r="D60" s="79"/>
      <c r="F60" s="79" t="s">
        <v>311</v>
      </c>
      <c r="G60" s="79"/>
      <c r="H60" s="322">
        <v>2102</v>
      </c>
      <c r="I60" s="322">
        <v>2696</v>
      </c>
      <c r="J60" s="322">
        <v>2714</v>
      </c>
      <c r="K60" s="322">
        <v>2714</v>
      </c>
      <c r="L60" s="662"/>
      <c r="R60" s="881"/>
      <c r="W60" s="882"/>
      <c r="Y60" s="874"/>
    </row>
    <row r="61" spans="1:25" s="76" customFormat="1" ht="21" hidden="1" thickBot="1" x14ac:dyDescent="0.25">
      <c r="A61" s="79"/>
      <c r="B61" s="79"/>
      <c r="C61" s="79"/>
      <c r="D61" s="79"/>
      <c r="E61" s="79"/>
      <c r="F61" s="79" t="s">
        <v>373</v>
      </c>
      <c r="G61" s="79"/>
      <c r="H61" s="608">
        <f>H10/H60</f>
        <v>5.8413035204567079</v>
      </c>
      <c r="I61" s="608">
        <f>I9/I60</f>
        <v>25.248538575667656</v>
      </c>
      <c r="J61" s="608">
        <f>J9/J60</f>
        <v>31.557439204126752</v>
      </c>
      <c r="K61" s="608">
        <f>K9/K60</f>
        <v>32.464893146647015</v>
      </c>
      <c r="L61" s="662"/>
      <c r="R61" s="881"/>
      <c r="W61" s="882"/>
      <c r="Y61" s="874"/>
    </row>
    <row r="62" spans="1:25" s="76" customFormat="1" ht="20.25" hidden="1" x14ac:dyDescent="0.2">
      <c r="A62" s="79"/>
      <c r="B62" s="79"/>
      <c r="C62" s="67"/>
      <c r="D62" s="67"/>
      <c r="I62" s="322"/>
      <c r="J62" s="322"/>
      <c r="K62" s="322"/>
      <c r="L62" s="662"/>
      <c r="R62" s="881"/>
      <c r="W62" s="882"/>
      <c r="Y62" s="874"/>
    </row>
    <row r="63" spans="1:25" s="76" customFormat="1" ht="20.25" hidden="1" x14ac:dyDescent="0.2">
      <c r="A63" s="79"/>
      <c r="B63" s="79"/>
      <c r="C63" s="79"/>
      <c r="D63" s="79"/>
      <c r="E63" s="79"/>
      <c r="F63" s="79" t="s">
        <v>522</v>
      </c>
      <c r="G63" s="79"/>
      <c r="H63" s="232">
        <v>195138</v>
      </c>
      <c r="I63" s="232">
        <v>104281</v>
      </c>
      <c r="J63" s="232">
        <v>114885</v>
      </c>
      <c r="K63" s="232">
        <v>134000</v>
      </c>
      <c r="L63" s="662"/>
      <c r="R63" s="881"/>
      <c r="W63" s="882"/>
      <c r="Y63" s="874"/>
    </row>
    <row r="64" spans="1:25" s="76" customFormat="1" ht="21" hidden="1" thickBot="1" x14ac:dyDescent="0.25">
      <c r="A64" s="79"/>
      <c r="B64" s="79"/>
      <c r="C64" s="79"/>
      <c r="D64" s="79"/>
      <c r="E64" s="79"/>
      <c r="F64" s="79" t="s">
        <v>314</v>
      </c>
      <c r="G64" s="79"/>
      <c r="H64" s="884">
        <f>(H47-H36-H37)/H63</f>
        <v>1.7509390277649668</v>
      </c>
      <c r="I64" s="884">
        <f>(I47-I36-I37)/I63</f>
        <v>2.9066365876813607</v>
      </c>
      <c r="J64" s="884">
        <f>(J47-J36-J37)/J63</f>
        <v>3.1585633816425118</v>
      </c>
      <c r="K64" s="884">
        <f>(K47-K36-K37)/K63</f>
        <v>3.2159207462686568</v>
      </c>
      <c r="L64" s="662"/>
      <c r="R64" s="881"/>
      <c r="W64" s="882"/>
      <c r="Y64" s="874"/>
    </row>
    <row r="65" spans="1:25" s="76" customFormat="1" ht="20.25" hidden="1" x14ac:dyDescent="0.2">
      <c r="A65" s="79"/>
      <c r="B65" s="79"/>
      <c r="C65" s="67"/>
      <c r="D65" s="79"/>
      <c r="F65" s="79"/>
      <c r="G65" s="79"/>
      <c r="H65" s="79"/>
      <c r="I65" s="232"/>
      <c r="J65" s="232"/>
      <c r="K65" s="232"/>
      <c r="L65" s="662"/>
      <c r="R65" s="881"/>
      <c r="W65" s="882"/>
      <c r="Y65" s="874"/>
    </row>
    <row r="66" spans="1:25" s="76" customFormat="1" ht="20.25" hidden="1" x14ac:dyDescent="0.2">
      <c r="A66" s="79"/>
      <c r="B66" s="79"/>
      <c r="C66" s="67"/>
      <c r="D66" s="79"/>
      <c r="F66" s="79" t="s">
        <v>522</v>
      </c>
      <c r="G66" s="79"/>
      <c r="H66" s="232">
        <v>195138</v>
      </c>
      <c r="I66" s="232">
        <v>104281</v>
      </c>
      <c r="J66" s="232">
        <v>114885</v>
      </c>
      <c r="K66" s="232">
        <f>K63</f>
        <v>134000</v>
      </c>
      <c r="L66" s="662"/>
      <c r="R66" s="881"/>
      <c r="W66" s="882"/>
      <c r="Y66" s="874"/>
    </row>
    <row r="67" spans="1:25" s="76" customFormat="1" ht="20.25" hidden="1" x14ac:dyDescent="0.2">
      <c r="A67" s="79"/>
      <c r="B67" s="79"/>
      <c r="C67" s="67"/>
      <c r="D67" s="79"/>
      <c r="F67" s="79" t="s">
        <v>310</v>
      </c>
      <c r="G67" s="79"/>
      <c r="H67" s="322">
        <v>16457</v>
      </c>
      <c r="I67" s="322">
        <v>10151</v>
      </c>
      <c r="J67" s="322">
        <v>10428</v>
      </c>
      <c r="K67" s="322">
        <f>K57</f>
        <v>11740</v>
      </c>
      <c r="L67" s="662"/>
      <c r="R67" s="881"/>
      <c r="W67" s="882"/>
      <c r="Y67" s="874"/>
    </row>
    <row r="68" spans="1:25" s="76" customFormat="1" ht="21" hidden="1" thickBot="1" x14ac:dyDescent="0.25">
      <c r="A68" s="79"/>
      <c r="B68" s="79"/>
      <c r="C68" s="79"/>
      <c r="D68" s="79"/>
      <c r="E68" s="79"/>
      <c r="F68" s="79" t="s">
        <v>523</v>
      </c>
      <c r="G68" s="79"/>
      <c r="H68" s="885">
        <f>H66/H67</f>
        <v>11.857446679224646</v>
      </c>
      <c r="I68" s="885">
        <f>I66/I67</f>
        <v>10.272978031721014</v>
      </c>
      <c r="J68" s="885">
        <f>J66/J67</f>
        <v>11.016973532796317</v>
      </c>
      <c r="K68" s="885">
        <f>K66/K67</f>
        <v>11.41396933560477</v>
      </c>
      <c r="L68" s="662"/>
      <c r="R68" s="881"/>
      <c r="W68" s="882"/>
      <c r="Y68" s="874"/>
    </row>
    <row r="69" spans="1:25" s="68" customFormat="1" ht="20.25" hidden="1" x14ac:dyDescent="0.2">
      <c r="A69" s="67"/>
      <c r="B69" s="67"/>
      <c r="C69" s="67"/>
      <c r="D69" s="67"/>
      <c r="E69" s="67"/>
      <c r="F69" s="67"/>
      <c r="G69" s="67"/>
      <c r="H69" s="67"/>
      <c r="I69" s="237"/>
      <c r="J69" s="237"/>
      <c r="K69" s="237"/>
      <c r="L69" s="879"/>
      <c r="R69" s="875"/>
      <c r="W69" s="869"/>
      <c r="X69" s="76"/>
      <c r="Y69" s="874"/>
    </row>
    <row r="70" spans="1:25" s="68" customFormat="1" ht="20.25" hidden="1" x14ac:dyDescent="0.2">
      <c r="A70" s="67"/>
      <c r="B70" s="67"/>
      <c r="C70" s="67"/>
      <c r="D70" s="67"/>
      <c r="E70" s="67"/>
      <c r="F70" s="79" t="s">
        <v>524</v>
      </c>
      <c r="G70" s="79"/>
      <c r="H70" s="322">
        <v>227723</v>
      </c>
      <c r="I70" s="232">
        <v>178666</v>
      </c>
      <c r="J70" s="232">
        <v>206080</v>
      </c>
      <c r="K70" s="232">
        <f>K54</f>
        <v>226000</v>
      </c>
      <c r="L70" s="879"/>
      <c r="R70" s="875"/>
      <c r="W70" s="869"/>
      <c r="Y70" s="874"/>
    </row>
    <row r="71" spans="1:25" s="68" customFormat="1" ht="20.25" hidden="1" x14ac:dyDescent="0.2">
      <c r="A71" s="67"/>
      <c r="B71" s="67"/>
      <c r="C71" s="67"/>
      <c r="D71" s="67"/>
      <c r="E71" s="67"/>
      <c r="F71" s="79" t="s">
        <v>310</v>
      </c>
      <c r="G71" s="79"/>
      <c r="H71" s="322">
        <v>16457</v>
      </c>
      <c r="I71" s="322">
        <v>10151</v>
      </c>
      <c r="J71" s="322">
        <v>10428</v>
      </c>
      <c r="K71" s="322">
        <f>K57</f>
        <v>11740</v>
      </c>
      <c r="L71" s="879"/>
      <c r="R71" s="875"/>
      <c r="W71" s="869"/>
      <c r="Y71" s="874"/>
    </row>
    <row r="72" spans="1:25" s="68" customFormat="1" ht="21" hidden="1" thickBot="1" x14ac:dyDescent="0.25">
      <c r="A72" s="67"/>
      <c r="B72" s="67"/>
      <c r="C72" s="67"/>
      <c r="D72" s="67"/>
      <c r="E72" s="67"/>
      <c r="F72" s="79" t="s">
        <v>525</v>
      </c>
      <c r="G72" s="79"/>
      <c r="H72" s="885">
        <f>H70/H71</f>
        <v>13.837455186242936</v>
      </c>
      <c r="I72" s="885">
        <f>I70/I71</f>
        <v>17.600827504679341</v>
      </c>
      <c r="J72" s="885">
        <f>J70/J71</f>
        <v>19.762178749520523</v>
      </c>
      <c r="K72" s="885">
        <f>K70/K71</f>
        <v>19.250425894378193</v>
      </c>
      <c r="L72" s="879"/>
      <c r="R72" s="875"/>
      <c r="W72" s="869"/>
      <c r="Y72" s="874"/>
    </row>
    <row r="73" spans="1:25" s="68" customFormat="1" ht="20.25" hidden="1" x14ac:dyDescent="0.2">
      <c r="A73" s="67"/>
      <c r="B73" s="67"/>
      <c r="C73" s="67"/>
      <c r="D73" s="67"/>
      <c r="E73" s="67"/>
      <c r="F73" s="79"/>
      <c r="G73" s="79"/>
      <c r="H73" s="886"/>
      <c r="I73" s="886"/>
      <c r="J73" s="886"/>
      <c r="K73" s="886"/>
      <c r="L73" s="879"/>
      <c r="R73" s="875"/>
      <c r="W73" s="869"/>
      <c r="Y73" s="874"/>
    </row>
    <row r="74" spans="1:25" s="68" customFormat="1" ht="20.25" hidden="1" x14ac:dyDescent="0.2">
      <c r="A74" s="67"/>
      <c r="B74" s="67"/>
      <c r="C74" s="67"/>
      <c r="D74" s="67"/>
      <c r="E74" s="67"/>
      <c r="F74" s="887" t="s">
        <v>526</v>
      </c>
      <c r="G74" s="887"/>
      <c r="H74" s="67"/>
      <c r="I74" s="67"/>
      <c r="J74" s="237"/>
      <c r="K74" s="237"/>
      <c r="L74" s="879"/>
      <c r="R74" s="875"/>
      <c r="W74" s="869"/>
      <c r="Y74" s="874"/>
    </row>
    <row r="75" spans="1:25" s="68" customFormat="1" ht="20.25" hidden="1" x14ac:dyDescent="0.2">
      <c r="A75" s="67"/>
      <c r="B75" s="67"/>
      <c r="C75" s="67"/>
      <c r="D75" s="67"/>
      <c r="E75" s="67"/>
      <c r="F75" s="67" t="s">
        <v>527</v>
      </c>
      <c r="G75" s="67"/>
      <c r="H75" s="888">
        <f t="shared" ref="H75:J75" si="0">H28+(H28*0.21)+H32+H34</f>
        <v>237890.76749999999</v>
      </c>
      <c r="I75" s="888">
        <f t="shared" si="0"/>
        <v>188101.25649999999</v>
      </c>
      <c r="J75" s="888">
        <f t="shared" si="0"/>
        <v>232210.04700000002</v>
      </c>
      <c r="K75" s="888">
        <f>K28+(K28*0.2)+K32+K34</f>
        <v>290400</v>
      </c>
      <c r="L75" s="889"/>
      <c r="R75" s="875"/>
      <c r="W75" s="869"/>
      <c r="Y75" s="874"/>
    </row>
    <row r="76" spans="1:25" s="68" customFormat="1" ht="23.25" hidden="1" x14ac:dyDescent="0.2">
      <c r="A76" s="67"/>
      <c r="B76" s="271"/>
      <c r="C76" s="67"/>
      <c r="D76" s="67"/>
      <c r="E76" s="67"/>
      <c r="F76" s="67" t="s">
        <v>528</v>
      </c>
      <c r="G76" s="67"/>
      <c r="H76" s="237">
        <f>H47-H75-H77</f>
        <v>103783.97250000012</v>
      </c>
      <c r="I76" s="237">
        <f>I47-I75-I77</f>
        <v>115005.71349999998</v>
      </c>
      <c r="J76" s="237">
        <f>J47-J75-J77</f>
        <v>130661.50709999993</v>
      </c>
      <c r="K76" s="237">
        <f>K47-K75-K77</f>
        <v>140533.38</v>
      </c>
      <c r="L76" s="889"/>
      <c r="R76" s="875"/>
      <c r="W76" s="869"/>
      <c r="Y76" s="874"/>
    </row>
    <row r="77" spans="1:25" s="76" customFormat="1" ht="20.25" hidden="1" x14ac:dyDescent="0.2">
      <c r="A77" s="79"/>
      <c r="B77" s="79"/>
      <c r="D77" s="79"/>
      <c r="E77" s="79"/>
      <c r="F77" s="67" t="s">
        <v>529</v>
      </c>
      <c r="G77" s="67"/>
      <c r="H77" s="237">
        <f>H36+H37</f>
        <v>33344.68</v>
      </c>
      <c r="I77" s="237">
        <f>I36+I37</f>
        <v>41084</v>
      </c>
      <c r="J77" s="237">
        <f>J36+J37</f>
        <v>40932</v>
      </c>
      <c r="K77" s="237">
        <f>K36+K37</f>
        <v>41382</v>
      </c>
      <c r="L77" s="889"/>
      <c r="R77" s="881"/>
      <c r="W77" s="882"/>
      <c r="Y77" s="874"/>
    </row>
    <row r="78" spans="1:25" s="76" customFormat="1" ht="21" hidden="1" thickBot="1" x14ac:dyDescent="0.25">
      <c r="A78" s="79"/>
      <c r="B78" s="79"/>
      <c r="D78" s="79"/>
      <c r="E78" s="79"/>
      <c r="F78" s="67" t="s">
        <v>530</v>
      </c>
      <c r="G78" s="67"/>
      <c r="H78" s="890">
        <f>SUM(H75:H77)</f>
        <v>375019.4200000001</v>
      </c>
      <c r="I78" s="890">
        <f>SUM(I75:I77)</f>
        <v>344190.97</v>
      </c>
      <c r="J78" s="890">
        <f>SUM(J75:J77)</f>
        <v>403803.55409999995</v>
      </c>
      <c r="K78" s="890">
        <f>SUM(K75:K77)</f>
        <v>472315.38</v>
      </c>
      <c r="L78" s="889"/>
      <c r="R78" s="881"/>
      <c r="W78" s="882"/>
      <c r="Y78" s="874"/>
    </row>
    <row r="79" spans="1:25" s="76" customFormat="1" ht="20.25" hidden="1" x14ac:dyDescent="0.2">
      <c r="A79" s="79"/>
      <c r="B79" s="79"/>
      <c r="D79" s="79"/>
      <c r="E79" s="79"/>
      <c r="F79" s="67" t="s">
        <v>531</v>
      </c>
      <c r="G79" s="67"/>
      <c r="H79" s="891">
        <v>195138</v>
      </c>
      <c r="I79" s="891">
        <v>104281</v>
      </c>
      <c r="J79" s="892">
        <f>J63</f>
        <v>114885</v>
      </c>
      <c r="K79" s="892">
        <f>K63</f>
        <v>134000</v>
      </c>
      <c r="L79" s="889"/>
      <c r="R79" s="881"/>
      <c r="W79" s="882"/>
      <c r="Y79" s="874"/>
    </row>
    <row r="80" spans="1:25" s="76" customFormat="1" ht="20.25" hidden="1" x14ac:dyDescent="0.2">
      <c r="A80" s="79"/>
      <c r="B80" s="79"/>
      <c r="D80" s="79"/>
      <c r="E80" s="79"/>
      <c r="F80" s="67" t="s">
        <v>532</v>
      </c>
      <c r="G80" s="67"/>
      <c r="H80" s="893">
        <f>H75/H79</f>
        <v>1.2190899132921316</v>
      </c>
      <c r="I80" s="893">
        <f>I75/I79</f>
        <v>1.8037922200592629</v>
      </c>
      <c r="J80" s="893">
        <f>J75/J79</f>
        <v>2.0212390390390391</v>
      </c>
      <c r="K80" s="893">
        <f>K75/K79</f>
        <v>2.1671641791044776</v>
      </c>
      <c r="L80" s="889"/>
      <c r="R80" s="881"/>
      <c r="W80" s="882"/>
      <c r="Y80" s="874"/>
    </row>
    <row r="81" spans="1:25" s="76" customFormat="1" ht="20.25" hidden="1" x14ac:dyDescent="0.2">
      <c r="A81" s="79"/>
      <c r="B81" s="79"/>
      <c r="D81" s="79"/>
      <c r="E81" s="79"/>
      <c r="F81" s="67" t="s">
        <v>533</v>
      </c>
      <c r="G81" s="67"/>
      <c r="H81" s="893">
        <f>H76/H57</f>
        <v>6.3063725162544886</v>
      </c>
      <c r="I81" s="893">
        <f>I76/I57</f>
        <v>11.329495960989064</v>
      </c>
      <c r="J81" s="893">
        <f>J76/J57</f>
        <v>12.529872180667427</v>
      </c>
      <c r="K81" s="893">
        <f>K76/K57</f>
        <v>11.970475298126065</v>
      </c>
      <c r="L81" s="889"/>
      <c r="R81" s="881"/>
      <c r="W81" s="882"/>
      <c r="Y81" s="874"/>
    </row>
    <row r="82" spans="1:25" s="76" customFormat="1" ht="20.25" hidden="1" x14ac:dyDescent="0.2">
      <c r="A82" s="79"/>
      <c r="B82" s="79"/>
      <c r="D82" s="79"/>
      <c r="E82" s="79"/>
      <c r="F82" s="67"/>
      <c r="G82" s="67"/>
      <c r="H82" s="67"/>
      <c r="I82" s="893"/>
      <c r="J82" s="893"/>
      <c r="K82" s="893"/>
      <c r="L82" s="889"/>
      <c r="R82" s="881"/>
      <c r="W82" s="882"/>
      <c r="Y82" s="874"/>
    </row>
    <row r="83" spans="1:25" s="76" customFormat="1" ht="20.25" hidden="1" x14ac:dyDescent="0.2">
      <c r="A83" s="79"/>
      <c r="B83" s="79"/>
      <c r="D83" s="79"/>
      <c r="E83" s="79"/>
      <c r="H83" s="79"/>
      <c r="I83" s="79"/>
      <c r="J83" s="232"/>
      <c r="K83" s="232"/>
      <c r="L83" s="363"/>
      <c r="R83" s="881"/>
      <c r="W83" s="882"/>
      <c r="Y83" s="874"/>
    </row>
    <row r="84" spans="1:25" s="68" customFormat="1" ht="20.25" hidden="1" x14ac:dyDescent="0.2">
      <c r="A84" s="67"/>
      <c r="B84" s="67"/>
      <c r="D84" s="79"/>
      <c r="E84" s="67"/>
      <c r="F84" s="67" t="s">
        <v>527</v>
      </c>
      <c r="G84" s="67"/>
      <c r="H84" s="237">
        <f>H24-H85-H86</f>
        <v>238182.86749999985</v>
      </c>
      <c r="I84" s="237">
        <f>I22-I85-I86</f>
        <v>180025.0165</v>
      </c>
      <c r="J84" s="237">
        <f>J22-J85-J86</f>
        <v>199028.67290000001</v>
      </c>
      <c r="K84" s="237">
        <f>K22-K85-K86</f>
        <v>185467.83999999997</v>
      </c>
      <c r="L84" s="889"/>
      <c r="R84" s="875"/>
      <c r="W84" s="869"/>
      <c r="Y84" s="874"/>
    </row>
    <row r="85" spans="1:25" s="68" customFormat="1" ht="23.25" hidden="1" x14ac:dyDescent="0.2">
      <c r="A85" s="67"/>
      <c r="B85" s="271"/>
      <c r="C85" s="67"/>
      <c r="D85" s="67"/>
      <c r="E85" s="67"/>
      <c r="F85" s="67" t="s">
        <v>528</v>
      </c>
      <c r="G85" s="67"/>
      <c r="H85" s="891">
        <f>H76</f>
        <v>103783.97250000012</v>
      </c>
      <c r="I85" s="891">
        <f>I76</f>
        <v>115005.71349999998</v>
      </c>
      <c r="J85" s="237">
        <f>J76</f>
        <v>130661.50709999993</v>
      </c>
      <c r="K85" s="237">
        <f>K76</f>
        <v>140533.38</v>
      </c>
      <c r="L85" s="889"/>
      <c r="R85" s="875"/>
      <c r="W85" s="869"/>
      <c r="Y85" s="874"/>
    </row>
    <row r="86" spans="1:25" s="68" customFormat="1" ht="20.25" hidden="1" x14ac:dyDescent="0.2">
      <c r="A86" s="67"/>
      <c r="B86" s="67"/>
      <c r="C86" s="67"/>
      <c r="D86" s="67"/>
      <c r="E86" s="67"/>
      <c r="F86" s="67" t="s">
        <v>534</v>
      </c>
      <c r="G86" s="67"/>
      <c r="H86" s="891">
        <f>H18</f>
        <v>9315</v>
      </c>
      <c r="I86" s="891">
        <f>I18</f>
        <v>9315</v>
      </c>
      <c r="J86" s="237">
        <f>J37</f>
        <v>10548</v>
      </c>
      <c r="K86" s="237">
        <f>K37</f>
        <v>10548</v>
      </c>
      <c r="L86" s="889"/>
      <c r="R86" s="875"/>
      <c r="W86" s="869"/>
      <c r="Y86" s="874"/>
    </row>
    <row r="87" spans="1:25" s="82" customFormat="1" ht="27" hidden="1" thickBot="1" x14ac:dyDescent="0.25">
      <c r="A87" s="268"/>
      <c r="B87" s="268"/>
      <c r="C87" s="268"/>
      <c r="D87" s="268"/>
      <c r="E87" s="268"/>
      <c r="F87" s="67" t="s">
        <v>535</v>
      </c>
      <c r="G87" s="67"/>
      <c r="H87" s="757">
        <f>SUM(H84:H86)</f>
        <v>351281.83999999997</v>
      </c>
      <c r="I87" s="757">
        <f>SUM(I84:I86)</f>
        <v>304345.73</v>
      </c>
      <c r="J87" s="757">
        <f>SUM(J84:J86)</f>
        <v>340238.17999999993</v>
      </c>
      <c r="K87" s="757">
        <f>SUM(K84:K86)</f>
        <v>336549.22</v>
      </c>
      <c r="L87" s="364"/>
      <c r="R87" s="894"/>
      <c r="W87" s="895"/>
      <c r="Y87" s="896"/>
    </row>
    <row r="88" spans="1:25" s="82" customFormat="1" ht="26.25" hidden="1" x14ac:dyDescent="0.2">
      <c r="A88" s="268"/>
      <c r="B88" s="268"/>
      <c r="C88" s="268"/>
      <c r="D88" s="268"/>
      <c r="E88" s="268"/>
      <c r="F88" s="67" t="s">
        <v>536</v>
      </c>
      <c r="G88" s="67"/>
      <c r="H88" s="237">
        <f>H67</f>
        <v>16457</v>
      </c>
      <c r="I88" s="237">
        <f>I67</f>
        <v>10151</v>
      </c>
      <c r="J88" s="237">
        <f>J57</f>
        <v>10428</v>
      </c>
      <c r="K88" s="237">
        <v>11740</v>
      </c>
      <c r="L88" s="364"/>
      <c r="R88" s="894"/>
      <c r="W88" s="895"/>
      <c r="Y88" s="896"/>
    </row>
    <row r="89" spans="1:25" s="18" customFormat="1" ht="20.25" hidden="1" x14ac:dyDescent="0.3">
      <c r="A89" s="122"/>
      <c r="B89" s="122"/>
      <c r="C89" s="122"/>
      <c r="D89" s="122"/>
      <c r="E89" s="122"/>
      <c r="F89" s="67" t="s">
        <v>537</v>
      </c>
      <c r="G89" s="67"/>
      <c r="H89" s="897">
        <f>H84/H80/H68</f>
        <v>16477.207130148494</v>
      </c>
      <c r="I89" s="897">
        <f>I84/I80/I68</f>
        <v>9715.1607410527849</v>
      </c>
      <c r="J89" s="897">
        <f>J84/J80/J68</f>
        <v>8937.9035395535666</v>
      </c>
      <c r="K89" s="897">
        <f>K84/K80/K68</f>
        <v>7497.9078567493098</v>
      </c>
      <c r="L89" s="366"/>
      <c r="R89" s="898"/>
      <c r="W89" s="877"/>
      <c r="Y89" s="899"/>
    </row>
    <row r="90" spans="1:25" s="18" customFormat="1" ht="20.25" hidden="1" x14ac:dyDescent="0.3">
      <c r="A90" s="122"/>
      <c r="B90" s="122"/>
      <c r="C90" s="122"/>
      <c r="D90" s="122"/>
      <c r="E90" s="122"/>
      <c r="F90" s="67" t="s">
        <v>538</v>
      </c>
      <c r="G90" s="67"/>
      <c r="H90" s="900">
        <f>H89-H88</f>
        <v>20.207130148493889</v>
      </c>
      <c r="I90" s="900">
        <f>I89-I88</f>
        <v>-435.83925894721506</v>
      </c>
      <c r="J90" s="900">
        <f>J89-J88</f>
        <v>-1490.0964604464334</v>
      </c>
      <c r="K90" s="900">
        <f>K89-K88</f>
        <v>-4242.0921432506902</v>
      </c>
      <c r="L90" s="366"/>
      <c r="R90" s="898"/>
      <c r="W90" s="877"/>
      <c r="Y90" s="899"/>
    </row>
    <row r="91" spans="1:25" s="18" customFormat="1" ht="20.25" hidden="1" x14ac:dyDescent="0.3">
      <c r="A91" s="122"/>
      <c r="B91" s="122"/>
      <c r="C91" s="122"/>
      <c r="D91" s="122"/>
      <c r="E91" s="122"/>
      <c r="F91" s="67" t="s">
        <v>532</v>
      </c>
      <c r="G91" s="67"/>
      <c r="H91" s="901">
        <f>H84/(H89*H68)</f>
        <v>1.2190899132921318</v>
      </c>
      <c r="I91" s="901">
        <f>I84/(I89*I68)</f>
        <v>1.8037922200592629</v>
      </c>
      <c r="J91" s="901">
        <f>J84/(J89*J68)</f>
        <v>2.0212390390390391</v>
      </c>
      <c r="K91" s="901">
        <f>K84/(K89*K68)</f>
        <v>2.1671641791044776</v>
      </c>
      <c r="L91" s="366"/>
      <c r="R91" s="898"/>
      <c r="W91" s="877"/>
      <c r="Y91" s="899"/>
    </row>
    <row r="92" spans="1:25" s="18" customFormat="1" ht="20.25" hidden="1" x14ac:dyDescent="0.3">
      <c r="A92" s="122"/>
      <c r="B92" s="122"/>
      <c r="C92" s="122"/>
      <c r="D92" s="122"/>
      <c r="E92" s="122"/>
      <c r="F92" s="67" t="s">
        <v>533</v>
      </c>
      <c r="G92" s="67"/>
      <c r="H92" s="901">
        <f>H85/H89</f>
        <v>6.2986385787495296</v>
      </c>
      <c r="I92" s="901">
        <f>I85/I89</f>
        <v>11.837757147344673</v>
      </c>
      <c r="J92" s="901">
        <f>J85/J89</f>
        <v>14.618809267942297</v>
      </c>
      <c r="K92" s="901">
        <f>K85/K89</f>
        <v>18.743012408921192</v>
      </c>
      <c r="L92" s="366"/>
      <c r="R92" s="898"/>
      <c r="W92" s="877"/>
      <c r="Y92" s="899"/>
    </row>
    <row r="93" spans="1:25" s="18" customFormat="1" ht="20.25" hidden="1" x14ac:dyDescent="0.3">
      <c r="A93" s="122"/>
      <c r="B93" s="122"/>
      <c r="C93" s="122"/>
      <c r="D93" s="122"/>
      <c r="E93" s="122"/>
      <c r="F93" s="67"/>
      <c r="G93" s="67"/>
      <c r="H93" s="67"/>
      <c r="I93" s="901"/>
      <c r="J93" s="901"/>
      <c r="K93" s="901"/>
      <c r="L93" s="366"/>
      <c r="R93" s="898"/>
      <c r="W93" s="877"/>
      <c r="Y93" s="899"/>
    </row>
    <row r="94" spans="1:25" ht="20.25" hidden="1" x14ac:dyDescent="0.3">
      <c r="J94" s="277"/>
      <c r="K94" s="277"/>
    </row>
    <row r="95" spans="1:25" ht="20.25" hidden="1" x14ac:dyDescent="0.3">
      <c r="J95" s="277"/>
      <c r="K95" s="277"/>
    </row>
    <row r="96" spans="1:25" ht="20.25" hidden="1" x14ac:dyDescent="0.3">
      <c r="F96" s="887" t="s">
        <v>539</v>
      </c>
      <c r="G96" s="887"/>
      <c r="J96" s="277"/>
      <c r="K96" s="277"/>
    </row>
    <row r="97" spans="6:12" ht="20.25" hidden="1" x14ac:dyDescent="0.25">
      <c r="F97" s="67" t="s">
        <v>527</v>
      </c>
      <c r="G97" s="67"/>
      <c r="H97" s="888">
        <f t="shared" ref="H97:J99" si="1">H75</f>
        <v>237890.76749999999</v>
      </c>
      <c r="I97" s="888">
        <f t="shared" si="1"/>
        <v>188101.25649999999</v>
      </c>
      <c r="J97" s="888">
        <f t="shared" si="1"/>
        <v>232210.04700000002</v>
      </c>
      <c r="K97" s="888">
        <f>K75</f>
        <v>290400</v>
      </c>
      <c r="L97" s="889"/>
    </row>
    <row r="98" spans="6:12" ht="20.25" hidden="1" x14ac:dyDescent="0.25">
      <c r="F98" s="67" t="s">
        <v>528</v>
      </c>
      <c r="G98" s="67"/>
      <c r="H98" s="237">
        <f t="shared" si="1"/>
        <v>103783.97250000012</v>
      </c>
      <c r="I98" s="237">
        <f t="shared" si="1"/>
        <v>115005.71349999998</v>
      </c>
      <c r="J98" s="237">
        <f t="shared" si="1"/>
        <v>130661.50709999993</v>
      </c>
      <c r="K98" s="237">
        <f>K76</f>
        <v>140533.38</v>
      </c>
      <c r="L98" s="889"/>
    </row>
    <row r="99" spans="6:12" ht="20.25" hidden="1" x14ac:dyDescent="0.25">
      <c r="F99" s="67" t="s">
        <v>529</v>
      </c>
      <c r="G99" s="67"/>
      <c r="H99" s="237">
        <f t="shared" si="1"/>
        <v>33344.68</v>
      </c>
      <c r="I99" s="237">
        <f t="shared" si="1"/>
        <v>41084</v>
      </c>
      <c r="J99" s="237">
        <f t="shared" si="1"/>
        <v>40932</v>
      </c>
      <c r="K99" s="237">
        <f>K77</f>
        <v>41382</v>
      </c>
      <c r="L99" s="889"/>
    </row>
    <row r="100" spans="6:12" ht="21" hidden="1" thickBot="1" x14ac:dyDescent="0.3">
      <c r="F100" s="67" t="s">
        <v>530</v>
      </c>
      <c r="G100" s="67"/>
      <c r="H100" s="890">
        <f>SUM(H97:H99)</f>
        <v>375019.4200000001</v>
      </c>
      <c r="I100" s="890">
        <f>SUM(I97:I99)</f>
        <v>344190.97</v>
      </c>
      <c r="J100" s="890">
        <f>SUM(J97:J99)</f>
        <v>403803.55409999995</v>
      </c>
      <c r="K100" s="890">
        <f>SUM(K97:K99)</f>
        <v>472315.38</v>
      </c>
      <c r="L100" s="889"/>
    </row>
    <row r="101" spans="6:12" ht="20.25" hidden="1" x14ac:dyDescent="0.25">
      <c r="F101" s="67" t="s">
        <v>540</v>
      </c>
      <c r="G101" s="67"/>
      <c r="H101" s="237">
        <f>H54</f>
        <v>227723</v>
      </c>
      <c r="I101" s="237">
        <f t="shared" ref="I101:K101" si="2">I54</f>
        <v>178666</v>
      </c>
      <c r="J101" s="237">
        <f t="shared" si="2"/>
        <v>206080</v>
      </c>
      <c r="K101" s="237">
        <f t="shared" si="2"/>
        <v>226000</v>
      </c>
      <c r="L101" s="889"/>
    </row>
    <row r="102" spans="6:12" ht="20.25" hidden="1" x14ac:dyDescent="0.25">
      <c r="F102" s="67" t="s">
        <v>541</v>
      </c>
      <c r="G102" s="67"/>
      <c r="H102" s="893">
        <f>H97/H101</f>
        <v>1.0446497169807178</v>
      </c>
      <c r="I102" s="893">
        <f>I97/I101</f>
        <v>1.0528094685054794</v>
      </c>
      <c r="J102" s="893">
        <f>J97/J101</f>
        <v>1.1267956473214287</v>
      </c>
      <c r="K102" s="893">
        <f>K97/K101</f>
        <v>1.2849557522123893</v>
      </c>
      <c r="L102" s="889"/>
    </row>
    <row r="103" spans="6:12" ht="20.25" hidden="1" x14ac:dyDescent="0.25">
      <c r="F103" s="67" t="s">
        <v>533</v>
      </c>
      <c r="G103" s="67"/>
      <c r="H103" s="893">
        <f t="shared" ref="H103:K103" si="3">H98/H57</f>
        <v>6.3063725162544886</v>
      </c>
      <c r="I103" s="893">
        <f t="shared" si="3"/>
        <v>11.329495960989064</v>
      </c>
      <c r="J103" s="893">
        <f t="shared" si="3"/>
        <v>12.529872180667427</v>
      </c>
      <c r="K103" s="893">
        <f t="shared" si="3"/>
        <v>11.970475298126065</v>
      </c>
      <c r="L103" s="889"/>
    </row>
    <row r="104" spans="6:12" ht="20.25" hidden="1" x14ac:dyDescent="0.3">
      <c r="H104" s="277"/>
      <c r="I104" s="277"/>
      <c r="J104" s="277"/>
      <c r="K104" s="277"/>
    </row>
    <row r="105" spans="6:12" ht="20.25" hidden="1" x14ac:dyDescent="0.25">
      <c r="H105" s="232"/>
      <c r="I105" s="232"/>
      <c r="J105" s="232"/>
      <c r="K105" s="232"/>
      <c r="L105" s="363"/>
    </row>
    <row r="106" spans="6:12" ht="20.25" hidden="1" x14ac:dyDescent="0.25">
      <c r="F106" s="67" t="s">
        <v>527</v>
      </c>
      <c r="G106" s="67"/>
      <c r="H106" s="237">
        <f>H24-H107-H108</f>
        <v>238182.86749999985</v>
      </c>
      <c r="I106" s="237">
        <f>I22-I107-I108</f>
        <v>180025.0165</v>
      </c>
      <c r="J106" s="237">
        <f>J22-J107-J108</f>
        <v>199028.67290000001</v>
      </c>
      <c r="K106" s="237">
        <f>K22-K107-K108</f>
        <v>185467.83999999997</v>
      </c>
      <c r="L106" s="889"/>
    </row>
    <row r="107" spans="6:12" ht="20.25" hidden="1" x14ac:dyDescent="0.25">
      <c r="F107" s="67" t="s">
        <v>528</v>
      </c>
      <c r="G107" s="67"/>
      <c r="H107" s="237">
        <f t="shared" ref="H107:I107" si="4">H98</f>
        <v>103783.97250000012</v>
      </c>
      <c r="I107" s="237">
        <f t="shared" si="4"/>
        <v>115005.71349999998</v>
      </c>
      <c r="J107" s="237">
        <f>J98</f>
        <v>130661.50709999993</v>
      </c>
      <c r="K107" s="237">
        <f t="shared" ref="K107" si="5">K98</f>
        <v>140533.38</v>
      </c>
      <c r="L107" s="889"/>
    </row>
    <row r="108" spans="6:12" ht="20.25" hidden="1" x14ac:dyDescent="0.25">
      <c r="F108" s="67" t="s">
        <v>104</v>
      </c>
      <c r="G108" s="67"/>
      <c r="H108" s="237">
        <f>H37</f>
        <v>9315</v>
      </c>
      <c r="I108" s="237">
        <f>I37</f>
        <v>9315</v>
      </c>
      <c r="J108" s="237">
        <f>J37</f>
        <v>10548</v>
      </c>
      <c r="K108" s="237">
        <f>K37</f>
        <v>10548</v>
      </c>
      <c r="L108" s="889"/>
    </row>
    <row r="109" spans="6:12" ht="27" hidden="1" thickBot="1" x14ac:dyDescent="0.3">
      <c r="F109" s="67" t="s">
        <v>535</v>
      </c>
      <c r="G109" s="67"/>
      <c r="H109" s="757">
        <f>SUM(H106:H108)</f>
        <v>351281.83999999997</v>
      </c>
      <c r="I109" s="757">
        <f>SUM(I106:I108)</f>
        <v>304345.73</v>
      </c>
      <c r="J109" s="757">
        <f>SUM(J106:J108)</f>
        <v>340238.17999999993</v>
      </c>
      <c r="K109" s="757">
        <f>SUM(K106:K108)</f>
        <v>336549.22</v>
      </c>
      <c r="L109" s="364"/>
    </row>
    <row r="110" spans="6:12" ht="20.25" hidden="1" x14ac:dyDescent="0.25">
      <c r="F110" s="67" t="s">
        <v>536</v>
      </c>
      <c r="G110" s="67"/>
      <c r="H110" s="237">
        <f>H88</f>
        <v>16457</v>
      </c>
      <c r="I110" s="237">
        <f>I88</f>
        <v>10151</v>
      </c>
      <c r="J110" s="237">
        <f>J88</f>
        <v>10428</v>
      </c>
      <c r="K110" s="237">
        <f>K88</f>
        <v>11740</v>
      </c>
    </row>
    <row r="111" spans="6:12" ht="20.25" hidden="1" x14ac:dyDescent="0.3">
      <c r="F111" s="67" t="s">
        <v>537</v>
      </c>
      <c r="G111" s="67"/>
      <c r="H111" s="897">
        <f t="shared" ref="H111:K111" si="6">H106/H102/H72</f>
        <v>16477.207130148494</v>
      </c>
      <c r="I111" s="897">
        <f t="shared" si="6"/>
        <v>9715.1607410527868</v>
      </c>
      <c r="J111" s="897">
        <f t="shared" si="6"/>
        <v>8937.9035395535648</v>
      </c>
      <c r="K111" s="897">
        <f t="shared" si="6"/>
        <v>7497.9078567493116</v>
      </c>
    </row>
    <row r="112" spans="6:12" ht="20.25" hidden="1" x14ac:dyDescent="0.3">
      <c r="F112" s="67" t="s">
        <v>538</v>
      </c>
      <c r="G112" s="67"/>
      <c r="H112" s="900">
        <f>H111-H110</f>
        <v>20.207130148493889</v>
      </c>
      <c r="I112" s="900">
        <f>I111-I110</f>
        <v>-435.83925894721324</v>
      </c>
      <c r="J112" s="900">
        <f>J111-J110</f>
        <v>-1490.0964604464352</v>
      </c>
      <c r="K112" s="900">
        <f>K111-K110</f>
        <v>-4242.0921432506884</v>
      </c>
    </row>
    <row r="113" spans="6:11" ht="20.25" hidden="1" x14ac:dyDescent="0.3">
      <c r="F113" s="67" t="s">
        <v>541</v>
      </c>
      <c r="G113" s="67"/>
      <c r="H113" s="901">
        <f>H106/(H111*H72)</f>
        <v>1.0446497169807178</v>
      </c>
      <c r="I113" s="901">
        <f t="shared" ref="I113:K113" si="7">I106/(I111*I72)</f>
        <v>1.0528094685054794</v>
      </c>
      <c r="J113" s="901">
        <f t="shared" si="7"/>
        <v>1.1267956473214289</v>
      </c>
      <c r="K113" s="901">
        <f t="shared" si="7"/>
        <v>1.2849557522123893</v>
      </c>
    </row>
    <row r="114" spans="6:11" ht="20.25" hidden="1" x14ac:dyDescent="0.3">
      <c r="F114" s="67" t="s">
        <v>542</v>
      </c>
      <c r="G114" s="67"/>
      <c r="H114" s="901">
        <f>H107/H111</f>
        <v>6.2986385787495296</v>
      </c>
      <c r="I114" s="901">
        <f>I107/I111</f>
        <v>11.837757147344671</v>
      </c>
      <c r="J114" s="901">
        <f>J107/J111</f>
        <v>14.618809267942298</v>
      </c>
      <c r="K114" s="901">
        <f>K107/K111</f>
        <v>18.743012408921185</v>
      </c>
    </row>
    <row r="115" spans="6:11" ht="20.25" x14ac:dyDescent="0.25">
      <c r="F115" s="67" t="s">
        <v>543</v>
      </c>
      <c r="G115" s="322">
        <f>G28+G32+G34+G28*0.21</f>
        <v>216908.68</v>
      </c>
      <c r="H115" s="322">
        <f t="shared" ref="H115:K115" si="8">H28+H32+H34+H28*0.21</f>
        <v>237890.76750000002</v>
      </c>
      <c r="I115" s="322">
        <f t="shared" si="8"/>
        <v>188101.25650000002</v>
      </c>
      <c r="J115" s="322">
        <f t="shared" si="8"/>
        <v>232210.04700000002</v>
      </c>
      <c r="K115" s="322">
        <f t="shared" si="8"/>
        <v>292430</v>
      </c>
    </row>
    <row r="116" spans="6:11" ht="20.25" x14ac:dyDescent="0.25">
      <c r="F116" s="67" t="s">
        <v>528</v>
      </c>
      <c r="G116" s="322">
        <f>G47-G115-G117</f>
        <v>105684.32</v>
      </c>
      <c r="H116" s="322">
        <f t="shared" ref="H116:K116" si="9">H47-H115-H117</f>
        <v>113098.97250000009</v>
      </c>
      <c r="I116" s="322">
        <f t="shared" si="9"/>
        <v>124320.71349999995</v>
      </c>
      <c r="J116" s="322">
        <f t="shared" si="9"/>
        <v>141209.50709999993</v>
      </c>
      <c r="K116" s="322">
        <f t="shared" si="9"/>
        <v>149051.38</v>
      </c>
    </row>
    <row r="117" spans="6:11" ht="20.25" x14ac:dyDescent="0.25">
      <c r="F117" s="67" t="s">
        <v>125</v>
      </c>
      <c r="G117" s="322">
        <f>G36</f>
        <v>25080</v>
      </c>
      <c r="H117" s="322">
        <f t="shared" ref="H117:K117" si="10">H36</f>
        <v>24029.68</v>
      </c>
      <c r="I117" s="322">
        <f t="shared" si="10"/>
        <v>31769</v>
      </c>
      <c r="J117" s="322">
        <f t="shared" si="10"/>
        <v>30384</v>
      </c>
      <c r="K117" s="322">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17"/>
  <sheetViews>
    <sheetView tabSelected="1" topLeftCell="A27" zoomScaleNormal="100" workbookViewId="0">
      <selection activeCell="H75" sqref="H75"/>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1008" t="s">
        <v>171</v>
      </c>
      <c r="B1" s="1008"/>
      <c r="C1" s="1008"/>
      <c r="D1" s="1008"/>
      <c r="E1" s="1008"/>
      <c r="F1" s="1008"/>
      <c r="G1" s="1008"/>
      <c r="H1" s="1008"/>
    </row>
    <row r="2" spans="1:8" ht="23.25" x14ac:dyDescent="0.2">
      <c r="A2" s="1008" t="s">
        <v>172</v>
      </c>
      <c r="B2" s="1008"/>
      <c r="C2" s="1008"/>
      <c r="D2" s="1008"/>
      <c r="E2" s="1008"/>
      <c r="F2" s="1008"/>
      <c r="G2" s="1008"/>
      <c r="H2" s="1008"/>
    </row>
    <row r="3" spans="1:8" ht="23.25" x14ac:dyDescent="0.2">
      <c r="A3" s="1009">
        <v>45013</v>
      </c>
      <c r="B3" s="1009"/>
      <c r="C3" s="1009"/>
      <c r="D3" s="1009"/>
      <c r="E3" s="1009"/>
      <c r="F3" s="1009"/>
      <c r="G3" s="1009"/>
      <c r="H3" s="1009"/>
    </row>
    <row r="4" spans="1:8" ht="21.75" customHeight="1" x14ac:dyDescent="0.2">
      <c r="A4" s="1011" t="s">
        <v>182</v>
      </c>
      <c r="B4" s="1011"/>
      <c r="C4" s="1011"/>
      <c r="D4" s="1011"/>
      <c r="E4" s="1011"/>
      <c r="F4" s="1011"/>
      <c r="G4" s="1011"/>
      <c r="H4" s="1011"/>
    </row>
    <row r="5" spans="1:8" ht="83.25" customHeight="1" x14ac:dyDescent="0.2">
      <c r="A5" s="981" t="s">
        <v>621</v>
      </c>
      <c r="B5" s="981"/>
      <c r="C5" s="981"/>
      <c r="D5" s="981"/>
      <c r="E5" s="981"/>
      <c r="F5" s="981"/>
      <c r="G5" s="981"/>
      <c r="H5" s="981"/>
    </row>
    <row r="6" spans="1:8" ht="81" customHeight="1" x14ac:dyDescent="0.2">
      <c r="A6" s="475"/>
      <c r="B6" s="475"/>
      <c r="C6" s="475"/>
      <c r="D6" s="475"/>
      <c r="E6" s="475"/>
      <c r="F6" s="475"/>
      <c r="G6" s="475"/>
      <c r="H6" s="475"/>
    </row>
    <row r="7" spans="1:8" ht="81" customHeight="1" x14ac:dyDescent="0.2">
      <c r="A7" s="475"/>
      <c r="B7" s="475"/>
      <c r="C7" s="475"/>
      <c r="D7" s="475"/>
      <c r="E7" s="475"/>
      <c r="F7" s="475"/>
      <c r="G7" s="475"/>
      <c r="H7" s="475"/>
    </row>
    <row r="8" spans="1:8" ht="81" customHeight="1" x14ac:dyDescent="0.2">
      <c r="A8" s="475"/>
      <c r="B8" s="475"/>
      <c r="C8" s="475"/>
      <c r="D8" s="475"/>
      <c r="E8" s="475"/>
      <c r="F8" s="475"/>
      <c r="G8" s="475"/>
      <c r="H8" s="475"/>
    </row>
    <row r="9" spans="1:8" ht="53.25" customHeight="1" x14ac:dyDescent="0.25">
      <c r="A9" s="982" t="s">
        <v>622</v>
      </c>
      <c r="B9" s="982"/>
      <c r="C9" s="982"/>
      <c r="D9" s="982"/>
      <c r="E9" s="982"/>
      <c r="F9" s="982"/>
      <c r="G9" s="982"/>
      <c r="H9" s="982"/>
    </row>
    <row r="10" spans="1:8" ht="15.75" x14ac:dyDescent="0.25">
      <c r="A10" s="446"/>
      <c r="B10" s="991"/>
      <c r="C10" s="991"/>
      <c r="D10" s="437"/>
      <c r="E10" s="443" t="s">
        <v>49</v>
      </c>
      <c r="F10" s="443" t="s">
        <v>357</v>
      </c>
      <c r="G10" s="438"/>
      <c r="H10" s="446"/>
    </row>
    <row r="11" spans="1:8" ht="15.75" customHeight="1" x14ac:dyDescent="0.25">
      <c r="A11" s="446"/>
      <c r="C11" s="1010" t="s">
        <v>376</v>
      </c>
      <c r="D11" s="1010"/>
      <c r="E11" s="473">
        <f>'February''23 AR Aging '!G8</f>
        <v>23401.39</v>
      </c>
      <c r="F11" s="671">
        <f>E11/E$18</f>
        <v>5.8726590530909804E-2</v>
      </c>
      <c r="G11" s="439"/>
      <c r="H11" s="446"/>
    </row>
    <row r="12" spans="1:8" ht="15.75" customHeight="1" x14ac:dyDescent="0.25">
      <c r="A12" s="446"/>
      <c r="C12" s="1010" t="s">
        <v>374</v>
      </c>
      <c r="D12" s="1010"/>
      <c r="E12" s="476">
        <f>'February''23 AR Aging '!G32</f>
        <v>134923.12</v>
      </c>
      <c r="F12" s="671">
        <f t="shared" ref="F12:F17" si="0">E12/E$18</f>
        <v>0.33859419553252207</v>
      </c>
      <c r="G12" s="439"/>
      <c r="H12" s="446"/>
    </row>
    <row r="13" spans="1:8" ht="15.75" customHeight="1" x14ac:dyDescent="0.25">
      <c r="A13" s="446"/>
      <c r="C13" s="1010" t="s">
        <v>375</v>
      </c>
      <c r="D13" s="1010"/>
      <c r="E13" s="476">
        <f>'February''23 AR Aging '!G14</f>
        <v>109099.17</v>
      </c>
      <c r="F13" s="671">
        <f t="shared" si="0"/>
        <v>0.27378810762318473</v>
      </c>
      <c r="G13" s="439"/>
      <c r="H13" s="446"/>
    </row>
    <row r="14" spans="1:8" ht="15.75" customHeight="1" x14ac:dyDescent="0.25">
      <c r="A14" s="446"/>
      <c r="C14" s="991" t="s">
        <v>44</v>
      </c>
      <c r="D14" s="991"/>
      <c r="E14" s="476">
        <f>'February''23 AR Aging '!G43</f>
        <v>19007</v>
      </c>
      <c r="F14" s="671">
        <f t="shared" si="0"/>
        <v>4.7698718162510971E-2</v>
      </c>
      <c r="G14" s="439"/>
      <c r="H14" s="446"/>
    </row>
    <row r="15" spans="1:8" ht="15.75" customHeight="1" x14ac:dyDescent="0.25">
      <c r="A15" s="446"/>
      <c r="C15" s="991" t="s">
        <v>435</v>
      </c>
      <c r="D15" s="991"/>
      <c r="E15" s="476">
        <f>'February''23 AR Aging '!G51+'February''23 AR Aging '!G56+'February''23 AR Aging '!G58+'February''23 AR Aging '!G39+'February''23 AR Aging '!G40+'February''23 AR Aging '!G71+'February''23 AR Aging '!G67</f>
        <v>101052.93</v>
      </c>
      <c r="F15" s="671">
        <f t="shared" si="0"/>
        <v>0.25359579247466457</v>
      </c>
      <c r="G15" s="439"/>
      <c r="H15" s="446"/>
    </row>
    <row r="16" spans="1:8" ht="15.75" customHeight="1" x14ac:dyDescent="0.25">
      <c r="A16" s="659"/>
      <c r="C16" s="991" t="s">
        <v>335</v>
      </c>
      <c r="D16" s="991"/>
      <c r="E16" s="476">
        <f>'February''23 AR Aging '!G65+'February''23 AR Aging '!G41</f>
        <v>6109.35</v>
      </c>
      <c r="F16" s="671">
        <f t="shared" si="0"/>
        <v>1.5331623286480583E-2</v>
      </c>
      <c r="G16" s="439"/>
      <c r="H16" s="659"/>
    </row>
    <row r="17" spans="1:13" ht="15.75" customHeight="1" x14ac:dyDescent="0.25">
      <c r="A17" s="446"/>
      <c r="C17" s="991" t="s">
        <v>347</v>
      </c>
      <c r="D17" s="991"/>
      <c r="E17" s="476">
        <f>'February''23 AR Aging '!G60+'February''23 AR Aging '!G42+'February''23 AR Aging '!G62+'February''23 AR Aging '!G64</f>
        <v>4887.3500000000004</v>
      </c>
      <c r="F17" s="671">
        <f t="shared" si="0"/>
        <v>1.2264972389727364E-2</v>
      </c>
      <c r="G17" s="439"/>
      <c r="H17" s="446"/>
    </row>
    <row r="18" spans="1:13" ht="16.5" customHeight="1" thickBot="1" x14ac:dyDescent="0.3">
      <c r="A18" s="446"/>
      <c r="B18" s="991" t="s">
        <v>623</v>
      </c>
      <c r="C18" s="991"/>
      <c r="D18" s="991"/>
      <c r="E18" s="444">
        <f>SUM(E11:E17)</f>
        <v>398480.30999999994</v>
      </c>
      <c r="F18" s="672">
        <f>SUM(F11:F17)</f>
        <v>1</v>
      </c>
      <c r="G18" s="663"/>
      <c r="H18" s="446"/>
    </row>
    <row r="19" spans="1:13" ht="38.25" customHeight="1" thickTop="1" x14ac:dyDescent="0.2">
      <c r="A19" s="543"/>
      <c r="B19" s="543"/>
      <c r="C19" s="543"/>
      <c r="D19" s="543"/>
      <c r="E19" s="543"/>
      <c r="F19" s="543"/>
      <c r="G19" s="543"/>
      <c r="H19" s="543"/>
    </row>
    <row r="20" spans="1:13" ht="88.5" customHeight="1" x14ac:dyDescent="0.2">
      <c r="A20" s="543"/>
      <c r="B20" s="543"/>
      <c r="C20" s="543"/>
      <c r="D20" s="543"/>
      <c r="E20" s="543"/>
      <c r="F20" s="543"/>
      <c r="G20" s="543"/>
      <c r="H20" s="543"/>
    </row>
    <row r="21" spans="1:13" ht="88.5" customHeight="1" x14ac:dyDescent="0.2">
      <c r="A21" s="543"/>
      <c r="B21" s="543"/>
      <c r="C21" s="543"/>
      <c r="D21" s="543"/>
      <c r="E21" s="543"/>
      <c r="F21" s="543"/>
      <c r="G21" s="543"/>
      <c r="H21" s="543"/>
    </row>
    <row r="22" spans="1:13" ht="88.5" customHeight="1" x14ac:dyDescent="0.2">
      <c r="A22" s="543"/>
      <c r="B22" s="543"/>
      <c r="C22" s="543"/>
      <c r="D22" s="543"/>
      <c r="E22" s="543"/>
      <c r="F22" s="543"/>
      <c r="G22" s="543"/>
      <c r="H22" s="543"/>
    </row>
    <row r="23" spans="1:13" ht="35.25" hidden="1" customHeight="1" x14ac:dyDescent="0.2">
      <c r="A23" s="981" t="s">
        <v>277</v>
      </c>
      <c r="B23" s="981"/>
      <c r="C23" s="981"/>
      <c r="D23" s="981"/>
      <c r="E23" s="981"/>
      <c r="F23" s="981"/>
      <c r="G23" s="981"/>
      <c r="H23" s="981"/>
    </row>
    <row r="24" spans="1:13" ht="15" customHeight="1" x14ac:dyDescent="0.2">
      <c r="A24" s="543"/>
      <c r="B24" s="543"/>
      <c r="C24" s="543"/>
      <c r="D24" s="543"/>
      <c r="E24" s="543"/>
      <c r="F24" s="543"/>
      <c r="G24" s="543"/>
      <c r="H24" s="543"/>
    </row>
    <row r="25" spans="1:13" ht="55.5" customHeight="1" x14ac:dyDescent="0.2">
      <c r="A25" s="981" t="s">
        <v>624</v>
      </c>
      <c r="B25" s="981"/>
      <c r="C25" s="981"/>
      <c r="D25" s="981"/>
      <c r="E25" s="981"/>
      <c r="F25" s="981"/>
      <c r="G25" s="981"/>
      <c r="H25" s="981"/>
      <c r="L25" s="696"/>
    </row>
    <row r="26" spans="1:13" ht="38.25" customHeight="1" x14ac:dyDescent="0.2">
      <c r="A26" s="664"/>
      <c r="B26" s="664"/>
      <c r="C26" s="664"/>
      <c r="D26" s="664"/>
      <c r="E26" s="664"/>
      <c r="F26" s="664"/>
      <c r="G26" s="664"/>
      <c r="H26" s="664"/>
      <c r="L26" s="703"/>
    </row>
    <row r="27" spans="1:13" ht="38.25" customHeight="1" x14ac:dyDescent="0.2">
      <c r="A27" s="664"/>
      <c r="B27" s="664"/>
      <c r="C27" s="664"/>
      <c r="D27" s="664"/>
      <c r="E27" s="664"/>
      <c r="F27" s="664"/>
      <c r="G27" s="664"/>
      <c r="H27" s="664"/>
      <c r="J27" s="696"/>
      <c r="L27" s="703"/>
      <c r="M27" s="703"/>
    </row>
    <row r="28" spans="1:13" ht="38.25" customHeight="1" x14ac:dyDescent="0.2">
      <c r="A28" s="664"/>
      <c r="B28" s="664"/>
      <c r="C28" s="664"/>
      <c r="D28" s="664"/>
      <c r="E28" s="664"/>
      <c r="F28" s="664"/>
      <c r="G28" s="664"/>
      <c r="H28" s="664"/>
      <c r="J28" s="696"/>
      <c r="L28" s="703"/>
    </row>
    <row r="29" spans="1:13" ht="38.25" customHeight="1" x14ac:dyDescent="0.2">
      <c r="A29" s="664"/>
      <c r="B29" s="664"/>
      <c r="C29" s="664"/>
      <c r="D29" s="664"/>
      <c r="E29" s="664"/>
      <c r="F29" s="664"/>
      <c r="G29" s="664"/>
      <c r="H29" s="664"/>
    </row>
    <row r="30" spans="1:13" ht="38.25" customHeight="1" x14ac:dyDescent="0.2">
      <c r="A30" s="664"/>
      <c r="B30" s="664"/>
      <c r="C30" s="664"/>
      <c r="D30" s="664"/>
      <c r="E30" s="664"/>
      <c r="F30" s="664"/>
      <c r="G30" s="664"/>
      <c r="H30" s="664"/>
      <c r="J30" s="703"/>
    </row>
    <row r="31" spans="1:13" ht="38.25" customHeight="1" x14ac:dyDescent="0.2">
      <c r="A31" s="664"/>
      <c r="B31" s="664"/>
      <c r="C31" s="664"/>
      <c r="D31" s="664"/>
      <c r="E31" s="664"/>
      <c r="F31" s="664"/>
      <c r="G31" s="664"/>
      <c r="H31" s="664"/>
      <c r="J31" s="703"/>
    </row>
    <row r="32" spans="1:13" ht="38.25" customHeight="1" x14ac:dyDescent="0.2">
      <c r="A32" s="664"/>
      <c r="B32" s="664"/>
      <c r="C32" s="664"/>
      <c r="D32" s="664"/>
      <c r="E32" s="664"/>
      <c r="F32" s="664"/>
      <c r="G32" s="664"/>
      <c r="H32" s="664"/>
    </row>
    <row r="33" spans="1:12" ht="21.75" customHeight="1" x14ac:dyDescent="0.2">
      <c r="A33" s="664"/>
      <c r="B33" s="664"/>
      <c r="C33" s="664"/>
      <c r="D33" s="664"/>
      <c r="E33" s="664"/>
      <c r="F33" s="664"/>
      <c r="G33" s="664"/>
      <c r="H33" s="664"/>
    </row>
    <row r="34" spans="1:12" ht="30" hidden="1" customHeight="1" x14ac:dyDescent="0.25">
      <c r="A34" s="475"/>
      <c r="B34" s="613" t="s">
        <v>300</v>
      </c>
      <c r="C34" s="614" t="s">
        <v>337</v>
      </c>
      <c r="D34" s="613" t="s">
        <v>239</v>
      </c>
      <c r="E34" s="615" t="s">
        <v>365</v>
      </c>
      <c r="F34" s="615" t="s">
        <v>371</v>
      </c>
      <c r="G34" s="615" t="s">
        <v>394</v>
      </c>
      <c r="H34" s="615" t="s">
        <v>301</v>
      </c>
      <c r="I34" s="592"/>
      <c r="J34" s="593"/>
      <c r="K34" s="592"/>
    </row>
    <row r="35" spans="1:12" ht="15" hidden="1" x14ac:dyDescent="0.2">
      <c r="A35" s="475"/>
      <c r="B35" s="43" t="s">
        <v>368</v>
      </c>
      <c r="C35" s="586">
        <v>-20</v>
      </c>
      <c r="D35" s="586">
        <v>71.92</v>
      </c>
      <c r="E35" s="586">
        <f>10762-10528</f>
        <v>234</v>
      </c>
      <c r="F35" s="586">
        <v>-190</v>
      </c>
      <c r="G35" s="597">
        <v>95.95</v>
      </c>
      <c r="H35" s="692">
        <f>G35/G$45</f>
        <v>5.2028752623263139E-4</v>
      </c>
      <c r="I35" s="93"/>
      <c r="J35" s="682"/>
      <c r="K35" s="18"/>
    </row>
    <row r="36" spans="1:12" ht="15" hidden="1" x14ac:dyDescent="0.2">
      <c r="A36" s="475"/>
      <c r="B36" s="43" t="s">
        <v>240</v>
      </c>
      <c r="C36" s="603">
        <v>38489.56</v>
      </c>
      <c r="D36" s="603">
        <v>1957.5</v>
      </c>
      <c r="E36" s="603"/>
      <c r="F36" s="603">
        <v>3786.43</v>
      </c>
      <c r="G36" s="603">
        <f>C36+D36+F36+E36</f>
        <v>44233.49</v>
      </c>
      <c r="H36" s="692">
        <f>G36/G$45</f>
        <v>0.2398554777356523</v>
      </c>
      <c r="I36" s="594"/>
      <c r="J36" s="682"/>
      <c r="K36" s="683"/>
    </row>
    <row r="37" spans="1:12" ht="15" hidden="1" x14ac:dyDescent="0.25">
      <c r="A37" s="475"/>
      <c r="B37" s="43" t="s">
        <v>241</v>
      </c>
      <c r="C37" s="603">
        <v>14903.11</v>
      </c>
      <c r="D37" s="603">
        <v>192.85</v>
      </c>
      <c r="E37" s="603">
        <v>-15478.91</v>
      </c>
      <c r="F37" s="603">
        <v>382.95</v>
      </c>
      <c r="G37" s="603">
        <f t="shared" ref="G37:G44" si="1">C37+D37+F37+E37</f>
        <v>0</v>
      </c>
      <c r="H37" s="692"/>
      <c r="I37" s="595"/>
      <c r="J37" s="682"/>
      <c r="K37" s="683"/>
      <c r="L37" s="495"/>
    </row>
    <row r="38" spans="1:12" ht="15" hidden="1" x14ac:dyDescent="0.2">
      <c r="A38" s="475"/>
      <c r="B38" s="43" t="s">
        <v>242</v>
      </c>
      <c r="C38" s="603">
        <v>44091.09</v>
      </c>
      <c r="D38" s="603">
        <f>3207.47-14</f>
        <v>3193.47</v>
      </c>
      <c r="E38" s="603"/>
      <c r="F38" s="603">
        <f>10544.9+14</f>
        <v>10558.9</v>
      </c>
      <c r="G38" s="603">
        <f t="shared" si="1"/>
        <v>57843.46</v>
      </c>
      <c r="H38" s="692">
        <f>G38/G$45</f>
        <v>0.31365534874555673</v>
      </c>
      <c r="I38" s="594"/>
      <c r="J38" s="682"/>
      <c r="K38" s="683"/>
      <c r="L38" s="495"/>
    </row>
    <row r="39" spans="1:12" ht="15" hidden="1" x14ac:dyDescent="0.25">
      <c r="A39" s="475"/>
      <c r="B39" s="43" t="s">
        <v>243</v>
      </c>
      <c r="C39" s="603">
        <v>21132.04</v>
      </c>
      <c r="D39" s="603">
        <v>549.69000000000005</v>
      </c>
      <c r="E39" s="603"/>
      <c r="F39" s="603">
        <v>-212.79</v>
      </c>
      <c r="G39" s="603">
        <f t="shared" si="1"/>
        <v>21468.94</v>
      </c>
      <c r="H39" s="692">
        <f>G39/G$45</f>
        <v>0.11641502536150901</v>
      </c>
      <c r="I39" s="595"/>
      <c r="J39" s="682"/>
      <c r="K39" s="683"/>
      <c r="L39" s="495"/>
    </row>
    <row r="40" spans="1:12" ht="15" hidden="1" x14ac:dyDescent="0.25">
      <c r="A40" s="475"/>
      <c r="B40" s="43" t="s">
        <v>244</v>
      </c>
      <c r="C40" s="603">
        <v>21091.57</v>
      </c>
      <c r="D40" s="603">
        <v>438.93</v>
      </c>
      <c r="E40" s="603">
        <v>-22513.11</v>
      </c>
      <c r="F40" s="603">
        <v>982.61</v>
      </c>
      <c r="G40" s="603">
        <f t="shared" si="1"/>
        <v>0</v>
      </c>
      <c r="H40" s="692"/>
      <c r="I40" s="595"/>
      <c r="J40" s="682"/>
      <c r="K40" s="683"/>
      <c r="L40" s="495"/>
    </row>
    <row r="41" spans="1:12" ht="15" hidden="1" x14ac:dyDescent="0.25">
      <c r="A41" s="475"/>
      <c r="B41" s="43" t="s">
        <v>245</v>
      </c>
      <c r="C41" s="603">
        <v>19933.830000000002</v>
      </c>
      <c r="D41" s="603">
        <v>860.03</v>
      </c>
      <c r="E41" s="603">
        <v>-10770</v>
      </c>
      <c r="F41" s="603">
        <v>-375.6</v>
      </c>
      <c r="G41" s="603">
        <f t="shared" si="1"/>
        <v>9648.260000000002</v>
      </c>
      <c r="H41" s="692">
        <f>G41/G$45</f>
        <v>5.2317554224588322E-2</v>
      </c>
      <c r="I41" s="595"/>
      <c r="J41" s="682"/>
      <c r="K41" s="683"/>
      <c r="L41" s="495"/>
    </row>
    <row r="42" spans="1:12" ht="15" hidden="1" x14ac:dyDescent="0.25">
      <c r="A42" s="687"/>
      <c r="B42" s="43" t="s">
        <v>366</v>
      </c>
      <c r="C42" s="603"/>
      <c r="D42" s="603">
        <v>140.21</v>
      </c>
      <c r="E42" s="603">
        <v>15482.91</v>
      </c>
      <c r="F42" s="603">
        <v>64.31</v>
      </c>
      <c r="G42" s="603">
        <f t="shared" si="1"/>
        <v>15687.43</v>
      </c>
      <c r="H42" s="692">
        <f>G42/G$45</f>
        <v>8.5064868657087747E-2</v>
      </c>
      <c r="I42" s="595"/>
      <c r="J42" s="682"/>
      <c r="K42" s="683"/>
      <c r="L42" s="495"/>
    </row>
    <row r="43" spans="1:12" ht="15" hidden="1" x14ac:dyDescent="0.25">
      <c r="A43" s="687"/>
      <c r="B43" s="43" t="s">
        <v>367</v>
      </c>
      <c r="C43" s="603"/>
      <c r="D43" s="603">
        <v>512.02</v>
      </c>
      <c r="E43" s="603">
        <v>22517.11</v>
      </c>
      <c r="F43" s="603">
        <v>817.76</v>
      </c>
      <c r="G43" s="603">
        <f t="shared" si="1"/>
        <v>23846.89</v>
      </c>
      <c r="H43" s="692">
        <f>G43/G$45</f>
        <v>0.12930942580971</v>
      </c>
      <c r="I43" s="595"/>
      <c r="J43" s="682"/>
      <c r="K43" s="683"/>
      <c r="L43" s="495"/>
    </row>
    <row r="44" spans="1:12" ht="17.25" hidden="1" customHeight="1" x14ac:dyDescent="0.2">
      <c r="A44" s="475"/>
      <c r="B44" s="43" t="s">
        <v>387</v>
      </c>
      <c r="C44" s="586"/>
      <c r="D44" s="520">
        <v>81.599999999999994</v>
      </c>
      <c r="E44" s="697">
        <v>10528</v>
      </c>
      <c r="F44" s="586">
        <v>983.24</v>
      </c>
      <c r="G44" s="586">
        <f t="shared" si="1"/>
        <v>11592.84</v>
      </c>
      <c r="H44" s="692">
        <f>G44/G$45</f>
        <v>6.2862011939663356E-2</v>
      </c>
      <c r="I44" s="594"/>
      <c r="J44" s="682"/>
      <c r="K44" s="683"/>
      <c r="L44" s="495"/>
    </row>
    <row r="45" spans="1:12" ht="15" hidden="1" x14ac:dyDescent="0.25">
      <c r="A45" s="475"/>
      <c r="B45" s="587" t="s">
        <v>257</v>
      </c>
      <c r="C45" s="588">
        <f>SUM(C35:C44)</f>
        <v>159621.20000000001</v>
      </c>
      <c r="D45" s="589">
        <f>SUM(D36:D44)</f>
        <v>7926.3000000000011</v>
      </c>
      <c r="E45" s="588">
        <f>SUM(E35:E44)</f>
        <v>0</v>
      </c>
      <c r="F45" s="588">
        <f>SUM(F35:F44)+72</f>
        <v>16869.809999999998</v>
      </c>
      <c r="G45" s="588">
        <f>SUM(G35:G44)</f>
        <v>184417.25999999998</v>
      </c>
      <c r="H45" s="693">
        <f>SUM(H35:H44)</f>
        <v>1.0000000000000002</v>
      </c>
      <c r="I45" s="596"/>
      <c r="J45" s="682"/>
      <c r="K45" s="683"/>
    </row>
    <row r="46" spans="1:12" ht="15" hidden="1" x14ac:dyDescent="0.2">
      <c r="A46" s="483"/>
      <c r="B46" s="684"/>
      <c r="C46" s="685"/>
      <c r="D46" s="685"/>
      <c r="E46" s="685"/>
      <c r="F46" s="685"/>
      <c r="G46" s="686"/>
      <c r="I46" s="1"/>
      <c r="J46" s="682"/>
      <c r="K46" s="683"/>
    </row>
    <row r="47" spans="1:12" ht="15" hidden="1" x14ac:dyDescent="0.2">
      <c r="A47" s="664"/>
      <c r="B47" s="18"/>
      <c r="C47" s="521"/>
      <c r="D47" s="521"/>
      <c r="E47" s="521"/>
      <c r="F47" s="521"/>
      <c r="G47" s="681"/>
      <c r="I47" s="1"/>
      <c r="J47" s="682"/>
      <c r="K47" s="683"/>
    </row>
    <row r="48" spans="1:12" ht="15" hidden="1" x14ac:dyDescent="0.2">
      <c r="A48" s="664"/>
      <c r="B48" s="1000" t="s">
        <v>362</v>
      </c>
      <c r="C48" s="1000"/>
      <c r="D48" s="1000"/>
      <c r="E48" s="1000"/>
      <c r="F48" s="664"/>
      <c r="G48" s="664"/>
      <c r="H48" s="664"/>
      <c r="J48" s="682"/>
      <c r="K48" s="683"/>
    </row>
    <row r="49" spans="1:11" ht="47.25" hidden="1" customHeight="1" x14ac:dyDescent="0.2">
      <c r="A49" s="475"/>
      <c r="B49" s="1001" t="s">
        <v>254</v>
      </c>
      <c r="C49" s="1002"/>
      <c r="D49" s="1002"/>
      <c r="E49" s="1002"/>
      <c r="F49" s="1002"/>
      <c r="G49" s="1002"/>
      <c r="H49" s="496"/>
      <c r="J49" s="682"/>
      <c r="K49" s="683"/>
    </row>
    <row r="50" spans="1:11" ht="47.25" hidden="1" customHeight="1" x14ac:dyDescent="0.2">
      <c r="A50" s="475"/>
      <c r="B50" s="1001" t="s">
        <v>256</v>
      </c>
      <c r="C50" s="1002"/>
      <c r="D50" s="1002"/>
      <c r="E50" s="1002"/>
      <c r="F50" s="1002"/>
      <c r="G50" s="1002"/>
      <c r="H50" s="496"/>
      <c r="J50" s="682"/>
      <c r="K50" s="683"/>
    </row>
    <row r="51" spans="1:11" ht="42" hidden="1" customHeight="1" x14ac:dyDescent="0.2">
      <c r="A51" s="475"/>
      <c r="B51" s="1003" t="s">
        <v>253</v>
      </c>
      <c r="C51" s="1004"/>
      <c r="D51" s="1004"/>
      <c r="E51" s="1004"/>
      <c r="F51" s="1004"/>
      <c r="G51" s="1004"/>
      <c r="H51" s="496"/>
      <c r="J51" s="682"/>
      <c r="K51" s="683"/>
    </row>
    <row r="52" spans="1:11" ht="47.25" hidden="1" customHeight="1" x14ac:dyDescent="0.2">
      <c r="A52" s="475"/>
      <c r="B52" s="1001" t="s">
        <v>252</v>
      </c>
      <c r="C52" s="1002"/>
      <c r="D52" s="1002"/>
      <c r="E52" s="1002"/>
      <c r="F52" s="1002"/>
      <c r="G52" s="1002"/>
      <c r="H52" s="496"/>
      <c r="J52" s="682"/>
      <c r="K52" s="683"/>
    </row>
    <row r="53" spans="1:11" ht="47.25" hidden="1" customHeight="1" x14ac:dyDescent="0.2">
      <c r="A53" s="475"/>
      <c r="B53" s="1001" t="s">
        <v>251</v>
      </c>
      <c r="C53" s="1002"/>
      <c r="D53" s="1002"/>
      <c r="E53" s="1002"/>
      <c r="F53" s="1002"/>
      <c r="G53" s="1002"/>
      <c r="H53" s="496"/>
      <c r="J53" s="682"/>
      <c r="K53" s="683"/>
    </row>
    <row r="54" spans="1:11" ht="47.25" hidden="1" customHeight="1" x14ac:dyDescent="0.2">
      <c r="A54" s="475"/>
      <c r="B54" s="1001" t="s">
        <v>250</v>
      </c>
      <c r="C54" s="1002"/>
      <c r="D54" s="1002"/>
      <c r="E54" s="1002"/>
      <c r="F54" s="1002"/>
      <c r="G54" s="1002"/>
      <c r="H54" s="496"/>
      <c r="J54" s="682"/>
      <c r="K54" s="683"/>
    </row>
    <row r="55" spans="1:11" ht="46.5" hidden="1" customHeight="1" x14ac:dyDescent="0.2">
      <c r="A55" s="687"/>
      <c r="B55" s="1005" t="s">
        <v>369</v>
      </c>
      <c r="C55" s="1006"/>
      <c r="D55" s="1006"/>
      <c r="E55" s="1006"/>
      <c r="F55" s="1006"/>
      <c r="G55" s="1006"/>
      <c r="H55" s="496"/>
      <c r="J55" s="682"/>
      <c r="K55" s="691"/>
    </row>
    <row r="56" spans="1:11" ht="38.25" hidden="1" customHeight="1" x14ac:dyDescent="0.2">
      <c r="A56" s="687"/>
      <c r="B56" s="1005" t="s">
        <v>370</v>
      </c>
      <c r="C56" s="1006"/>
      <c r="D56" s="1006"/>
      <c r="E56" s="1006"/>
      <c r="F56" s="1006"/>
      <c r="G56" s="1006"/>
      <c r="H56" s="496"/>
      <c r="J56" s="682"/>
      <c r="K56" s="683"/>
    </row>
    <row r="57" spans="1:11" ht="93" hidden="1" customHeight="1" x14ac:dyDescent="0.2">
      <c r="A57" s="475"/>
      <c r="B57" s="1007" t="s">
        <v>386</v>
      </c>
      <c r="C57" s="1006"/>
      <c r="D57" s="1006"/>
      <c r="E57" s="1006"/>
      <c r="F57" s="1006"/>
      <c r="G57" s="1006"/>
      <c r="H57" s="475"/>
      <c r="J57" s="682"/>
      <c r="K57" s="683"/>
    </row>
    <row r="58" spans="1:11" ht="32.25" customHeight="1" x14ac:dyDescent="0.25">
      <c r="A58" s="982" t="s">
        <v>434</v>
      </c>
      <c r="B58" s="982"/>
      <c r="C58" s="982"/>
      <c r="D58" s="982"/>
      <c r="E58" s="982"/>
      <c r="F58" s="982"/>
      <c r="G58" s="982"/>
      <c r="H58" s="982"/>
      <c r="J58" s="682"/>
      <c r="K58" s="683"/>
    </row>
    <row r="59" spans="1:11" ht="16.5" customHeight="1" x14ac:dyDescent="0.25">
      <c r="A59" s="738"/>
      <c r="B59" s="679" t="s">
        <v>360</v>
      </c>
      <c r="C59" s="738"/>
      <c r="D59" s="738"/>
      <c r="E59" s="738"/>
      <c r="F59" s="738"/>
      <c r="G59" s="738"/>
      <c r="H59" s="738"/>
      <c r="J59" s="682"/>
      <c r="K59" s="683"/>
    </row>
    <row r="60" spans="1:11" ht="15" x14ac:dyDescent="0.25">
      <c r="A60" s="737"/>
      <c r="B60" s="736" t="s">
        <v>246</v>
      </c>
      <c r="C60" s="477" t="s">
        <v>247</v>
      </c>
      <c r="D60" s="736" t="s">
        <v>248</v>
      </c>
      <c r="E60" s="988" t="s">
        <v>24</v>
      </c>
      <c r="F60" s="989"/>
      <c r="G60" s="736" t="s">
        <v>249</v>
      </c>
      <c r="H60" s="737"/>
      <c r="J60" s="682"/>
      <c r="K60" s="683"/>
    </row>
    <row r="61" spans="1:11" ht="30" customHeight="1" x14ac:dyDescent="0.2">
      <c r="A61" s="598"/>
      <c r="B61" s="478">
        <v>44927</v>
      </c>
      <c r="C61" s="482" t="s">
        <v>499</v>
      </c>
      <c r="D61" s="602" t="s">
        <v>500</v>
      </c>
      <c r="E61" s="980" t="s">
        <v>625</v>
      </c>
      <c r="F61" s="980"/>
      <c r="G61" s="479">
        <v>25959</v>
      </c>
      <c r="H61" s="598"/>
    </row>
    <row r="62" spans="1:11" ht="30" customHeight="1" x14ac:dyDescent="0.2">
      <c r="A62" s="598"/>
      <c r="B62" s="478">
        <v>44927</v>
      </c>
      <c r="C62" s="482" t="s">
        <v>499</v>
      </c>
      <c r="D62" s="602" t="s">
        <v>500</v>
      </c>
      <c r="E62" s="980" t="s">
        <v>625</v>
      </c>
      <c r="F62" s="980"/>
      <c r="G62" s="479">
        <v>23259</v>
      </c>
      <c r="H62" s="598"/>
    </row>
    <row r="63" spans="1:11" ht="30" customHeight="1" x14ac:dyDescent="0.2">
      <c r="A63" s="598"/>
      <c r="B63" s="478">
        <v>44927</v>
      </c>
      <c r="C63" s="482" t="s">
        <v>499</v>
      </c>
      <c r="D63" s="602" t="s">
        <v>500</v>
      </c>
      <c r="E63" s="980" t="s">
        <v>625</v>
      </c>
      <c r="F63" s="980"/>
      <c r="G63" s="479">
        <v>23259</v>
      </c>
      <c r="H63" s="598"/>
    </row>
    <row r="64" spans="1:11" ht="30" customHeight="1" x14ac:dyDescent="0.2">
      <c r="A64" s="612"/>
      <c r="B64" s="478">
        <v>44927</v>
      </c>
      <c r="C64" s="482" t="s">
        <v>499</v>
      </c>
      <c r="D64" s="602" t="s">
        <v>500</v>
      </c>
      <c r="E64" s="980" t="s">
        <v>625</v>
      </c>
      <c r="F64" s="980"/>
      <c r="G64" s="479">
        <v>23459</v>
      </c>
      <c r="H64" s="620"/>
    </row>
    <row r="65" spans="1:8" ht="39" hidden="1" customHeight="1" x14ac:dyDescent="0.2">
      <c r="A65" s="612"/>
      <c r="B65" s="478"/>
      <c r="C65" s="482"/>
      <c r="D65" s="602"/>
      <c r="E65" s="980"/>
      <c r="F65" s="980"/>
      <c r="G65" s="479"/>
      <c r="H65" s="612"/>
    </row>
    <row r="66" spans="1:8" ht="30" hidden="1" customHeight="1" x14ac:dyDescent="0.2">
      <c r="A66" s="612"/>
      <c r="B66" s="478"/>
      <c r="C66" s="482"/>
      <c r="D66" s="602"/>
      <c r="E66" s="980"/>
      <c r="F66" s="980"/>
      <c r="G66" s="479"/>
      <c r="H66" s="612"/>
    </row>
    <row r="67" spans="1:8" ht="30" hidden="1" customHeight="1" x14ac:dyDescent="0.2">
      <c r="A67" s="598"/>
      <c r="B67" s="478"/>
      <c r="C67" s="482"/>
      <c r="D67" s="541"/>
      <c r="E67" s="980"/>
      <c r="F67" s="980"/>
      <c r="G67" s="479"/>
      <c r="H67" s="598"/>
    </row>
    <row r="68" spans="1:8" ht="15" x14ac:dyDescent="0.2">
      <c r="A68" s="598"/>
      <c r="B68" s="533"/>
      <c r="C68" s="534"/>
      <c r="D68" s="535"/>
      <c r="E68" s="536"/>
      <c r="F68" s="481" t="s">
        <v>345</v>
      </c>
      <c r="G68" s="789">
        <f>SUM(G61:G67)</f>
        <v>95936</v>
      </c>
      <c r="H68" s="598"/>
    </row>
    <row r="69" spans="1:8" ht="8.25" customHeight="1" x14ac:dyDescent="0.2">
      <c r="A69" s="664"/>
      <c r="B69" s="533"/>
      <c r="C69" s="534"/>
      <c r="D69" s="535"/>
      <c r="E69" s="536"/>
      <c r="F69" s="481"/>
      <c r="G69" s="790"/>
      <c r="H69" s="664"/>
    </row>
    <row r="70" spans="1:8" ht="21.75" customHeight="1" x14ac:dyDescent="0.2">
      <c r="A70" s="664"/>
      <c r="B70" s="983"/>
      <c r="C70" s="983"/>
      <c r="D70" s="983"/>
      <c r="E70" s="983"/>
      <c r="F70" s="983"/>
      <c r="G70" s="983"/>
      <c r="H70" s="598"/>
    </row>
    <row r="71" spans="1:8" ht="15" x14ac:dyDescent="0.2">
      <c r="A71" s="598"/>
      <c r="B71" s="537" t="s">
        <v>361</v>
      </c>
      <c r="C71" s="538" t="s">
        <v>273</v>
      </c>
      <c r="D71" s="539" t="s">
        <v>272</v>
      </c>
      <c r="E71" s="986" t="s">
        <v>24</v>
      </c>
      <c r="F71" s="987"/>
      <c r="G71" s="540" t="s">
        <v>633</v>
      </c>
      <c r="H71" s="598"/>
    </row>
    <row r="72" spans="1:8" ht="15" x14ac:dyDescent="0.2">
      <c r="A72" s="973"/>
      <c r="B72" s="478">
        <v>44958</v>
      </c>
      <c r="C72" s="602" t="s">
        <v>500</v>
      </c>
      <c r="D72" s="1046">
        <v>169208</v>
      </c>
      <c r="E72" s="1043" t="s">
        <v>628</v>
      </c>
      <c r="F72" s="1044"/>
      <c r="G72" s="1049">
        <v>2585</v>
      </c>
      <c r="H72" s="973"/>
    </row>
    <row r="73" spans="1:8" ht="15" x14ac:dyDescent="0.2">
      <c r="A73" s="973"/>
      <c r="B73" s="478">
        <v>44958</v>
      </c>
      <c r="C73" s="602" t="s">
        <v>500</v>
      </c>
      <c r="D73" s="1046">
        <v>189553</v>
      </c>
      <c r="E73" s="1043" t="s">
        <v>627</v>
      </c>
      <c r="F73" s="1044"/>
      <c r="G73" s="1049" t="s">
        <v>632</v>
      </c>
      <c r="H73" s="973"/>
    </row>
    <row r="74" spans="1:8" ht="15" x14ac:dyDescent="0.2">
      <c r="A74" s="973"/>
      <c r="B74" s="478">
        <v>44958</v>
      </c>
      <c r="C74" s="602" t="s">
        <v>500</v>
      </c>
      <c r="D74" s="1046">
        <v>196400</v>
      </c>
      <c r="E74" s="1043" t="s">
        <v>630</v>
      </c>
      <c r="F74" s="1044"/>
      <c r="G74" s="1049">
        <v>1585</v>
      </c>
      <c r="H74" s="973"/>
    </row>
    <row r="75" spans="1:8" ht="22.5" customHeight="1" x14ac:dyDescent="0.2">
      <c r="A75" s="973"/>
      <c r="B75" s="478">
        <v>44958</v>
      </c>
      <c r="C75" s="602" t="s">
        <v>500</v>
      </c>
      <c r="D75" s="1046">
        <v>138945</v>
      </c>
      <c r="E75" s="1043" t="s">
        <v>629</v>
      </c>
      <c r="F75" s="1044"/>
      <c r="G75" s="1049">
        <v>6285</v>
      </c>
      <c r="H75" s="973"/>
    </row>
    <row r="76" spans="1:8" ht="15" x14ac:dyDescent="0.2">
      <c r="A76" s="598"/>
      <c r="B76" s="478">
        <v>44927</v>
      </c>
      <c r="C76" s="602" t="s">
        <v>500</v>
      </c>
      <c r="D76" s="1046">
        <v>133109</v>
      </c>
      <c r="E76" s="1045" t="s">
        <v>631</v>
      </c>
      <c r="F76" s="1045"/>
      <c r="G76" s="1049">
        <v>7175</v>
      </c>
      <c r="H76" s="598"/>
    </row>
    <row r="77" spans="1:8" ht="15" x14ac:dyDescent="0.2">
      <c r="A77" s="598"/>
      <c r="B77" s="478">
        <v>44927</v>
      </c>
      <c r="C77" s="602" t="s">
        <v>500</v>
      </c>
      <c r="D77" s="1046">
        <v>116338</v>
      </c>
      <c r="E77" s="1045" t="s">
        <v>626</v>
      </c>
      <c r="F77" s="1045"/>
      <c r="G77" s="1049">
        <v>8675</v>
      </c>
      <c r="H77" s="598"/>
    </row>
    <row r="78" spans="1:8" ht="15" x14ac:dyDescent="0.2">
      <c r="A78" s="598"/>
      <c r="B78" s="480"/>
      <c r="C78" s="480"/>
      <c r="D78" s="1047"/>
      <c r="E78" s="480"/>
      <c r="F78" s="481" t="s">
        <v>346</v>
      </c>
      <c r="G78" s="1048">
        <f>SUM(G72:G77)</f>
        <v>26305</v>
      </c>
      <c r="H78" s="598"/>
    </row>
    <row r="79" spans="1:8" ht="11.25" customHeight="1" x14ac:dyDescent="0.2">
      <c r="A79" s="475"/>
      <c r="B79" s="475"/>
      <c r="C79" s="475"/>
      <c r="D79" s="475"/>
      <c r="E79" s="475"/>
      <c r="F79" s="475"/>
      <c r="G79" s="475"/>
      <c r="H79" s="475"/>
    </row>
    <row r="80" spans="1:8" ht="38.25" customHeight="1" x14ac:dyDescent="0.2">
      <c r="A80" s="981" t="s">
        <v>634</v>
      </c>
      <c r="B80" s="981"/>
      <c r="C80" s="981"/>
      <c r="D80" s="981"/>
      <c r="E80" s="981"/>
      <c r="F80" s="981"/>
      <c r="G80" s="981"/>
      <c r="H80" s="981"/>
    </row>
    <row r="81" spans="1:23" ht="15.75" hidden="1" customHeight="1" x14ac:dyDescent="0.2">
      <c r="A81" s="440"/>
      <c r="C81" s="984" t="s">
        <v>271</v>
      </c>
      <c r="D81" s="984"/>
      <c r="E81" s="484">
        <v>1823.85</v>
      </c>
      <c r="F81" s="990" t="s">
        <v>274</v>
      </c>
      <c r="G81" s="990"/>
      <c r="H81" s="440"/>
    </row>
    <row r="82" spans="1:23" ht="15.75" hidden="1" customHeight="1" x14ac:dyDescent="0.2">
      <c r="A82" s="440"/>
      <c r="C82" s="984"/>
      <c r="D82" s="984"/>
      <c r="E82" s="484"/>
      <c r="F82" s="990"/>
      <c r="G82" s="990"/>
      <c r="H82" s="440"/>
    </row>
    <row r="83" spans="1:23" ht="15.75" hidden="1" customHeight="1" x14ac:dyDescent="0.2">
      <c r="A83" s="440"/>
      <c r="C83" s="984"/>
      <c r="D83" s="984"/>
      <c r="E83" s="484"/>
      <c r="F83" s="990"/>
      <c r="G83" s="990"/>
      <c r="H83" s="440"/>
    </row>
    <row r="84" spans="1:23" ht="15.75" hidden="1" customHeight="1" x14ac:dyDescent="0.2">
      <c r="A84" s="440"/>
      <c r="C84" s="984" t="s">
        <v>233</v>
      </c>
      <c r="D84" s="984"/>
      <c r="E84" s="484">
        <f>1689.92+2978.07</f>
        <v>4667.99</v>
      </c>
      <c r="F84" s="990" t="s">
        <v>275</v>
      </c>
      <c r="G84" s="990"/>
      <c r="H84" s="440"/>
    </row>
    <row r="85" spans="1:23" ht="16.5" hidden="1" thickBot="1" x14ac:dyDescent="0.25">
      <c r="A85" s="440"/>
      <c r="B85" s="448"/>
      <c r="C85" s="994" t="s">
        <v>209</v>
      </c>
      <c r="D85" s="994"/>
      <c r="E85" s="445">
        <f>SUM(E81:E84)</f>
        <v>6491.84</v>
      </c>
      <c r="F85" s="448"/>
      <c r="G85" s="448"/>
      <c r="H85" s="440"/>
    </row>
    <row r="86" spans="1:23" ht="9.75" customHeight="1" x14ac:dyDescent="0.2">
      <c r="A86" s="440"/>
      <c r="B86" s="531"/>
      <c r="C86" s="532"/>
      <c r="D86" s="532"/>
      <c r="E86" s="542"/>
      <c r="F86" s="531"/>
      <c r="G86" s="531"/>
      <c r="H86" s="440"/>
    </row>
    <row r="87" spans="1:23" ht="33" customHeight="1" x14ac:dyDescent="0.25">
      <c r="A87" s="982" t="s">
        <v>498</v>
      </c>
      <c r="B87" s="982"/>
      <c r="C87" s="982"/>
      <c r="D87" s="982"/>
      <c r="E87" s="982"/>
      <c r="F87" s="982"/>
      <c r="G87" s="982"/>
      <c r="H87" s="982"/>
    </row>
    <row r="88" spans="1:23" ht="11.25" hidden="1" customHeight="1" x14ac:dyDescent="0.2">
      <c r="A88" s="665"/>
      <c r="B88" s="665"/>
      <c r="C88" s="665"/>
      <c r="D88" s="665"/>
      <c r="E88" s="665"/>
      <c r="F88" s="665"/>
      <c r="G88" s="665"/>
      <c r="H88" s="665"/>
    </row>
    <row r="89" spans="1:23" ht="47.25" hidden="1" customHeight="1" x14ac:dyDescent="0.2">
      <c r="A89" s="985" t="s">
        <v>396</v>
      </c>
      <c r="B89" s="985"/>
      <c r="C89" s="985"/>
      <c r="D89" s="985"/>
      <c r="E89" s="985"/>
      <c r="F89" s="985"/>
      <c r="G89" s="985"/>
      <c r="H89" s="985"/>
    </row>
    <row r="90" spans="1:23" ht="8.25" customHeight="1" x14ac:dyDescent="0.2">
      <c r="A90" s="440"/>
      <c r="B90" s="531"/>
      <c r="C90" s="532"/>
      <c r="D90" s="532"/>
      <c r="E90" s="542"/>
      <c r="F90" s="531"/>
      <c r="G90" s="531"/>
      <c r="H90" s="440"/>
    </row>
    <row r="91" spans="1:23" ht="97.5" customHeight="1" x14ac:dyDescent="0.2">
      <c r="A91" s="981" t="s">
        <v>635</v>
      </c>
      <c r="B91" s="981"/>
      <c r="C91" s="981"/>
      <c r="D91" s="981"/>
      <c r="E91" s="981"/>
      <c r="F91" s="981"/>
      <c r="G91" s="981"/>
      <c r="H91" s="981"/>
      <c r="V91" s="474"/>
      <c r="W91" s="473"/>
    </row>
    <row r="92" spans="1:23" ht="47.25" x14ac:dyDescent="0.2">
      <c r="A92" s="447"/>
      <c r="B92" s="996" t="s">
        <v>200</v>
      </c>
      <c r="C92" s="996"/>
      <c r="D92" s="450" t="s">
        <v>201</v>
      </c>
      <c r="E92" s="441" t="s">
        <v>202</v>
      </c>
      <c r="F92" s="450" t="s">
        <v>203</v>
      </c>
      <c r="G92" s="450" t="s">
        <v>637</v>
      </c>
      <c r="H92" s="447"/>
      <c r="V92" s="474"/>
      <c r="W92" s="473"/>
    </row>
    <row r="93" spans="1:23" ht="15.75" customHeight="1" x14ac:dyDescent="0.2">
      <c r="A93" s="447"/>
      <c r="B93" s="999" t="s">
        <v>11</v>
      </c>
      <c r="C93" s="999"/>
      <c r="D93" s="999"/>
      <c r="E93" s="449"/>
      <c r="F93" s="449"/>
      <c r="G93" s="449"/>
      <c r="H93" s="447"/>
      <c r="V93" s="474"/>
      <c r="W93" s="473"/>
    </row>
    <row r="94" spans="1:23" ht="15.75" customHeight="1" x14ac:dyDescent="0.2">
      <c r="A94" s="447"/>
      <c r="B94" s="997" t="s">
        <v>234</v>
      </c>
      <c r="C94" s="997"/>
      <c r="D94" s="739">
        <f>'February''23 Revenues &amp; Expenses'!G50</f>
        <v>3836.17</v>
      </c>
      <c r="E94" s="739"/>
      <c r="F94" s="739">
        <f>-'February''23 Revenues &amp; Expenses'!H48-'February''23 Revenues &amp; Expenses'!H49-'February''23 Revenues &amp; Expenses'!H50</f>
        <v>-725.01</v>
      </c>
      <c r="G94" s="739">
        <f>'February''23 Revenues &amp; Expenses'!K48+'February''23 Revenues &amp; Expenses'!K49+'February''23 Revenues &amp; Expenses'!K50</f>
        <v>3111.16</v>
      </c>
      <c r="H94" s="748"/>
      <c r="I94" s="902"/>
      <c r="V94" s="474"/>
      <c r="W94" s="473"/>
    </row>
    <row r="95" spans="1:23" ht="15.75" customHeight="1" x14ac:dyDescent="0.2">
      <c r="A95" s="447"/>
      <c r="B95" s="997" t="s">
        <v>235</v>
      </c>
      <c r="C95" s="997"/>
      <c r="D95" s="739">
        <v>27500</v>
      </c>
      <c r="E95" s="820"/>
      <c r="F95" s="739">
        <f>-'February''23 Revenues &amp; Expenses'!H47</f>
        <v>-4521.3500000000004</v>
      </c>
      <c r="G95" s="739">
        <f>'February''23 Revenues &amp; Expenses'!I46+'February''23 Revenues &amp; Expenses'!K47</f>
        <v>22978.65</v>
      </c>
      <c r="H95" s="447"/>
      <c r="V95" s="474"/>
      <c r="W95" s="473"/>
    </row>
    <row r="96" spans="1:23" ht="15.75" customHeight="1" x14ac:dyDescent="0.2">
      <c r="A96" s="447"/>
      <c r="B96" s="997" t="s">
        <v>460</v>
      </c>
      <c r="C96" s="997"/>
      <c r="D96" s="809">
        <v>100000</v>
      </c>
      <c r="E96" s="809"/>
      <c r="F96" s="809">
        <f>-'February''23 Revenues &amp; Expenses'!H51</f>
        <v>-7416.85</v>
      </c>
      <c r="G96" s="809">
        <f>'February''23 Revenues &amp; Expenses'!K51</f>
        <v>92583.15</v>
      </c>
      <c r="H96" s="447"/>
      <c r="V96" s="474"/>
      <c r="W96" s="473"/>
    </row>
    <row r="97" spans="1:22" ht="15.75" customHeight="1" x14ac:dyDescent="0.2">
      <c r="A97" s="447"/>
      <c r="B97" s="999" t="s">
        <v>17</v>
      </c>
      <c r="C97" s="999"/>
      <c r="D97" s="739"/>
      <c r="E97" s="739"/>
      <c r="F97" s="739"/>
      <c r="G97" s="739"/>
      <c r="H97" s="447"/>
      <c r="V97" s="474"/>
    </row>
    <row r="98" spans="1:22" ht="15.75" customHeight="1" x14ac:dyDescent="0.2">
      <c r="A98" s="447"/>
      <c r="B98" s="997" t="s">
        <v>636</v>
      </c>
      <c r="C98" s="997"/>
      <c r="D98" s="739">
        <v>50000</v>
      </c>
      <c r="E98" s="739"/>
      <c r="F98" s="739">
        <f>-'February''23 Revenues &amp; Expenses'!H52</f>
        <v>-8333.34</v>
      </c>
      <c r="G98" s="739">
        <f>'February''23 Revenues &amp; Expenses'!K52</f>
        <v>41666.660000000003</v>
      </c>
      <c r="H98" s="447"/>
      <c r="V98" s="474"/>
    </row>
    <row r="99" spans="1:22" ht="15.75" customHeight="1" x14ac:dyDescent="0.2">
      <c r="A99" s="447"/>
      <c r="B99" s="999"/>
      <c r="C99" s="999"/>
      <c r="D99" s="739"/>
      <c r="E99" s="739"/>
      <c r="F99" s="739"/>
      <c r="G99" s="739"/>
      <c r="H99" s="447"/>
      <c r="V99" s="474"/>
    </row>
    <row r="100" spans="1:22" ht="15.75" customHeight="1" x14ac:dyDescent="0.2">
      <c r="A100" s="447"/>
      <c r="B100" s="997"/>
      <c r="C100" s="997"/>
      <c r="D100" s="704">
        <v>0</v>
      </c>
      <c r="E100" s="739"/>
      <c r="F100" s="739">
        <f>-'February''23 Revenues &amp; Expenses'!H56</f>
        <v>0</v>
      </c>
      <c r="G100" s="739">
        <f>'February''23 Revenues &amp; Expenses'!K56</f>
        <v>0</v>
      </c>
      <c r="H100" s="447"/>
      <c r="V100" s="474"/>
    </row>
    <row r="101" spans="1:22" ht="7.5" customHeight="1" x14ac:dyDescent="0.2">
      <c r="A101" s="447"/>
      <c r="B101" s="998"/>
      <c r="C101" s="998"/>
      <c r="D101" s="449"/>
      <c r="E101" s="449"/>
      <c r="F101" s="449"/>
      <c r="G101" s="449"/>
      <c r="H101" s="447"/>
      <c r="V101" s="474"/>
    </row>
    <row r="102" spans="1:22" ht="15.75" customHeight="1" thickBot="1" x14ac:dyDescent="0.25">
      <c r="A102" s="447"/>
      <c r="B102" s="995" t="s">
        <v>236</v>
      </c>
      <c r="C102" s="995"/>
      <c r="D102" s="442">
        <f>SUM(D93:D101)</f>
        <v>181336.16999999998</v>
      </c>
      <c r="E102" s="442">
        <f>SUM(E93:E101)</f>
        <v>0</v>
      </c>
      <c r="F102" s="442">
        <f>SUM(F93:F101)</f>
        <v>-20996.550000000003</v>
      </c>
      <c r="G102" s="442">
        <f>SUM(G93:G101)</f>
        <v>160339.62</v>
      </c>
      <c r="H102" s="447"/>
      <c r="V102" s="474"/>
    </row>
    <row r="103" spans="1:22" ht="11.25" customHeight="1" thickTop="1" x14ac:dyDescent="0.2">
      <c r="A103" s="447"/>
      <c r="B103" s="471"/>
      <c r="C103" s="471"/>
      <c r="D103" s="472"/>
      <c r="E103" s="472"/>
      <c r="F103" s="472"/>
      <c r="G103" s="472"/>
      <c r="H103" s="447"/>
      <c r="V103" s="474"/>
    </row>
    <row r="104" spans="1:22" ht="67.5" customHeight="1" x14ac:dyDescent="0.2">
      <c r="A104" s="981" t="s">
        <v>638</v>
      </c>
      <c r="B104" s="981"/>
      <c r="C104" s="981"/>
      <c r="D104" s="981"/>
      <c r="E104" s="981"/>
      <c r="F104" s="981"/>
      <c r="G104" s="981"/>
      <c r="H104" s="981"/>
    </row>
    <row r="105" spans="1:22" ht="47.25" x14ac:dyDescent="0.2">
      <c r="A105" s="447"/>
      <c r="B105" s="996" t="s">
        <v>200</v>
      </c>
      <c r="C105" s="996"/>
      <c r="D105" s="450" t="s">
        <v>201</v>
      </c>
      <c r="E105" s="441" t="s">
        <v>202</v>
      </c>
      <c r="F105" s="450" t="s">
        <v>203</v>
      </c>
      <c r="G105" s="810" t="str">
        <f>G92</f>
        <v>Ending Balance at February 28, 2023</v>
      </c>
      <c r="H105" s="447"/>
    </row>
    <row r="106" spans="1:22" ht="15.75" customHeight="1" x14ac:dyDescent="0.2">
      <c r="A106" s="447"/>
      <c r="B106" s="993" t="s">
        <v>204</v>
      </c>
      <c r="C106" s="993"/>
      <c r="D106" s="449">
        <v>0</v>
      </c>
      <c r="E106" s="449">
        <v>52000</v>
      </c>
      <c r="F106" s="449">
        <f>'February''23 Revenues &amp; Expenses'!J64*-1</f>
        <v>-8666.6666666666661</v>
      </c>
      <c r="G106" s="449">
        <f t="shared" ref="G106:G112" si="2">D106+E106+F106</f>
        <v>43333.333333333336</v>
      </c>
      <c r="H106" s="447"/>
    </row>
    <row r="107" spans="1:22" ht="15.75" customHeight="1" x14ac:dyDescent="0.2">
      <c r="A107" s="447"/>
      <c r="B107" s="993" t="s">
        <v>255</v>
      </c>
      <c r="C107" s="993"/>
      <c r="D107" s="449">
        <v>0</v>
      </c>
      <c r="E107" s="449">
        <v>21000</v>
      </c>
      <c r="F107" s="449">
        <f>-'February''23 Revenues &amp; Expenses'!J66</f>
        <v>-3500</v>
      </c>
      <c r="G107" s="449">
        <f t="shared" si="2"/>
        <v>17500</v>
      </c>
      <c r="H107" s="447"/>
    </row>
    <row r="108" spans="1:22" ht="15.75" customHeight="1" x14ac:dyDescent="0.2">
      <c r="A108" s="447"/>
      <c r="B108" s="993" t="s">
        <v>205</v>
      </c>
      <c r="C108" s="993"/>
      <c r="D108" s="739">
        <f>'February''23 Revenues &amp; Expenses'!G71</f>
        <v>14792.17</v>
      </c>
      <c r="E108" s="449">
        <f>'February''23 Revenues &amp; Expenses'!H71</f>
        <v>33.81</v>
      </c>
      <c r="F108" s="449">
        <f>-'February''23 Revenues &amp; Expenses'!J71</f>
        <v>-2435.25</v>
      </c>
      <c r="G108" s="449">
        <f t="shared" si="2"/>
        <v>12390.73</v>
      </c>
      <c r="H108" s="447"/>
    </row>
    <row r="109" spans="1:22" ht="15.75" customHeight="1" x14ac:dyDescent="0.2">
      <c r="A109" s="447"/>
      <c r="B109" s="993" t="s">
        <v>206</v>
      </c>
      <c r="C109" s="993"/>
      <c r="D109" s="739">
        <f>'February''23 Revenues &amp; Expenses'!G72</f>
        <v>9827.7800000000007</v>
      </c>
      <c r="E109" s="449">
        <f>'February''23 Revenues &amp; Expenses'!H72</f>
        <v>0</v>
      </c>
      <c r="F109" s="449">
        <f>-'February''23 Revenues &amp; Expenses'!J72</f>
        <v>-1.98</v>
      </c>
      <c r="G109" s="449">
        <f t="shared" si="2"/>
        <v>9825.8000000000011</v>
      </c>
      <c r="H109" s="447"/>
    </row>
    <row r="110" spans="1:22" ht="15.75" customHeight="1" x14ac:dyDescent="0.2">
      <c r="A110" s="447"/>
      <c r="B110" s="993" t="s">
        <v>303</v>
      </c>
      <c r="C110" s="993"/>
      <c r="D110" s="739">
        <f>'February''23 Revenues &amp; Expenses'!G55</f>
        <v>898.7</v>
      </c>
      <c r="E110" s="449"/>
      <c r="F110" s="449">
        <f>-'February''23 Revenues &amp; Expenses'!H55</f>
        <v>0</v>
      </c>
      <c r="G110" s="449">
        <f t="shared" si="2"/>
        <v>898.7</v>
      </c>
      <c r="H110" s="447"/>
    </row>
    <row r="111" spans="1:22" ht="15.75" customHeight="1" x14ac:dyDescent="0.2">
      <c r="A111" s="447"/>
      <c r="B111" s="903" t="s">
        <v>395</v>
      </c>
      <c r="C111" s="903"/>
      <c r="D111" s="904">
        <v>50000</v>
      </c>
      <c r="E111" s="904"/>
      <c r="F111" s="904">
        <f>-'February''23 Revenues &amp; Expenses'!H54</f>
        <v>-8333.3333333333339</v>
      </c>
      <c r="G111" s="904">
        <f t="shared" si="2"/>
        <v>41666.666666666664</v>
      </c>
      <c r="H111" s="447"/>
    </row>
    <row r="112" spans="1:22" ht="15.75" x14ac:dyDescent="0.2">
      <c r="A112" s="447"/>
      <c r="B112" s="993" t="s">
        <v>207</v>
      </c>
      <c r="C112" s="993"/>
      <c r="D112" s="739">
        <f>'February''23 Revenues &amp; Expenses'!G70</f>
        <v>374.76</v>
      </c>
      <c r="E112" s="449"/>
      <c r="F112" s="449">
        <f>-'February''23 Revenues &amp; Expenses'!J70</f>
        <v>0</v>
      </c>
      <c r="G112" s="449">
        <f t="shared" si="2"/>
        <v>374.76</v>
      </c>
      <c r="H112" s="447"/>
      <c r="K112" s="696"/>
    </row>
    <row r="113" spans="1:11" ht="15.75" x14ac:dyDescent="0.2">
      <c r="A113" s="447"/>
      <c r="B113" s="984"/>
      <c r="C113" s="984"/>
      <c r="D113" s="775"/>
      <c r="E113" s="775"/>
      <c r="F113" s="775">
        <f>-'February''23 Revenues &amp; Expenses'!H57</f>
        <v>0</v>
      </c>
      <c r="G113" s="775">
        <f>'February''23 Revenues &amp; Expenses'!I57</f>
        <v>0</v>
      </c>
      <c r="H113" s="447"/>
      <c r="K113" s="696"/>
    </row>
    <row r="114" spans="1:11" ht="15.75" customHeight="1" thickBot="1" x14ac:dyDescent="0.25">
      <c r="A114" s="447"/>
      <c r="B114" s="992" t="s">
        <v>208</v>
      </c>
      <c r="C114" s="992"/>
      <c r="D114" s="442">
        <f>SUM(D106:D112)</f>
        <v>75893.409999999989</v>
      </c>
      <c r="E114" s="442">
        <f>SUM(E106:E113)</f>
        <v>73033.81</v>
      </c>
      <c r="F114" s="442">
        <f>SUM(F106:F113)</f>
        <v>-22937.23</v>
      </c>
      <c r="G114" s="442">
        <f>SUM(G106:G113)</f>
        <v>125989.99</v>
      </c>
      <c r="H114" s="447"/>
    </row>
    <row r="115" spans="1:11" ht="16.5" thickTop="1" x14ac:dyDescent="0.2">
      <c r="A115" s="440"/>
      <c r="B115" s="448"/>
      <c r="C115" s="448"/>
      <c r="D115" s="448"/>
      <c r="E115" s="448"/>
      <c r="F115" s="448"/>
      <c r="G115" s="448"/>
      <c r="H115" s="440"/>
    </row>
    <row r="116" spans="1:11" ht="15.75" customHeight="1" x14ac:dyDescent="0.2"/>
    <row r="117" spans="1:11" ht="6.75" customHeight="1" x14ac:dyDescent="0.2"/>
  </sheetData>
  <mergeCells count="78">
    <mergeCell ref="E72:F72"/>
    <mergeCell ref="E73:F73"/>
    <mergeCell ref="E74:F74"/>
    <mergeCell ref="E75:F75"/>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 ref="B48:E48"/>
    <mergeCell ref="B98:C98"/>
    <mergeCell ref="A87:H87"/>
    <mergeCell ref="B52:G52"/>
    <mergeCell ref="B51:G51"/>
    <mergeCell ref="C84:D84"/>
    <mergeCell ref="F84:G84"/>
    <mergeCell ref="C82:D82"/>
    <mergeCell ref="F82:G82"/>
    <mergeCell ref="C83:D83"/>
    <mergeCell ref="F83:G83"/>
    <mergeCell ref="E77:F77"/>
    <mergeCell ref="B93:D93"/>
    <mergeCell ref="B55:G55"/>
    <mergeCell ref="B56:G56"/>
    <mergeCell ref="B57:G57"/>
    <mergeCell ref="E76:F76"/>
    <mergeCell ref="A104:H104"/>
    <mergeCell ref="B109:C109"/>
    <mergeCell ref="B110:C110"/>
    <mergeCell ref="B101:C101"/>
    <mergeCell ref="B97:C97"/>
    <mergeCell ref="B99:C99"/>
    <mergeCell ref="B100:C100"/>
    <mergeCell ref="B96:C96"/>
    <mergeCell ref="B114:C114"/>
    <mergeCell ref="B112:C112"/>
    <mergeCell ref="B106:C106"/>
    <mergeCell ref="B107:C107"/>
    <mergeCell ref="C85:D85"/>
    <mergeCell ref="B108:C108"/>
    <mergeCell ref="B102:C102"/>
    <mergeCell ref="A91:H91"/>
    <mergeCell ref="B92:C92"/>
    <mergeCell ref="B94:C94"/>
    <mergeCell ref="B95:C95"/>
    <mergeCell ref="B105:C105"/>
    <mergeCell ref="C14:D14"/>
    <mergeCell ref="C15:D15"/>
    <mergeCell ref="C17:D17"/>
    <mergeCell ref="B18:D18"/>
    <mergeCell ref="C16:D16"/>
    <mergeCell ref="E66:F66"/>
    <mergeCell ref="A80:H80"/>
    <mergeCell ref="A58:H58"/>
    <mergeCell ref="B70:G70"/>
    <mergeCell ref="B113:C113"/>
    <mergeCell ref="A89:H89"/>
    <mergeCell ref="E71:F71"/>
    <mergeCell ref="E67:F67"/>
    <mergeCell ref="E63:F63"/>
    <mergeCell ref="E61:F61"/>
    <mergeCell ref="E62:F62"/>
    <mergeCell ref="E64:F64"/>
    <mergeCell ref="E65:F65"/>
    <mergeCell ref="E60:F60"/>
    <mergeCell ref="C81:D81"/>
    <mergeCell ref="F81:G81"/>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103"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884"/>
  <sheetViews>
    <sheetView topLeftCell="A573" workbookViewId="0">
      <selection activeCell="K607" sqref="K607:K608"/>
    </sheetView>
  </sheetViews>
  <sheetFormatPr defaultRowHeight="14.25" x14ac:dyDescent="0.2"/>
  <cols>
    <col min="1" max="1" width="24.625" style="519" bestFit="1" customWidth="1"/>
    <col min="2" max="2" width="9" style="491"/>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16" t="s">
        <v>260</v>
      </c>
      <c r="B3" s="487" t="s">
        <v>261</v>
      </c>
    </row>
    <row r="4" spans="1:2" ht="15" thickTop="1" x14ac:dyDescent="0.2">
      <c r="A4" s="517">
        <v>42370</v>
      </c>
      <c r="B4" s="488">
        <v>316020.78000000003</v>
      </c>
    </row>
    <row r="5" spans="1:2" x14ac:dyDescent="0.2">
      <c r="A5" s="518">
        <v>42373</v>
      </c>
      <c r="B5" s="489">
        <v>315970.78000000003</v>
      </c>
    </row>
    <row r="6" spans="1:2" x14ac:dyDescent="0.2">
      <c r="A6" s="518">
        <v>42374</v>
      </c>
      <c r="B6" s="489">
        <v>320557.63</v>
      </c>
    </row>
    <row r="7" spans="1:2" x14ac:dyDescent="0.2">
      <c r="A7" s="518">
        <v>42375</v>
      </c>
      <c r="B7" s="489">
        <f>B6</f>
        <v>320557.63</v>
      </c>
    </row>
    <row r="8" spans="1:2" x14ac:dyDescent="0.2">
      <c r="A8" s="518">
        <v>42376</v>
      </c>
      <c r="B8" s="489">
        <v>323108.86</v>
      </c>
    </row>
    <row r="9" spans="1:2" x14ac:dyDescent="0.2">
      <c r="A9" s="518">
        <v>42377</v>
      </c>
      <c r="B9" s="489">
        <f>B8</f>
        <v>323108.86</v>
      </c>
    </row>
    <row r="10" spans="1:2" x14ac:dyDescent="0.2">
      <c r="A10" s="518">
        <v>42380</v>
      </c>
      <c r="B10" s="489">
        <v>323239.86</v>
      </c>
    </row>
    <row r="11" spans="1:2" x14ac:dyDescent="0.2">
      <c r="A11" s="518">
        <v>42381</v>
      </c>
      <c r="B11" s="489">
        <v>288792.71999999997</v>
      </c>
    </row>
    <row r="12" spans="1:2" x14ac:dyDescent="0.2">
      <c r="A12" s="518">
        <v>42382</v>
      </c>
      <c r="B12" s="489">
        <f>B11</f>
        <v>288792.71999999997</v>
      </c>
    </row>
    <row r="13" spans="1:2" x14ac:dyDescent="0.2">
      <c r="A13" s="518">
        <v>42383</v>
      </c>
      <c r="B13" s="489">
        <v>277881.3</v>
      </c>
    </row>
    <row r="14" spans="1:2" x14ac:dyDescent="0.2">
      <c r="A14" s="518">
        <v>42384</v>
      </c>
      <c r="B14" s="489">
        <v>293922.15000000002</v>
      </c>
    </row>
    <row r="15" spans="1:2" x14ac:dyDescent="0.2">
      <c r="A15" s="518">
        <v>42387</v>
      </c>
      <c r="B15" s="489">
        <f>B14</f>
        <v>293922.15000000002</v>
      </c>
    </row>
    <row r="16" spans="1:2" x14ac:dyDescent="0.2">
      <c r="A16" s="518">
        <v>42388</v>
      </c>
      <c r="B16" s="489">
        <f>B14</f>
        <v>293922.15000000002</v>
      </c>
    </row>
    <row r="17" spans="1:2" x14ac:dyDescent="0.2">
      <c r="A17" s="518">
        <v>42389</v>
      </c>
      <c r="B17" s="489">
        <v>294002.2</v>
      </c>
    </row>
    <row r="18" spans="1:2" x14ac:dyDescent="0.2">
      <c r="A18" s="518">
        <v>42390</v>
      </c>
      <c r="B18" s="489">
        <v>285645.33</v>
      </c>
    </row>
    <row r="19" spans="1:2" x14ac:dyDescent="0.2">
      <c r="A19" s="518">
        <v>42391</v>
      </c>
      <c r="B19" s="489">
        <f>B18</f>
        <v>285645.33</v>
      </c>
    </row>
    <row r="20" spans="1:2" x14ac:dyDescent="0.2">
      <c r="A20" s="518">
        <v>42394</v>
      </c>
      <c r="B20" s="489">
        <v>310939.57</v>
      </c>
    </row>
    <row r="21" spans="1:2" x14ac:dyDescent="0.2">
      <c r="A21" s="518">
        <v>42395</v>
      </c>
      <c r="B21" s="489">
        <v>285520.28000000003</v>
      </c>
    </row>
    <row r="22" spans="1:2" x14ac:dyDescent="0.2">
      <c r="A22" s="518">
        <v>42396</v>
      </c>
      <c r="B22" s="489">
        <f>B21</f>
        <v>285520.28000000003</v>
      </c>
    </row>
    <row r="23" spans="1:2" x14ac:dyDescent="0.2">
      <c r="A23" s="518">
        <v>42397</v>
      </c>
      <c r="B23" s="489">
        <v>282022.58</v>
      </c>
    </row>
    <row r="24" spans="1:2" x14ac:dyDescent="0.2">
      <c r="A24" s="518">
        <v>42398</v>
      </c>
      <c r="B24" s="489">
        <v>294848.15999999997</v>
      </c>
    </row>
    <row r="25" spans="1:2" x14ac:dyDescent="0.2">
      <c r="A25" s="518">
        <v>42401</v>
      </c>
      <c r="B25" s="489">
        <v>295971.7</v>
      </c>
    </row>
    <row r="26" spans="1:2" x14ac:dyDescent="0.2">
      <c r="A26" s="518">
        <v>42402</v>
      </c>
      <c r="B26" s="489">
        <v>342700.41</v>
      </c>
    </row>
    <row r="27" spans="1:2" x14ac:dyDescent="0.2">
      <c r="A27" s="518">
        <v>42403</v>
      </c>
      <c r="B27" s="489">
        <f>B26</f>
        <v>342700.41</v>
      </c>
    </row>
    <row r="28" spans="1:2" x14ac:dyDescent="0.2">
      <c r="A28" s="518">
        <v>42404</v>
      </c>
      <c r="B28" s="489">
        <v>337638.63</v>
      </c>
    </row>
    <row r="29" spans="1:2" x14ac:dyDescent="0.2">
      <c r="A29" s="518">
        <v>42405</v>
      </c>
      <c r="B29" s="489">
        <v>367843.39</v>
      </c>
    </row>
    <row r="30" spans="1:2" x14ac:dyDescent="0.2">
      <c r="A30" s="518">
        <v>42408</v>
      </c>
      <c r="B30" s="489">
        <v>367773.39</v>
      </c>
    </row>
    <row r="31" spans="1:2" x14ac:dyDescent="0.2">
      <c r="A31" s="518">
        <v>42409</v>
      </c>
      <c r="B31" s="489">
        <v>339527.33</v>
      </c>
    </row>
    <row r="32" spans="1:2" x14ac:dyDescent="0.2">
      <c r="A32" s="518">
        <v>42410</v>
      </c>
      <c r="B32" s="489">
        <f>B31</f>
        <v>339527.33</v>
      </c>
    </row>
    <row r="33" spans="1:2" x14ac:dyDescent="0.2">
      <c r="A33" s="518">
        <v>42411</v>
      </c>
      <c r="B33" s="489">
        <v>336968.79</v>
      </c>
    </row>
    <row r="34" spans="1:2" x14ac:dyDescent="0.2">
      <c r="A34" s="518">
        <v>42412</v>
      </c>
      <c r="B34" s="489">
        <v>337055.76</v>
      </c>
    </row>
    <row r="35" spans="1:2" x14ac:dyDescent="0.2">
      <c r="A35" s="518">
        <v>42415</v>
      </c>
      <c r="B35" s="489">
        <f>B34</f>
        <v>337055.76</v>
      </c>
    </row>
    <row r="36" spans="1:2" x14ac:dyDescent="0.2">
      <c r="A36" s="518">
        <v>42416</v>
      </c>
      <c r="B36" s="489">
        <f>B35</f>
        <v>337055.76</v>
      </c>
    </row>
    <row r="37" spans="1:2" x14ac:dyDescent="0.2">
      <c r="A37" s="518">
        <v>42417</v>
      </c>
      <c r="B37" s="489">
        <v>365266.06</v>
      </c>
    </row>
    <row r="38" spans="1:2" x14ac:dyDescent="0.2">
      <c r="A38" s="518">
        <v>42418</v>
      </c>
      <c r="B38" s="489">
        <v>360871.98</v>
      </c>
    </row>
    <row r="39" spans="1:2" x14ac:dyDescent="0.2">
      <c r="A39" s="518">
        <v>42419</v>
      </c>
      <c r="B39" s="489">
        <f>B38</f>
        <v>360871.98</v>
      </c>
    </row>
    <row r="40" spans="1:2" x14ac:dyDescent="0.2">
      <c r="A40" s="518">
        <v>42421</v>
      </c>
      <c r="B40" s="489">
        <f>B39</f>
        <v>360871.98</v>
      </c>
    </row>
    <row r="41" spans="1:2" x14ac:dyDescent="0.2">
      <c r="A41" s="518">
        <v>42423</v>
      </c>
      <c r="B41" s="489">
        <v>355845.62</v>
      </c>
    </row>
    <row r="42" spans="1:2" x14ac:dyDescent="0.2">
      <c r="A42" s="518">
        <v>42424</v>
      </c>
      <c r="B42" s="489">
        <f>B41</f>
        <v>355845.62</v>
      </c>
    </row>
    <row r="43" spans="1:2" x14ac:dyDescent="0.2">
      <c r="A43" s="518">
        <v>42425</v>
      </c>
      <c r="B43" s="489">
        <v>345399.7</v>
      </c>
    </row>
    <row r="44" spans="1:2" x14ac:dyDescent="0.2">
      <c r="A44" s="518">
        <v>42426</v>
      </c>
      <c r="B44" s="489">
        <v>370500.69</v>
      </c>
    </row>
    <row r="45" spans="1:2" x14ac:dyDescent="0.2">
      <c r="A45" s="518">
        <v>42429</v>
      </c>
      <c r="B45" s="489">
        <v>389846.49</v>
      </c>
    </row>
    <row r="46" spans="1:2" x14ac:dyDescent="0.2">
      <c r="A46" s="518">
        <v>42430</v>
      </c>
      <c r="B46" s="489">
        <f>B45</f>
        <v>389846.49</v>
      </c>
    </row>
    <row r="47" spans="1:2" x14ac:dyDescent="0.2">
      <c r="A47" s="518">
        <v>42431</v>
      </c>
      <c r="B47" s="489">
        <f>B46</f>
        <v>389846.49</v>
      </c>
    </row>
    <row r="48" spans="1:2" x14ac:dyDescent="0.2">
      <c r="A48" s="518">
        <v>42432</v>
      </c>
      <c r="B48" s="489">
        <v>378391.97</v>
      </c>
    </row>
    <row r="49" spans="1:2" x14ac:dyDescent="0.2">
      <c r="A49" s="518">
        <v>42433</v>
      </c>
      <c r="B49" s="489">
        <v>424034.23</v>
      </c>
    </row>
    <row r="50" spans="1:2" x14ac:dyDescent="0.2">
      <c r="A50" s="518">
        <v>42436</v>
      </c>
      <c r="B50" s="489">
        <f>B49</f>
        <v>424034.23</v>
      </c>
    </row>
    <row r="51" spans="1:2" x14ac:dyDescent="0.2">
      <c r="A51" s="518">
        <v>42437</v>
      </c>
      <c r="B51" s="489">
        <v>386665.73</v>
      </c>
    </row>
    <row r="52" spans="1:2" x14ac:dyDescent="0.2">
      <c r="A52" s="518">
        <v>42438</v>
      </c>
      <c r="B52" s="489">
        <f>B51</f>
        <v>386665.73</v>
      </c>
    </row>
    <row r="53" spans="1:2" x14ac:dyDescent="0.2">
      <c r="A53" s="518">
        <v>42439</v>
      </c>
      <c r="B53" s="489">
        <v>389219.85</v>
      </c>
    </row>
    <row r="54" spans="1:2" x14ac:dyDescent="0.2">
      <c r="A54" s="518">
        <v>42440</v>
      </c>
      <c r="B54" s="489">
        <v>406100.98</v>
      </c>
    </row>
    <row r="55" spans="1:2" x14ac:dyDescent="0.2">
      <c r="A55" s="518">
        <v>42443</v>
      </c>
      <c r="B55" s="489">
        <v>407873.33</v>
      </c>
    </row>
    <row r="56" spans="1:2" x14ac:dyDescent="0.2">
      <c r="A56" s="518">
        <v>42444</v>
      </c>
      <c r="B56" s="489">
        <v>407992.23</v>
      </c>
    </row>
    <row r="57" spans="1:2" x14ac:dyDescent="0.2">
      <c r="A57" s="518">
        <v>42445</v>
      </c>
      <c r="B57" s="489">
        <v>433808.81</v>
      </c>
    </row>
    <row r="58" spans="1:2" x14ac:dyDescent="0.2">
      <c r="A58" s="518">
        <v>42446</v>
      </c>
      <c r="B58" s="489">
        <v>422290.94</v>
      </c>
    </row>
    <row r="59" spans="1:2" x14ac:dyDescent="0.2">
      <c r="A59" s="518">
        <v>42447</v>
      </c>
      <c r="B59" s="489">
        <v>468026.54</v>
      </c>
    </row>
    <row r="60" spans="1:2" x14ac:dyDescent="0.2">
      <c r="A60" s="518">
        <v>42450</v>
      </c>
      <c r="B60" s="489">
        <v>348026.54</v>
      </c>
    </row>
    <row r="61" spans="1:2" x14ac:dyDescent="0.2">
      <c r="A61" s="518">
        <v>42451</v>
      </c>
      <c r="B61" s="489">
        <v>312876.71000000002</v>
      </c>
    </row>
    <row r="62" spans="1:2" x14ac:dyDescent="0.2">
      <c r="A62" s="518">
        <v>42452</v>
      </c>
      <c r="B62" s="489">
        <v>314939.26</v>
      </c>
    </row>
    <row r="63" spans="1:2" x14ac:dyDescent="0.2">
      <c r="A63" s="518">
        <v>42453</v>
      </c>
      <c r="B63" s="489">
        <v>309254.23</v>
      </c>
    </row>
    <row r="64" spans="1:2" x14ac:dyDescent="0.2">
      <c r="A64" s="518">
        <v>42454</v>
      </c>
      <c r="B64" s="489">
        <v>308314.94</v>
      </c>
    </row>
    <row r="65" spans="1:2" x14ac:dyDescent="0.2">
      <c r="A65" s="518">
        <v>42457</v>
      </c>
      <c r="B65" s="489">
        <f>B64</f>
        <v>308314.94</v>
      </c>
    </row>
    <row r="66" spans="1:2" x14ac:dyDescent="0.2">
      <c r="A66" s="518">
        <v>42458</v>
      </c>
      <c r="B66" s="489">
        <v>308501.75</v>
      </c>
    </row>
    <row r="67" spans="1:2" x14ac:dyDescent="0.2">
      <c r="A67" s="518">
        <v>42459</v>
      </c>
      <c r="B67" s="489">
        <f>B66</f>
        <v>308501.75</v>
      </c>
    </row>
    <row r="68" spans="1:2" x14ac:dyDescent="0.2">
      <c r="A68" s="518">
        <v>42460</v>
      </c>
      <c r="B68" s="489">
        <v>309191.53000000003</v>
      </c>
    </row>
    <row r="69" spans="1:2" x14ac:dyDescent="0.2">
      <c r="A69" s="518">
        <v>42461</v>
      </c>
      <c r="B69" s="489">
        <f>B68</f>
        <v>309191.53000000003</v>
      </c>
    </row>
    <row r="70" spans="1:2" x14ac:dyDescent="0.2">
      <c r="A70" s="518">
        <v>42464</v>
      </c>
      <c r="B70" s="489">
        <v>273521.59999999998</v>
      </c>
    </row>
    <row r="71" spans="1:2" x14ac:dyDescent="0.2">
      <c r="A71" s="518">
        <v>42465</v>
      </c>
      <c r="B71" s="489">
        <f>B70</f>
        <v>273521.59999999998</v>
      </c>
    </row>
    <row r="72" spans="1:2" x14ac:dyDescent="0.2">
      <c r="A72" s="518">
        <v>42466</v>
      </c>
      <c r="B72" s="489">
        <v>272690.59999999998</v>
      </c>
    </row>
    <row r="73" spans="1:2" x14ac:dyDescent="0.2">
      <c r="A73" s="518">
        <v>42467</v>
      </c>
      <c r="B73" s="489">
        <v>269582.73</v>
      </c>
    </row>
    <row r="74" spans="1:2" x14ac:dyDescent="0.2">
      <c r="A74" s="518">
        <v>42468</v>
      </c>
      <c r="B74" s="489">
        <f>B73</f>
        <v>269582.73</v>
      </c>
    </row>
    <row r="75" spans="1:2" x14ac:dyDescent="0.2">
      <c r="A75" s="518">
        <v>42471</v>
      </c>
      <c r="B75" s="489">
        <v>269763.98</v>
      </c>
    </row>
    <row r="76" spans="1:2" x14ac:dyDescent="0.2">
      <c r="A76" s="518">
        <v>42472</v>
      </c>
      <c r="B76" s="489">
        <f>B75</f>
        <v>269763.98</v>
      </c>
    </row>
    <row r="77" spans="1:2" x14ac:dyDescent="0.2">
      <c r="A77" s="518">
        <v>42473</v>
      </c>
      <c r="B77" s="489">
        <v>269925.98</v>
      </c>
    </row>
    <row r="78" spans="1:2" x14ac:dyDescent="0.2">
      <c r="A78" s="518">
        <v>42474</v>
      </c>
      <c r="B78" s="489">
        <v>262853.87</v>
      </c>
    </row>
    <row r="79" spans="1:2" x14ac:dyDescent="0.2">
      <c r="A79" s="518">
        <v>42475</v>
      </c>
      <c r="B79" s="489">
        <v>285492.90999999997</v>
      </c>
    </row>
    <row r="80" spans="1:2" x14ac:dyDescent="0.2">
      <c r="A80" s="518">
        <v>42478</v>
      </c>
      <c r="B80" s="489">
        <v>248936.49</v>
      </c>
    </row>
    <row r="81" spans="1:2" x14ac:dyDescent="0.2">
      <c r="A81" s="518">
        <v>42479</v>
      </c>
      <c r="B81" s="489">
        <v>299276.93</v>
      </c>
    </row>
    <row r="82" spans="1:2" x14ac:dyDescent="0.2">
      <c r="A82" s="518">
        <v>42480</v>
      </c>
      <c r="B82" s="489">
        <v>298671.93</v>
      </c>
    </row>
    <row r="83" spans="1:2" x14ac:dyDescent="0.2">
      <c r="A83" s="518">
        <v>42481</v>
      </c>
      <c r="B83" s="489">
        <v>300188.76</v>
      </c>
    </row>
    <row r="84" spans="1:2" x14ac:dyDescent="0.2">
      <c r="A84" s="518">
        <v>42482</v>
      </c>
      <c r="B84" s="489">
        <v>320014.86</v>
      </c>
    </row>
    <row r="85" spans="1:2" x14ac:dyDescent="0.2">
      <c r="A85" s="518">
        <v>42485</v>
      </c>
      <c r="B85" s="489">
        <v>316702.44</v>
      </c>
    </row>
    <row r="86" spans="1:2" x14ac:dyDescent="0.2">
      <c r="A86" s="518">
        <v>42486</v>
      </c>
      <c r="B86" s="489">
        <f>B85</f>
        <v>316702.44</v>
      </c>
    </row>
    <row r="87" spans="1:2" x14ac:dyDescent="0.2">
      <c r="A87" s="518">
        <v>42487</v>
      </c>
      <c r="B87" s="489">
        <v>316945.44</v>
      </c>
    </row>
    <row r="88" spans="1:2" x14ac:dyDescent="0.2">
      <c r="A88" s="518">
        <v>42488</v>
      </c>
      <c r="B88" s="489">
        <v>320979.96999999997</v>
      </c>
    </row>
    <row r="89" spans="1:2" x14ac:dyDescent="0.2">
      <c r="A89" s="518">
        <v>42489</v>
      </c>
      <c r="B89" s="489">
        <f>B88</f>
        <v>320979.96999999997</v>
      </c>
    </row>
    <row r="90" spans="1:2" x14ac:dyDescent="0.2">
      <c r="A90" s="518">
        <v>42492</v>
      </c>
      <c r="B90" s="489">
        <v>285992.84000000003</v>
      </c>
    </row>
    <row r="91" spans="1:2" x14ac:dyDescent="0.2">
      <c r="A91" s="518">
        <v>42493</v>
      </c>
      <c r="B91" s="489">
        <v>286063.08</v>
      </c>
    </row>
    <row r="92" spans="1:2" x14ac:dyDescent="0.2">
      <c r="A92" s="518">
        <v>42494</v>
      </c>
      <c r="B92" s="489">
        <v>314586.46000000002</v>
      </c>
    </row>
    <row r="93" spans="1:2" x14ac:dyDescent="0.2">
      <c r="A93" s="518">
        <v>42495</v>
      </c>
      <c r="B93" s="489">
        <v>317747.52</v>
      </c>
    </row>
    <row r="94" spans="1:2" x14ac:dyDescent="0.2">
      <c r="A94" s="518">
        <v>42496</v>
      </c>
      <c r="B94" s="489">
        <f>B93</f>
        <v>317747.52</v>
      </c>
    </row>
    <row r="95" spans="1:2" x14ac:dyDescent="0.2">
      <c r="A95" s="518">
        <v>42499</v>
      </c>
      <c r="B95" s="489">
        <v>317647.52</v>
      </c>
    </row>
    <row r="96" spans="1:2" x14ac:dyDescent="0.2">
      <c r="A96" s="518">
        <v>42500</v>
      </c>
      <c r="B96" s="489">
        <v>354645.16</v>
      </c>
    </row>
    <row r="97" spans="1:2" x14ac:dyDescent="0.2">
      <c r="A97" s="518">
        <v>42501</v>
      </c>
      <c r="B97" s="489">
        <f>B96</f>
        <v>354645.16</v>
      </c>
    </row>
    <row r="98" spans="1:2" x14ac:dyDescent="0.2">
      <c r="A98" s="518">
        <v>42502</v>
      </c>
      <c r="B98" s="489">
        <v>334676.08</v>
      </c>
    </row>
    <row r="99" spans="1:2" x14ac:dyDescent="0.2">
      <c r="A99" s="518">
        <v>42503</v>
      </c>
      <c r="B99" s="489">
        <v>335053.34999999998</v>
      </c>
    </row>
    <row r="100" spans="1:2" x14ac:dyDescent="0.2">
      <c r="A100" s="518">
        <v>42506</v>
      </c>
      <c r="B100" s="489">
        <v>299641.7</v>
      </c>
    </row>
    <row r="101" spans="1:2" x14ac:dyDescent="0.2">
      <c r="A101" s="518">
        <v>42507</v>
      </c>
      <c r="B101" s="489">
        <f>B100</f>
        <v>299641.7</v>
      </c>
    </row>
    <row r="102" spans="1:2" x14ac:dyDescent="0.2">
      <c r="A102" s="518">
        <v>42508</v>
      </c>
      <c r="B102" s="489">
        <v>316034.81</v>
      </c>
    </row>
    <row r="103" spans="1:2" x14ac:dyDescent="0.2">
      <c r="A103" s="518">
        <v>42509</v>
      </c>
      <c r="B103" s="489">
        <v>320069.11</v>
      </c>
    </row>
    <row r="104" spans="1:2" x14ac:dyDescent="0.2">
      <c r="A104" s="518">
        <v>42510</v>
      </c>
      <c r="B104" s="489">
        <v>328514.03000000003</v>
      </c>
    </row>
    <row r="105" spans="1:2" x14ac:dyDescent="0.2">
      <c r="A105" s="518">
        <v>42513</v>
      </c>
      <c r="B105" s="489">
        <f>B104</f>
        <v>328514.03000000003</v>
      </c>
    </row>
    <row r="106" spans="1:2" x14ac:dyDescent="0.2">
      <c r="A106" s="518">
        <v>42514</v>
      </c>
      <c r="B106" s="489">
        <v>334541.26</v>
      </c>
    </row>
    <row r="107" spans="1:2" x14ac:dyDescent="0.2">
      <c r="A107" s="518">
        <v>42515</v>
      </c>
      <c r="B107" s="490">
        <v>329880.45</v>
      </c>
    </row>
    <row r="108" spans="1:2" x14ac:dyDescent="0.2">
      <c r="A108" s="518">
        <v>42516</v>
      </c>
      <c r="B108" s="491">
        <v>337992.17</v>
      </c>
    </row>
    <row r="109" spans="1:2" x14ac:dyDescent="0.2">
      <c r="A109" s="518">
        <v>42517</v>
      </c>
      <c r="B109" s="491">
        <v>347755.4</v>
      </c>
    </row>
    <row r="110" spans="1:2" x14ac:dyDescent="0.2">
      <c r="A110" s="518">
        <v>42520</v>
      </c>
      <c r="B110" s="491">
        <v>347755.4</v>
      </c>
    </row>
    <row r="111" spans="1:2" x14ac:dyDescent="0.2">
      <c r="A111" s="518">
        <v>42521</v>
      </c>
      <c r="B111" s="491">
        <v>312817.88</v>
      </c>
    </row>
    <row r="112" spans="1:2" x14ac:dyDescent="0.2">
      <c r="A112" s="518">
        <v>42522</v>
      </c>
      <c r="B112" s="491">
        <v>314571.3</v>
      </c>
    </row>
    <row r="113" spans="1:2" x14ac:dyDescent="0.2">
      <c r="A113" s="518">
        <v>42523</v>
      </c>
      <c r="B113" s="491">
        <v>302515.78000000003</v>
      </c>
    </row>
    <row r="114" spans="1:2" x14ac:dyDescent="0.2">
      <c r="A114" s="518">
        <v>42524</v>
      </c>
      <c r="B114" s="491">
        <v>302516</v>
      </c>
    </row>
    <row r="115" spans="1:2" x14ac:dyDescent="0.2">
      <c r="A115" s="518">
        <v>42527</v>
      </c>
      <c r="B115" s="491">
        <v>302516</v>
      </c>
    </row>
    <row r="116" spans="1:2" x14ac:dyDescent="0.2">
      <c r="A116" s="518">
        <v>42528</v>
      </c>
      <c r="B116" s="491">
        <v>302516</v>
      </c>
    </row>
    <row r="117" spans="1:2" x14ac:dyDescent="0.2">
      <c r="A117" s="518">
        <v>42529</v>
      </c>
      <c r="B117" s="491">
        <v>279865.95</v>
      </c>
    </row>
    <row r="118" spans="1:2" x14ac:dyDescent="0.2">
      <c r="A118" s="518">
        <v>42530</v>
      </c>
      <c r="B118" s="491">
        <v>279866</v>
      </c>
    </row>
    <row r="119" spans="1:2" x14ac:dyDescent="0.2">
      <c r="A119" s="518">
        <v>42531</v>
      </c>
      <c r="B119" s="491">
        <v>279866</v>
      </c>
    </row>
    <row r="120" spans="1:2" x14ac:dyDescent="0.2">
      <c r="A120" s="518">
        <v>42534</v>
      </c>
      <c r="B120" s="491">
        <v>279866</v>
      </c>
    </row>
    <row r="121" spans="1:2" x14ac:dyDescent="0.2">
      <c r="A121" s="518">
        <v>42535</v>
      </c>
      <c r="B121" s="491">
        <v>279866</v>
      </c>
    </row>
    <row r="122" spans="1:2" x14ac:dyDescent="0.2">
      <c r="A122" s="518">
        <v>42536</v>
      </c>
      <c r="B122" s="491">
        <v>290096.01</v>
      </c>
    </row>
    <row r="123" spans="1:2" x14ac:dyDescent="0.2">
      <c r="A123" s="518">
        <v>42537</v>
      </c>
      <c r="B123" s="491">
        <v>247423.5</v>
      </c>
    </row>
    <row r="124" spans="1:2" x14ac:dyDescent="0.2">
      <c r="A124" s="518">
        <v>42538</v>
      </c>
      <c r="B124" s="491">
        <v>247424</v>
      </c>
    </row>
    <row r="125" spans="1:2" x14ac:dyDescent="0.2">
      <c r="A125" s="518">
        <v>42541</v>
      </c>
      <c r="B125" s="491">
        <v>247424</v>
      </c>
    </row>
    <row r="126" spans="1:2" x14ac:dyDescent="0.2">
      <c r="A126" s="518">
        <v>42542</v>
      </c>
      <c r="B126" s="491">
        <v>255459.85</v>
      </c>
    </row>
    <row r="127" spans="1:2" x14ac:dyDescent="0.2">
      <c r="A127" s="518">
        <v>42543</v>
      </c>
      <c r="B127" s="491">
        <v>255460</v>
      </c>
    </row>
    <row r="128" spans="1:2" x14ac:dyDescent="0.2">
      <c r="A128" s="492">
        <f>A127+1</f>
        <v>42544</v>
      </c>
      <c r="B128" s="491">
        <v>240780.4</v>
      </c>
    </row>
    <row r="129" spans="1:2" x14ac:dyDescent="0.2">
      <c r="A129" s="492">
        <f>A128+1</f>
        <v>42545</v>
      </c>
      <c r="B129" s="491">
        <v>240780</v>
      </c>
    </row>
    <row r="130" spans="1:2" x14ac:dyDescent="0.2">
      <c r="A130" s="492">
        <f>A125+7</f>
        <v>42548</v>
      </c>
      <c r="B130" s="491">
        <v>205735.12</v>
      </c>
    </row>
    <row r="131" spans="1:2" x14ac:dyDescent="0.2">
      <c r="A131" s="492">
        <f>A126+7</f>
        <v>42549</v>
      </c>
      <c r="B131" s="491">
        <v>207489.37</v>
      </c>
    </row>
    <row r="132" spans="1:2" x14ac:dyDescent="0.2">
      <c r="A132" s="492">
        <f t="shared" ref="A132:A195" si="0">A127+7</f>
        <v>42550</v>
      </c>
      <c r="B132" s="491">
        <v>213757.9</v>
      </c>
    </row>
    <row r="133" spans="1:2" x14ac:dyDescent="0.2">
      <c r="A133" s="492">
        <f t="shared" si="0"/>
        <v>42551</v>
      </c>
      <c r="B133" s="491">
        <v>220332.56</v>
      </c>
    </row>
    <row r="134" spans="1:2" x14ac:dyDescent="0.2">
      <c r="A134" s="492">
        <f t="shared" si="0"/>
        <v>42552</v>
      </c>
      <c r="B134" s="491">
        <v>212813.84</v>
      </c>
    </row>
    <row r="135" spans="1:2" x14ac:dyDescent="0.2">
      <c r="A135" s="492">
        <f t="shared" si="0"/>
        <v>42555</v>
      </c>
      <c r="B135" s="491">
        <v>212814</v>
      </c>
    </row>
    <row r="136" spans="1:2" x14ac:dyDescent="0.2">
      <c r="A136" s="492">
        <f t="shared" si="0"/>
        <v>42556</v>
      </c>
      <c r="B136" s="491">
        <v>236539.45</v>
      </c>
    </row>
    <row r="137" spans="1:2" x14ac:dyDescent="0.2">
      <c r="A137" s="492">
        <f t="shared" si="0"/>
        <v>42557</v>
      </c>
      <c r="B137" s="491">
        <v>234224.42</v>
      </c>
    </row>
    <row r="138" spans="1:2" x14ac:dyDescent="0.2">
      <c r="A138" s="492">
        <f t="shared" si="0"/>
        <v>42558</v>
      </c>
      <c r="B138" s="491">
        <v>234132.08</v>
      </c>
    </row>
    <row r="139" spans="1:2" x14ac:dyDescent="0.2">
      <c r="A139" s="492">
        <f t="shared" si="0"/>
        <v>42559</v>
      </c>
      <c r="B139" s="491">
        <v>234132.08</v>
      </c>
    </row>
    <row r="140" spans="1:2" x14ac:dyDescent="0.2">
      <c r="A140" s="492">
        <f t="shared" si="0"/>
        <v>42562</v>
      </c>
      <c r="B140" s="491">
        <v>199890.85</v>
      </c>
    </row>
    <row r="141" spans="1:2" x14ac:dyDescent="0.2">
      <c r="A141" s="492">
        <f t="shared" si="0"/>
        <v>42563</v>
      </c>
      <c r="B141" s="491">
        <v>221114.27</v>
      </c>
    </row>
    <row r="142" spans="1:2" x14ac:dyDescent="0.2">
      <c r="A142" s="492">
        <f t="shared" si="0"/>
        <v>42564</v>
      </c>
      <c r="B142" s="491">
        <v>221114</v>
      </c>
    </row>
    <row r="143" spans="1:2" x14ac:dyDescent="0.2">
      <c r="A143" s="492">
        <f t="shared" si="0"/>
        <v>42565</v>
      </c>
      <c r="B143" s="491">
        <v>214752.25</v>
      </c>
    </row>
    <row r="144" spans="1:2" x14ac:dyDescent="0.2">
      <c r="A144" s="492">
        <f t="shared" si="0"/>
        <v>42566</v>
      </c>
      <c r="B144" s="491">
        <v>294578.96999999997</v>
      </c>
    </row>
    <row r="145" spans="1:2" x14ac:dyDescent="0.2">
      <c r="A145" s="492">
        <f t="shared" si="0"/>
        <v>42569</v>
      </c>
      <c r="B145" s="491">
        <v>294579</v>
      </c>
    </row>
    <row r="146" spans="1:2" x14ac:dyDescent="0.2">
      <c r="A146" s="492">
        <f t="shared" si="0"/>
        <v>42570</v>
      </c>
      <c r="B146" s="491">
        <v>294579</v>
      </c>
    </row>
    <row r="147" spans="1:2" x14ac:dyDescent="0.2">
      <c r="A147" s="492">
        <f t="shared" si="0"/>
        <v>42571</v>
      </c>
      <c r="B147" s="491">
        <v>328195.42</v>
      </c>
    </row>
    <row r="148" spans="1:2" x14ac:dyDescent="0.2">
      <c r="A148" s="492">
        <f t="shared" si="0"/>
        <v>42572</v>
      </c>
      <c r="B148" s="491">
        <v>407865.86</v>
      </c>
    </row>
    <row r="149" spans="1:2" x14ac:dyDescent="0.2">
      <c r="A149" s="492">
        <f t="shared" si="0"/>
        <v>42573</v>
      </c>
      <c r="B149" s="491">
        <v>409053.93</v>
      </c>
    </row>
    <row r="150" spans="1:2" x14ac:dyDescent="0.2">
      <c r="A150" s="492">
        <f t="shared" si="0"/>
        <v>42576</v>
      </c>
      <c r="B150" s="491">
        <v>372421.56</v>
      </c>
    </row>
    <row r="151" spans="1:2" x14ac:dyDescent="0.2">
      <c r="A151" s="492">
        <f t="shared" si="0"/>
        <v>42577</v>
      </c>
      <c r="B151" s="491">
        <v>375562.78</v>
      </c>
    </row>
    <row r="152" spans="1:2" x14ac:dyDescent="0.2">
      <c r="A152" s="492">
        <f t="shared" si="0"/>
        <v>42578</v>
      </c>
      <c r="B152" s="491">
        <v>375563</v>
      </c>
    </row>
    <row r="153" spans="1:2" x14ac:dyDescent="0.2">
      <c r="A153" s="492">
        <f t="shared" si="0"/>
        <v>42579</v>
      </c>
      <c r="B153" s="491">
        <v>366510.98</v>
      </c>
    </row>
    <row r="154" spans="1:2" x14ac:dyDescent="0.2">
      <c r="A154" s="492">
        <f t="shared" si="0"/>
        <v>42580</v>
      </c>
      <c r="B154" s="491">
        <v>366609.48</v>
      </c>
    </row>
    <row r="155" spans="1:2" x14ac:dyDescent="0.2">
      <c r="A155" s="492">
        <f t="shared" si="0"/>
        <v>42583</v>
      </c>
      <c r="B155" s="491">
        <v>382689.69</v>
      </c>
    </row>
    <row r="156" spans="1:2" x14ac:dyDescent="0.2">
      <c r="A156" s="492">
        <f t="shared" si="0"/>
        <v>42584</v>
      </c>
      <c r="B156" s="491">
        <v>382690</v>
      </c>
    </row>
    <row r="157" spans="1:2" x14ac:dyDescent="0.2">
      <c r="A157" s="492">
        <f t="shared" si="0"/>
        <v>42585</v>
      </c>
      <c r="B157" s="491">
        <v>387013.59</v>
      </c>
    </row>
    <row r="158" spans="1:2" x14ac:dyDescent="0.2">
      <c r="A158" s="492">
        <f t="shared" si="0"/>
        <v>42586</v>
      </c>
      <c r="B158" s="491">
        <v>382543.7</v>
      </c>
    </row>
    <row r="159" spans="1:2" x14ac:dyDescent="0.2">
      <c r="A159" s="492">
        <f t="shared" si="0"/>
        <v>42587</v>
      </c>
      <c r="B159" s="491">
        <v>382544</v>
      </c>
    </row>
    <row r="160" spans="1:2" x14ac:dyDescent="0.2">
      <c r="A160" s="492">
        <f t="shared" si="0"/>
        <v>42590</v>
      </c>
      <c r="B160" s="491">
        <v>344510.17</v>
      </c>
    </row>
    <row r="161" spans="1:2" x14ac:dyDescent="0.2">
      <c r="A161" s="492">
        <f t="shared" si="0"/>
        <v>42591</v>
      </c>
      <c r="B161" s="491">
        <v>350095.94</v>
      </c>
    </row>
    <row r="162" spans="1:2" x14ac:dyDescent="0.2">
      <c r="A162" s="492">
        <f t="shared" si="0"/>
        <v>42592</v>
      </c>
      <c r="B162" s="491">
        <v>350096</v>
      </c>
    </row>
    <row r="163" spans="1:2" x14ac:dyDescent="0.2">
      <c r="A163" s="492">
        <f t="shared" si="0"/>
        <v>42593</v>
      </c>
      <c r="B163" s="491">
        <v>355079.15</v>
      </c>
    </row>
    <row r="164" spans="1:2" x14ac:dyDescent="0.2">
      <c r="A164" s="492">
        <f t="shared" si="0"/>
        <v>42594</v>
      </c>
      <c r="B164" s="491">
        <v>356502.11</v>
      </c>
    </row>
    <row r="165" spans="1:2" x14ac:dyDescent="0.2">
      <c r="A165" s="492">
        <f t="shared" si="0"/>
        <v>42597</v>
      </c>
      <c r="B165" s="491">
        <v>408622.46</v>
      </c>
    </row>
    <row r="166" spans="1:2" x14ac:dyDescent="0.2">
      <c r="A166" s="492">
        <f t="shared" si="0"/>
        <v>42598</v>
      </c>
      <c r="B166" s="491">
        <v>408622</v>
      </c>
    </row>
    <row r="167" spans="1:2" x14ac:dyDescent="0.2">
      <c r="A167" s="492">
        <f t="shared" si="0"/>
        <v>42599</v>
      </c>
      <c r="B167" s="491">
        <v>408622</v>
      </c>
    </row>
    <row r="168" spans="1:2" x14ac:dyDescent="0.2">
      <c r="A168" s="492">
        <f t="shared" si="0"/>
        <v>42600</v>
      </c>
      <c r="B168" s="491">
        <v>409931.67</v>
      </c>
    </row>
    <row r="169" spans="1:2" x14ac:dyDescent="0.2">
      <c r="A169" s="492">
        <f t="shared" si="0"/>
        <v>42601</v>
      </c>
      <c r="B169" s="491">
        <v>410189.3</v>
      </c>
    </row>
    <row r="170" spans="1:2" x14ac:dyDescent="0.2">
      <c r="A170" s="492">
        <f t="shared" si="0"/>
        <v>42604</v>
      </c>
      <c r="B170" s="491">
        <v>370399.56</v>
      </c>
    </row>
    <row r="171" spans="1:2" x14ac:dyDescent="0.2">
      <c r="A171" s="492">
        <f t="shared" si="0"/>
        <v>42605</v>
      </c>
      <c r="B171" s="491">
        <v>370399.56</v>
      </c>
    </row>
    <row r="172" spans="1:2" x14ac:dyDescent="0.2">
      <c r="A172" s="492">
        <f t="shared" si="0"/>
        <v>42606</v>
      </c>
      <c r="B172" s="491">
        <v>370400</v>
      </c>
    </row>
    <row r="173" spans="1:2" x14ac:dyDescent="0.2">
      <c r="A173" s="492">
        <f t="shared" si="0"/>
        <v>42607</v>
      </c>
      <c r="B173" s="491">
        <v>359591.19</v>
      </c>
    </row>
    <row r="174" spans="1:2" x14ac:dyDescent="0.2">
      <c r="A174" s="492">
        <f t="shared" si="0"/>
        <v>42608</v>
      </c>
      <c r="B174" s="491">
        <v>399163.14</v>
      </c>
    </row>
    <row r="175" spans="1:2" x14ac:dyDescent="0.2">
      <c r="A175" s="492">
        <f t="shared" si="0"/>
        <v>42611</v>
      </c>
      <c r="B175" s="491">
        <v>407196.62</v>
      </c>
    </row>
    <row r="176" spans="1:2" x14ac:dyDescent="0.2">
      <c r="A176" s="492">
        <f t="shared" si="0"/>
        <v>42612</v>
      </c>
      <c r="B176" s="491">
        <v>422526.97</v>
      </c>
    </row>
    <row r="177" spans="1:5" x14ac:dyDescent="0.2">
      <c r="A177" s="492">
        <f t="shared" si="0"/>
        <v>42613</v>
      </c>
      <c r="B177" s="491">
        <v>479216.05</v>
      </c>
    </row>
    <row r="178" spans="1:5" x14ac:dyDescent="0.2">
      <c r="A178" s="492">
        <f t="shared" si="0"/>
        <v>42614</v>
      </c>
      <c r="B178" s="491">
        <v>479216</v>
      </c>
    </row>
    <row r="179" spans="1:5" x14ac:dyDescent="0.2">
      <c r="A179" s="492">
        <f t="shared" si="0"/>
        <v>42615</v>
      </c>
      <c r="B179" s="491">
        <v>479216</v>
      </c>
    </row>
    <row r="180" spans="1:5" x14ac:dyDescent="0.2">
      <c r="A180" s="492">
        <f t="shared" si="0"/>
        <v>42618</v>
      </c>
      <c r="B180" s="491">
        <v>479216</v>
      </c>
    </row>
    <row r="181" spans="1:5" x14ac:dyDescent="0.2">
      <c r="A181" s="492">
        <f t="shared" si="0"/>
        <v>42619</v>
      </c>
      <c r="B181" s="491">
        <v>440784.82</v>
      </c>
    </row>
    <row r="182" spans="1:5" x14ac:dyDescent="0.2">
      <c r="A182" s="492">
        <f t="shared" si="0"/>
        <v>42620</v>
      </c>
      <c r="B182" s="491">
        <v>440785</v>
      </c>
      <c r="D182" s="493"/>
      <c r="E182" s="494"/>
    </row>
    <row r="183" spans="1:5" x14ac:dyDescent="0.2">
      <c r="A183" s="492">
        <f t="shared" si="0"/>
        <v>42621</v>
      </c>
      <c r="B183" s="491">
        <v>445373.31</v>
      </c>
    </row>
    <row r="184" spans="1:5" x14ac:dyDescent="0.2">
      <c r="A184" s="492">
        <f t="shared" si="0"/>
        <v>42622</v>
      </c>
      <c r="B184" s="491">
        <v>463896.46</v>
      </c>
      <c r="D184" s="493"/>
      <c r="E184" s="494"/>
    </row>
    <row r="185" spans="1:5" x14ac:dyDescent="0.2">
      <c r="A185" s="492">
        <f t="shared" si="0"/>
        <v>42625</v>
      </c>
      <c r="B185" s="491">
        <v>463296.46</v>
      </c>
      <c r="D185" s="493"/>
      <c r="E185" s="494"/>
    </row>
    <row r="186" spans="1:5" x14ac:dyDescent="0.2">
      <c r="A186" s="492">
        <f t="shared" si="0"/>
        <v>42626</v>
      </c>
      <c r="B186" s="491">
        <v>465024.54</v>
      </c>
      <c r="D186" s="493"/>
      <c r="E186" s="494"/>
    </row>
    <row r="187" spans="1:5" x14ac:dyDescent="0.2">
      <c r="A187" s="492">
        <f t="shared" si="0"/>
        <v>42627</v>
      </c>
      <c r="B187" s="491">
        <v>465025</v>
      </c>
      <c r="D187" s="493"/>
      <c r="E187" s="494"/>
    </row>
    <row r="188" spans="1:5" x14ac:dyDescent="0.2">
      <c r="A188" s="492">
        <f t="shared" si="0"/>
        <v>42628</v>
      </c>
      <c r="B188" s="491">
        <v>447444.34</v>
      </c>
      <c r="D188" s="493"/>
      <c r="E188" s="494"/>
    </row>
    <row r="189" spans="1:5" x14ac:dyDescent="0.2">
      <c r="A189" s="492">
        <f t="shared" si="0"/>
        <v>42629</v>
      </c>
      <c r="B189" s="491">
        <v>451135.42</v>
      </c>
      <c r="D189" s="493"/>
      <c r="E189" s="494"/>
    </row>
    <row r="190" spans="1:5" x14ac:dyDescent="0.2">
      <c r="A190" s="492">
        <f t="shared" si="0"/>
        <v>42632</v>
      </c>
      <c r="B190" s="491">
        <v>413924.51</v>
      </c>
      <c r="D190" s="493"/>
      <c r="E190" s="494"/>
    </row>
    <row r="191" spans="1:5" x14ac:dyDescent="0.2">
      <c r="A191" s="492">
        <f t="shared" si="0"/>
        <v>42633</v>
      </c>
      <c r="B191" s="491">
        <v>395080.96000000002</v>
      </c>
      <c r="D191" s="493"/>
      <c r="E191" s="494"/>
    </row>
    <row r="192" spans="1:5" x14ac:dyDescent="0.2">
      <c r="A192" s="492">
        <f t="shared" si="0"/>
        <v>42634</v>
      </c>
      <c r="B192" s="491">
        <v>393852.1</v>
      </c>
      <c r="D192" s="493"/>
      <c r="E192" s="494"/>
    </row>
    <row r="193" spans="1:5" x14ac:dyDescent="0.2">
      <c r="A193" s="492">
        <f t="shared" si="0"/>
        <v>42635</v>
      </c>
      <c r="B193" s="491">
        <v>397757.18</v>
      </c>
      <c r="D193" s="493"/>
      <c r="E193" s="494"/>
    </row>
    <row r="194" spans="1:5" x14ac:dyDescent="0.2">
      <c r="A194" s="492">
        <f t="shared" si="0"/>
        <v>42636</v>
      </c>
      <c r="B194" s="491">
        <v>397757</v>
      </c>
      <c r="D194" s="493"/>
      <c r="E194" s="494"/>
    </row>
    <row r="195" spans="1:5" x14ac:dyDescent="0.2">
      <c r="A195" s="492">
        <f t="shared" si="0"/>
        <v>42639</v>
      </c>
      <c r="B195" s="491">
        <v>397757</v>
      </c>
      <c r="D195" s="493"/>
      <c r="E195" s="494"/>
    </row>
    <row r="196" spans="1:5" x14ac:dyDescent="0.2">
      <c r="A196" s="492">
        <f t="shared" ref="A196:A259" si="1">A191+7</f>
        <v>42640</v>
      </c>
      <c r="B196" s="491">
        <v>403105.59</v>
      </c>
      <c r="D196" s="493"/>
      <c r="E196" s="494"/>
    </row>
    <row r="197" spans="1:5" x14ac:dyDescent="0.2">
      <c r="A197" s="492">
        <f t="shared" si="1"/>
        <v>42641</v>
      </c>
      <c r="B197" s="491">
        <v>394170.51</v>
      </c>
      <c r="D197" s="493"/>
      <c r="E197" s="494"/>
    </row>
    <row r="198" spans="1:5" x14ac:dyDescent="0.2">
      <c r="A198" s="492">
        <f t="shared" si="1"/>
        <v>42642</v>
      </c>
      <c r="B198" s="491">
        <v>397917.56</v>
      </c>
      <c r="D198" s="493"/>
      <c r="E198" s="494"/>
    </row>
    <row r="199" spans="1:5" x14ac:dyDescent="0.2">
      <c r="A199" s="492">
        <f t="shared" si="1"/>
        <v>42643</v>
      </c>
      <c r="B199" s="491">
        <v>397918</v>
      </c>
      <c r="D199" s="493"/>
      <c r="E199" s="494"/>
    </row>
    <row r="200" spans="1:5" x14ac:dyDescent="0.2">
      <c r="A200" s="492">
        <f t="shared" si="1"/>
        <v>42646</v>
      </c>
      <c r="B200" s="491">
        <v>361701.8</v>
      </c>
      <c r="D200" s="493"/>
      <c r="E200" s="494"/>
    </row>
    <row r="201" spans="1:5" x14ac:dyDescent="0.2">
      <c r="A201" s="492">
        <f t="shared" si="1"/>
        <v>42647</v>
      </c>
      <c r="B201" s="491">
        <v>362031.95</v>
      </c>
      <c r="D201" s="493"/>
      <c r="E201" s="494"/>
    </row>
    <row r="202" spans="1:5" x14ac:dyDescent="0.2">
      <c r="A202" s="492">
        <f t="shared" si="1"/>
        <v>42648</v>
      </c>
      <c r="B202" s="491">
        <v>362032</v>
      </c>
    </row>
    <row r="203" spans="1:5" x14ac:dyDescent="0.2">
      <c r="A203" s="492">
        <f t="shared" si="1"/>
        <v>42649</v>
      </c>
      <c r="B203" s="491">
        <v>360433.13</v>
      </c>
    </row>
    <row r="204" spans="1:5" x14ac:dyDescent="0.2">
      <c r="A204" s="492">
        <f t="shared" si="1"/>
        <v>42650</v>
      </c>
      <c r="B204" s="491">
        <v>361754.66</v>
      </c>
    </row>
    <row r="205" spans="1:5" x14ac:dyDescent="0.2">
      <c r="A205" s="492">
        <f t="shared" si="1"/>
        <v>42653</v>
      </c>
      <c r="B205" s="491">
        <v>361755</v>
      </c>
    </row>
    <row r="206" spans="1:5" x14ac:dyDescent="0.2">
      <c r="A206" s="492">
        <f t="shared" si="1"/>
        <v>42654</v>
      </c>
      <c r="B206" s="491">
        <v>361755</v>
      </c>
    </row>
    <row r="207" spans="1:5" x14ac:dyDescent="0.2">
      <c r="A207" s="492">
        <f t="shared" si="1"/>
        <v>42655</v>
      </c>
      <c r="B207" s="491">
        <v>365429.62</v>
      </c>
    </row>
    <row r="208" spans="1:5" x14ac:dyDescent="0.2">
      <c r="A208" s="492">
        <f t="shared" si="1"/>
        <v>42656</v>
      </c>
      <c r="B208" s="491">
        <v>375400.83</v>
      </c>
    </row>
    <row r="209" spans="1:2" x14ac:dyDescent="0.2">
      <c r="A209" s="492">
        <f t="shared" si="1"/>
        <v>42657</v>
      </c>
      <c r="B209" s="491">
        <v>375484.03</v>
      </c>
    </row>
    <row r="210" spans="1:2" x14ac:dyDescent="0.2">
      <c r="A210" s="492">
        <f t="shared" si="1"/>
        <v>42660</v>
      </c>
      <c r="B210" s="491">
        <v>339702.96</v>
      </c>
    </row>
    <row r="211" spans="1:2" x14ac:dyDescent="0.2">
      <c r="A211" s="492">
        <f t="shared" si="1"/>
        <v>42661</v>
      </c>
      <c r="B211" s="491">
        <v>343741.39</v>
      </c>
    </row>
    <row r="212" spans="1:2" x14ac:dyDescent="0.2">
      <c r="A212" s="492">
        <f t="shared" si="1"/>
        <v>42662</v>
      </c>
      <c r="B212" s="491">
        <v>343741</v>
      </c>
    </row>
    <row r="213" spans="1:2" x14ac:dyDescent="0.2">
      <c r="A213" s="492">
        <f t="shared" si="1"/>
        <v>42663</v>
      </c>
      <c r="B213" s="491">
        <v>332267.31</v>
      </c>
    </row>
    <row r="214" spans="1:2" x14ac:dyDescent="0.2">
      <c r="A214" s="492">
        <f t="shared" si="1"/>
        <v>42664</v>
      </c>
      <c r="B214" s="491">
        <v>332482.06</v>
      </c>
    </row>
    <row r="215" spans="1:2" x14ac:dyDescent="0.2">
      <c r="A215" s="492">
        <f t="shared" si="1"/>
        <v>42667</v>
      </c>
      <c r="B215" s="491">
        <v>332482</v>
      </c>
    </row>
    <row r="216" spans="1:2" x14ac:dyDescent="0.2">
      <c r="A216" s="492">
        <f t="shared" si="1"/>
        <v>42668</v>
      </c>
      <c r="B216" s="491">
        <v>337085.39</v>
      </c>
    </row>
    <row r="217" spans="1:2" x14ac:dyDescent="0.2">
      <c r="A217" s="492">
        <f t="shared" si="1"/>
        <v>42669</v>
      </c>
      <c r="B217" s="491">
        <v>337085</v>
      </c>
    </row>
    <row r="218" spans="1:2" x14ac:dyDescent="0.2">
      <c r="A218" s="492">
        <f t="shared" si="1"/>
        <v>42670</v>
      </c>
      <c r="B218" s="491">
        <v>333113.26</v>
      </c>
    </row>
    <row r="219" spans="1:2" x14ac:dyDescent="0.2">
      <c r="A219" s="492">
        <f t="shared" si="1"/>
        <v>42671</v>
      </c>
      <c r="B219" s="491">
        <v>360993.03</v>
      </c>
    </row>
    <row r="220" spans="1:2" x14ac:dyDescent="0.2">
      <c r="A220" s="492">
        <f t="shared" si="1"/>
        <v>42674</v>
      </c>
      <c r="B220" s="491">
        <v>350567.25</v>
      </c>
    </row>
    <row r="221" spans="1:2" x14ac:dyDescent="0.2">
      <c r="A221" s="492">
        <f t="shared" si="1"/>
        <v>42675</v>
      </c>
      <c r="B221" s="491">
        <v>350939.21</v>
      </c>
    </row>
    <row r="222" spans="1:2" x14ac:dyDescent="0.2">
      <c r="A222" s="492">
        <f t="shared" si="1"/>
        <v>42676</v>
      </c>
      <c r="B222" s="491">
        <v>350939</v>
      </c>
    </row>
    <row r="223" spans="1:2" x14ac:dyDescent="0.2">
      <c r="A223" s="492">
        <f t="shared" si="1"/>
        <v>42677</v>
      </c>
      <c r="B223" s="491">
        <v>344148.64</v>
      </c>
    </row>
    <row r="224" spans="1:2" x14ac:dyDescent="0.2">
      <c r="A224" s="492">
        <f t="shared" si="1"/>
        <v>42678</v>
      </c>
      <c r="B224" s="491">
        <v>399084.27</v>
      </c>
    </row>
    <row r="225" spans="1:2" x14ac:dyDescent="0.2">
      <c r="A225" s="492">
        <f t="shared" si="1"/>
        <v>42681</v>
      </c>
      <c r="B225" s="491">
        <v>399084</v>
      </c>
    </row>
    <row r="226" spans="1:2" x14ac:dyDescent="0.2">
      <c r="A226" s="492">
        <f t="shared" si="1"/>
        <v>42682</v>
      </c>
      <c r="B226" s="491">
        <v>403667.29</v>
      </c>
    </row>
    <row r="227" spans="1:2" x14ac:dyDescent="0.2">
      <c r="A227" s="492">
        <f t="shared" si="1"/>
        <v>42683</v>
      </c>
      <c r="B227" s="491">
        <v>403667</v>
      </c>
    </row>
    <row r="228" spans="1:2" x14ac:dyDescent="0.2">
      <c r="A228" s="492">
        <f t="shared" si="1"/>
        <v>42684</v>
      </c>
      <c r="B228" s="491">
        <v>383477.25</v>
      </c>
    </row>
    <row r="229" spans="1:2" x14ac:dyDescent="0.2">
      <c r="A229" s="492">
        <f t="shared" si="1"/>
        <v>42685</v>
      </c>
      <c r="B229" s="491">
        <v>383477</v>
      </c>
    </row>
    <row r="230" spans="1:2" x14ac:dyDescent="0.2">
      <c r="A230" s="492">
        <f t="shared" si="1"/>
        <v>42688</v>
      </c>
      <c r="B230" s="491">
        <v>347717.6</v>
      </c>
    </row>
    <row r="231" spans="1:2" x14ac:dyDescent="0.2">
      <c r="A231" s="492">
        <f t="shared" si="1"/>
        <v>42689</v>
      </c>
      <c r="B231" s="491">
        <v>347836.75</v>
      </c>
    </row>
    <row r="232" spans="1:2" x14ac:dyDescent="0.2">
      <c r="A232" s="492">
        <f t="shared" si="1"/>
        <v>42690</v>
      </c>
      <c r="B232" s="491">
        <v>347836.75</v>
      </c>
    </row>
    <row r="233" spans="1:2" x14ac:dyDescent="0.2">
      <c r="A233" s="492">
        <f t="shared" si="1"/>
        <v>42691</v>
      </c>
      <c r="B233" s="491">
        <v>350935.56</v>
      </c>
    </row>
    <row r="234" spans="1:2" x14ac:dyDescent="0.2">
      <c r="A234" s="492">
        <f t="shared" si="1"/>
        <v>42692</v>
      </c>
      <c r="B234" s="491">
        <v>350936</v>
      </c>
    </row>
    <row r="235" spans="1:2" x14ac:dyDescent="0.2">
      <c r="A235" s="492">
        <f t="shared" si="1"/>
        <v>42695</v>
      </c>
      <c r="B235" s="491">
        <v>350936</v>
      </c>
    </row>
    <row r="236" spans="1:2" x14ac:dyDescent="0.2">
      <c r="A236" s="492">
        <f t="shared" si="1"/>
        <v>42696</v>
      </c>
      <c r="B236" s="491">
        <v>351588.06</v>
      </c>
    </row>
    <row r="237" spans="1:2" x14ac:dyDescent="0.2">
      <c r="A237" s="492">
        <f t="shared" si="1"/>
        <v>42697</v>
      </c>
      <c r="B237" s="491">
        <v>349477.96</v>
      </c>
    </row>
    <row r="238" spans="1:2" x14ac:dyDescent="0.2">
      <c r="A238" s="492">
        <f t="shared" si="1"/>
        <v>42698</v>
      </c>
      <c r="B238" s="491">
        <v>349478</v>
      </c>
    </row>
    <row r="239" spans="1:2" x14ac:dyDescent="0.2">
      <c r="A239" s="492">
        <f t="shared" si="1"/>
        <v>42699</v>
      </c>
      <c r="B239" s="491">
        <v>368170.66</v>
      </c>
    </row>
    <row r="240" spans="1:2" x14ac:dyDescent="0.2">
      <c r="A240" s="492">
        <f t="shared" si="1"/>
        <v>42702</v>
      </c>
      <c r="B240" s="491">
        <v>368170.66</v>
      </c>
    </row>
    <row r="241" spans="1:2" x14ac:dyDescent="0.2">
      <c r="A241" s="492">
        <f t="shared" si="1"/>
        <v>42703</v>
      </c>
      <c r="B241" s="491">
        <v>328902.64</v>
      </c>
    </row>
    <row r="242" spans="1:2" x14ac:dyDescent="0.2">
      <c r="A242" s="492">
        <f t="shared" si="1"/>
        <v>42704</v>
      </c>
      <c r="B242" s="491">
        <v>338455.85</v>
      </c>
    </row>
    <row r="243" spans="1:2" x14ac:dyDescent="0.2">
      <c r="A243" s="492">
        <f t="shared" si="1"/>
        <v>42705</v>
      </c>
      <c r="B243" s="491">
        <v>336997.18</v>
      </c>
    </row>
    <row r="244" spans="1:2" x14ac:dyDescent="0.2">
      <c r="A244" s="492">
        <f t="shared" si="1"/>
        <v>42706</v>
      </c>
      <c r="B244" s="491">
        <v>342825.59</v>
      </c>
    </row>
    <row r="245" spans="1:2" x14ac:dyDescent="0.2">
      <c r="A245" s="492">
        <f t="shared" si="1"/>
        <v>42709</v>
      </c>
      <c r="B245" s="491">
        <v>342826</v>
      </c>
    </row>
    <row r="246" spans="1:2" x14ac:dyDescent="0.2">
      <c r="A246" s="492">
        <f t="shared" si="1"/>
        <v>42710</v>
      </c>
      <c r="B246" s="491">
        <v>344457.81</v>
      </c>
    </row>
    <row r="247" spans="1:2" x14ac:dyDescent="0.2">
      <c r="A247" s="492">
        <f t="shared" si="1"/>
        <v>42711</v>
      </c>
      <c r="B247" s="491">
        <v>366772.64</v>
      </c>
    </row>
    <row r="248" spans="1:2" x14ac:dyDescent="0.2">
      <c r="A248" s="492">
        <f t="shared" si="1"/>
        <v>42712</v>
      </c>
      <c r="B248" s="491">
        <v>366772.6</v>
      </c>
    </row>
    <row r="249" spans="1:2" x14ac:dyDescent="0.2">
      <c r="A249" s="492">
        <f t="shared" si="1"/>
        <v>42713</v>
      </c>
      <c r="B249" s="491">
        <v>366773</v>
      </c>
    </row>
    <row r="250" spans="1:2" x14ac:dyDescent="0.2">
      <c r="A250" s="492">
        <f t="shared" si="1"/>
        <v>42716</v>
      </c>
      <c r="B250" s="491">
        <v>366773</v>
      </c>
    </row>
    <row r="251" spans="1:2" x14ac:dyDescent="0.2">
      <c r="A251" s="492">
        <f t="shared" si="1"/>
        <v>42717</v>
      </c>
      <c r="B251" s="491">
        <v>346535.44</v>
      </c>
    </row>
    <row r="252" spans="1:2" x14ac:dyDescent="0.2">
      <c r="A252" s="492">
        <f t="shared" si="1"/>
        <v>42718</v>
      </c>
      <c r="B252" s="491">
        <v>346535</v>
      </c>
    </row>
    <row r="253" spans="1:2" x14ac:dyDescent="0.2">
      <c r="A253" s="492">
        <f t="shared" si="1"/>
        <v>42719</v>
      </c>
      <c r="B253" s="491">
        <v>335522.11</v>
      </c>
    </row>
    <row r="254" spans="1:2" x14ac:dyDescent="0.2">
      <c r="A254" s="492">
        <f t="shared" si="1"/>
        <v>42720</v>
      </c>
      <c r="B254" s="491">
        <v>335675.99</v>
      </c>
    </row>
    <row r="255" spans="1:2" x14ac:dyDescent="0.2">
      <c r="A255" s="492">
        <f t="shared" si="1"/>
        <v>42723</v>
      </c>
      <c r="B255" s="491">
        <v>357268.43</v>
      </c>
    </row>
    <row r="256" spans="1:2" x14ac:dyDescent="0.2">
      <c r="A256" s="492">
        <f t="shared" si="1"/>
        <v>42724</v>
      </c>
      <c r="B256" s="491">
        <v>357268</v>
      </c>
    </row>
    <row r="257" spans="1:2" x14ac:dyDescent="0.2">
      <c r="A257" s="492">
        <f t="shared" si="1"/>
        <v>42725</v>
      </c>
      <c r="B257" s="491">
        <v>366192.91</v>
      </c>
    </row>
    <row r="258" spans="1:2" x14ac:dyDescent="0.2">
      <c r="A258" s="492">
        <f t="shared" si="1"/>
        <v>42726</v>
      </c>
      <c r="B258" s="491">
        <v>377001.67</v>
      </c>
    </row>
    <row r="259" spans="1:2" x14ac:dyDescent="0.2">
      <c r="A259" s="492">
        <f t="shared" si="1"/>
        <v>42727</v>
      </c>
      <c r="B259" s="491">
        <v>377329.67</v>
      </c>
    </row>
    <row r="260" spans="1:2" x14ac:dyDescent="0.2">
      <c r="A260" s="492">
        <f t="shared" ref="A260:A264" si="2">A255+7</f>
        <v>42730</v>
      </c>
      <c r="B260" s="491">
        <v>377330</v>
      </c>
    </row>
    <row r="261" spans="1:2" x14ac:dyDescent="0.2">
      <c r="A261" s="492">
        <f t="shared" si="2"/>
        <v>42731</v>
      </c>
      <c r="B261" s="491">
        <v>339782.53</v>
      </c>
    </row>
    <row r="262" spans="1:2" x14ac:dyDescent="0.2">
      <c r="A262" s="492">
        <f t="shared" si="2"/>
        <v>42732</v>
      </c>
      <c r="B262" s="491">
        <v>339783</v>
      </c>
    </row>
    <row r="263" spans="1:2" x14ac:dyDescent="0.2">
      <c r="A263" s="492">
        <f t="shared" si="2"/>
        <v>42733</v>
      </c>
      <c r="B263" s="491">
        <v>337987.77</v>
      </c>
    </row>
    <row r="264" spans="1:2" x14ac:dyDescent="0.2">
      <c r="A264" s="492">
        <f t="shared" si="2"/>
        <v>42734</v>
      </c>
      <c r="B264" s="491">
        <v>354814.33</v>
      </c>
    </row>
    <row r="265" spans="1:2" x14ac:dyDescent="0.2">
      <c r="A265" s="514">
        <v>42737</v>
      </c>
      <c r="B265" s="515">
        <v>354814</v>
      </c>
    </row>
    <row r="266" spans="1:2" x14ac:dyDescent="0.2">
      <c r="A266" s="514">
        <v>42738</v>
      </c>
      <c r="B266" s="515">
        <v>361866.86</v>
      </c>
    </row>
    <row r="267" spans="1:2" x14ac:dyDescent="0.2">
      <c r="A267" s="514">
        <v>42739</v>
      </c>
      <c r="B267" s="515">
        <v>363519.32</v>
      </c>
    </row>
    <row r="268" spans="1:2" x14ac:dyDescent="0.2">
      <c r="A268" s="514">
        <v>42740</v>
      </c>
      <c r="B268" s="515">
        <v>361866.66</v>
      </c>
    </row>
    <row r="269" spans="1:2" x14ac:dyDescent="0.2">
      <c r="A269" s="514">
        <v>42741</v>
      </c>
      <c r="B269" s="515">
        <v>363519</v>
      </c>
    </row>
    <row r="270" spans="1:2" x14ac:dyDescent="0.2">
      <c r="A270" s="514">
        <v>42744</v>
      </c>
      <c r="B270" s="515">
        <v>363543.47</v>
      </c>
    </row>
    <row r="271" spans="1:2" x14ac:dyDescent="0.2">
      <c r="A271" s="514">
        <v>42745</v>
      </c>
      <c r="B271" s="515">
        <v>328707.83</v>
      </c>
    </row>
    <row r="272" spans="1:2" x14ac:dyDescent="0.2">
      <c r="A272" s="514">
        <v>42746</v>
      </c>
      <c r="B272" s="515">
        <v>328708</v>
      </c>
    </row>
    <row r="273" spans="1:2" x14ac:dyDescent="0.2">
      <c r="A273" s="514">
        <v>42747</v>
      </c>
      <c r="B273" s="515">
        <v>321086.01</v>
      </c>
    </row>
    <row r="274" spans="1:2" x14ac:dyDescent="0.2">
      <c r="A274" s="514">
        <v>42748</v>
      </c>
      <c r="B274" s="515">
        <v>334097.28000000003</v>
      </c>
    </row>
    <row r="275" spans="1:2" x14ac:dyDescent="0.2">
      <c r="A275" s="514">
        <v>42751</v>
      </c>
      <c r="B275" s="515">
        <v>334097</v>
      </c>
    </row>
    <row r="276" spans="1:2" x14ac:dyDescent="0.2">
      <c r="A276" s="514">
        <v>42752</v>
      </c>
      <c r="B276" s="515">
        <v>268850.96000000002</v>
      </c>
    </row>
    <row r="277" spans="1:2" x14ac:dyDescent="0.2">
      <c r="A277" s="514">
        <v>42753</v>
      </c>
      <c r="B277" s="515">
        <v>268851</v>
      </c>
    </row>
    <row r="278" spans="1:2" x14ac:dyDescent="0.2">
      <c r="A278" s="514">
        <v>42754</v>
      </c>
      <c r="B278" s="515">
        <v>269075.21000000002</v>
      </c>
    </row>
    <row r="279" spans="1:2" x14ac:dyDescent="0.2">
      <c r="A279" s="514">
        <v>42755</v>
      </c>
      <c r="B279" s="515">
        <v>270983.21000000002</v>
      </c>
    </row>
    <row r="280" spans="1:2" x14ac:dyDescent="0.2">
      <c r="A280" s="514">
        <v>42758</v>
      </c>
      <c r="B280" s="515">
        <v>270983</v>
      </c>
    </row>
    <row r="281" spans="1:2" x14ac:dyDescent="0.2">
      <c r="A281" s="514">
        <v>42759</v>
      </c>
      <c r="B281" s="515">
        <v>270723.98</v>
      </c>
    </row>
    <row r="282" spans="1:2" x14ac:dyDescent="0.2">
      <c r="A282" s="514">
        <v>42760</v>
      </c>
      <c r="B282" s="515">
        <v>281353.09999999998</v>
      </c>
    </row>
    <row r="283" spans="1:2" x14ac:dyDescent="0.2">
      <c r="A283" s="514">
        <v>42761</v>
      </c>
      <c r="B283" s="515">
        <v>274313.84999999998</v>
      </c>
    </row>
    <row r="284" spans="1:2" x14ac:dyDescent="0.2">
      <c r="A284" s="514">
        <v>42762</v>
      </c>
      <c r="B284" s="515">
        <v>296447.59999999998</v>
      </c>
    </row>
    <row r="285" spans="1:2" x14ac:dyDescent="0.2">
      <c r="A285" s="514">
        <v>42765</v>
      </c>
      <c r="B285" s="515">
        <v>295107.96000000002</v>
      </c>
    </row>
    <row r="286" spans="1:2" x14ac:dyDescent="0.2">
      <c r="A286" s="514">
        <v>42766</v>
      </c>
      <c r="B286" s="515">
        <v>314030.53000000003</v>
      </c>
    </row>
    <row r="287" spans="1:2" x14ac:dyDescent="0.2">
      <c r="A287" s="514">
        <v>42767</v>
      </c>
      <c r="B287" s="515">
        <v>314031</v>
      </c>
    </row>
    <row r="288" spans="1:2" x14ac:dyDescent="0.2">
      <c r="A288" s="514">
        <v>42768</v>
      </c>
      <c r="B288" s="515">
        <v>312808.53999999998</v>
      </c>
    </row>
    <row r="289" spans="1:2" x14ac:dyDescent="0.2">
      <c r="A289" s="514">
        <v>42769</v>
      </c>
      <c r="B289" s="515">
        <v>316461.53999999998</v>
      </c>
    </row>
    <row r="290" spans="1:2" x14ac:dyDescent="0.2">
      <c r="A290" s="514">
        <v>42772</v>
      </c>
      <c r="B290" s="515">
        <v>316462</v>
      </c>
    </row>
    <row r="291" spans="1:2" x14ac:dyDescent="0.2">
      <c r="A291" s="514">
        <v>42773</v>
      </c>
      <c r="B291" s="515">
        <v>289560.21999999997</v>
      </c>
    </row>
    <row r="292" spans="1:2" x14ac:dyDescent="0.2">
      <c r="A292" s="514">
        <v>42774</v>
      </c>
      <c r="B292" s="515">
        <v>297310.21999999997</v>
      </c>
    </row>
    <row r="293" spans="1:2" x14ac:dyDescent="0.2">
      <c r="A293" s="514">
        <v>42775</v>
      </c>
      <c r="B293" s="515">
        <v>352433.91</v>
      </c>
    </row>
    <row r="294" spans="1:2" x14ac:dyDescent="0.2">
      <c r="A294" s="514">
        <v>42776</v>
      </c>
      <c r="B294" s="515">
        <v>352434</v>
      </c>
    </row>
    <row r="295" spans="1:2" x14ac:dyDescent="0.2">
      <c r="A295" s="514">
        <v>42779</v>
      </c>
      <c r="B295" s="515">
        <v>352434</v>
      </c>
    </row>
    <row r="296" spans="1:2" x14ac:dyDescent="0.2">
      <c r="A296" s="514">
        <v>42780</v>
      </c>
      <c r="B296" s="515">
        <v>352434</v>
      </c>
    </row>
    <row r="297" spans="1:2" x14ac:dyDescent="0.2">
      <c r="A297" s="514">
        <v>42781</v>
      </c>
      <c r="B297" s="515">
        <v>352542.46</v>
      </c>
    </row>
    <row r="298" spans="1:2" x14ac:dyDescent="0.2">
      <c r="A298" s="514">
        <v>42782</v>
      </c>
      <c r="B298" s="515">
        <v>383231.99</v>
      </c>
    </row>
    <row r="299" spans="1:2" x14ac:dyDescent="0.2">
      <c r="A299" s="514">
        <v>42783</v>
      </c>
      <c r="B299" s="548">
        <v>404679.36</v>
      </c>
    </row>
    <row r="300" spans="1:2" x14ac:dyDescent="0.2">
      <c r="A300" s="514">
        <v>42785</v>
      </c>
      <c r="B300" s="515">
        <v>404679</v>
      </c>
    </row>
    <row r="301" spans="1:2" x14ac:dyDescent="0.2">
      <c r="A301" s="514">
        <v>42787</v>
      </c>
      <c r="B301" s="515">
        <v>368703.72</v>
      </c>
    </row>
    <row r="302" spans="1:2" x14ac:dyDescent="0.2">
      <c r="A302" s="514">
        <v>42788</v>
      </c>
      <c r="B302" s="515">
        <v>368203.72</v>
      </c>
    </row>
    <row r="303" spans="1:2" x14ac:dyDescent="0.2">
      <c r="A303" s="514">
        <v>42789</v>
      </c>
      <c r="B303" s="515">
        <v>349211.92</v>
      </c>
    </row>
    <row r="304" spans="1:2" x14ac:dyDescent="0.2">
      <c r="A304" s="514">
        <v>42790</v>
      </c>
      <c r="B304" s="515">
        <v>384176.45</v>
      </c>
    </row>
    <row r="305" spans="1:2" x14ac:dyDescent="0.2">
      <c r="A305" s="514">
        <v>42793</v>
      </c>
      <c r="B305" s="515">
        <v>384176</v>
      </c>
    </row>
    <row r="306" spans="1:2" x14ac:dyDescent="0.2">
      <c r="A306" s="514">
        <v>42794</v>
      </c>
      <c r="B306" s="515">
        <v>384176</v>
      </c>
    </row>
    <row r="307" spans="1:2" x14ac:dyDescent="0.2">
      <c r="A307" s="514">
        <v>42795</v>
      </c>
      <c r="B307" s="515">
        <v>384176</v>
      </c>
    </row>
    <row r="308" spans="1:2" x14ac:dyDescent="0.2">
      <c r="A308" s="514">
        <v>42796</v>
      </c>
      <c r="B308" s="515">
        <v>395396.43</v>
      </c>
    </row>
    <row r="309" spans="1:2" x14ac:dyDescent="0.2">
      <c r="A309" s="514">
        <v>42797</v>
      </c>
      <c r="B309" s="515">
        <v>395396</v>
      </c>
    </row>
    <row r="310" spans="1:2" x14ac:dyDescent="0.2">
      <c r="A310" s="514">
        <v>42800</v>
      </c>
      <c r="B310" s="515">
        <v>395396</v>
      </c>
    </row>
    <row r="311" spans="1:2" x14ac:dyDescent="0.2">
      <c r="A311" s="514">
        <v>42801</v>
      </c>
      <c r="B311" s="515">
        <v>361856.47</v>
      </c>
    </row>
    <row r="312" spans="1:2" x14ac:dyDescent="0.2">
      <c r="A312" s="514">
        <v>42802</v>
      </c>
      <c r="B312" s="515">
        <v>361856</v>
      </c>
    </row>
    <row r="313" spans="1:2" x14ac:dyDescent="0.2">
      <c r="A313" s="514">
        <v>42803</v>
      </c>
      <c r="B313" s="515">
        <v>349877.16</v>
      </c>
    </row>
    <row r="314" spans="1:2" x14ac:dyDescent="0.2">
      <c r="A314" s="514">
        <v>42804</v>
      </c>
      <c r="B314" s="515">
        <v>359297.81</v>
      </c>
    </row>
    <row r="315" spans="1:2" x14ac:dyDescent="0.2">
      <c r="A315" s="514">
        <v>42807</v>
      </c>
      <c r="B315" s="515">
        <v>361678.91</v>
      </c>
    </row>
    <row r="316" spans="1:2" x14ac:dyDescent="0.2">
      <c r="A316" s="514">
        <v>42808</v>
      </c>
      <c r="B316" s="515">
        <v>361679</v>
      </c>
    </row>
    <row r="317" spans="1:2" x14ac:dyDescent="0.2">
      <c r="A317" s="514">
        <v>42809</v>
      </c>
      <c r="B317" s="515">
        <v>370843.37</v>
      </c>
    </row>
    <row r="318" spans="1:2" x14ac:dyDescent="0.2">
      <c r="A318" s="514">
        <v>42810</v>
      </c>
      <c r="B318" s="515">
        <v>377566.07</v>
      </c>
    </row>
    <row r="319" spans="1:2" x14ac:dyDescent="0.2">
      <c r="A319" s="514">
        <v>42811</v>
      </c>
      <c r="B319" s="515">
        <v>370373.97</v>
      </c>
    </row>
    <row r="320" spans="1:2" x14ac:dyDescent="0.2">
      <c r="A320" s="514">
        <v>42814</v>
      </c>
      <c r="B320" s="515">
        <v>338340.3</v>
      </c>
    </row>
    <row r="321" spans="1:2" x14ac:dyDescent="0.2">
      <c r="A321" s="514">
        <v>42815</v>
      </c>
      <c r="B321" s="515">
        <v>338340</v>
      </c>
    </row>
    <row r="322" spans="1:2" x14ac:dyDescent="0.2">
      <c r="A322" s="514">
        <v>42816</v>
      </c>
      <c r="B322" s="515">
        <v>338340</v>
      </c>
    </row>
    <row r="323" spans="1:2" x14ac:dyDescent="0.2">
      <c r="A323" s="514">
        <v>42817</v>
      </c>
      <c r="B323" s="515">
        <f>25944.71+322493.66</f>
        <v>348438.37</v>
      </c>
    </row>
    <row r="324" spans="1:2" x14ac:dyDescent="0.2">
      <c r="A324" s="514">
        <v>42818</v>
      </c>
      <c r="B324" s="515">
        <v>348438</v>
      </c>
    </row>
    <row r="325" spans="1:2" x14ac:dyDescent="0.2">
      <c r="A325" s="514">
        <v>42821</v>
      </c>
      <c r="B325" s="515">
        <v>348360.51</v>
      </c>
    </row>
    <row r="326" spans="1:2" x14ac:dyDescent="0.2">
      <c r="A326" s="514">
        <v>42822</v>
      </c>
      <c r="B326" s="491">
        <v>348440.48</v>
      </c>
    </row>
    <row r="327" spans="1:2" x14ac:dyDescent="0.2">
      <c r="A327" s="514">
        <v>42823</v>
      </c>
      <c r="B327" s="491">
        <v>348440</v>
      </c>
    </row>
    <row r="328" spans="1:2" x14ac:dyDescent="0.2">
      <c r="A328" s="514">
        <v>42824</v>
      </c>
      <c r="B328" s="491">
        <v>350305.92</v>
      </c>
    </row>
    <row r="329" spans="1:2" x14ac:dyDescent="0.2">
      <c r="A329" s="514">
        <v>42825</v>
      </c>
      <c r="B329" s="491">
        <v>350306</v>
      </c>
    </row>
    <row r="330" spans="1:2" x14ac:dyDescent="0.2">
      <c r="A330" s="514">
        <v>42828</v>
      </c>
      <c r="B330" s="491">
        <v>350306</v>
      </c>
    </row>
    <row r="331" spans="1:2" x14ac:dyDescent="0.2">
      <c r="A331" s="514">
        <v>42829</v>
      </c>
      <c r="B331" s="491">
        <v>320389.65000000002</v>
      </c>
    </row>
    <row r="332" spans="1:2" x14ac:dyDescent="0.2">
      <c r="A332" s="514">
        <v>42830</v>
      </c>
      <c r="B332" s="491">
        <v>320390</v>
      </c>
    </row>
    <row r="333" spans="1:2" x14ac:dyDescent="0.2">
      <c r="A333" s="514">
        <v>42831</v>
      </c>
      <c r="B333" s="491">
        <v>313344</v>
      </c>
    </row>
    <row r="334" spans="1:2" x14ac:dyDescent="0.2">
      <c r="A334" s="514">
        <v>42832</v>
      </c>
      <c r="B334" s="491">
        <v>313344</v>
      </c>
    </row>
    <row r="335" spans="1:2" x14ac:dyDescent="0.2">
      <c r="A335" s="514">
        <v>42835</v>
      </c>
      <c r="B335" s="491">
        <v>306132.78000000003</v>
      </c>
    </row>
    <row r="336" spans="1:2" x14ac:dyDescent="0.2">
      <c r="A336" s="514">
        <v>42836</v>
      </c>
      <c r="B336" s="491">
        <v>286047.34999999998</v>
      </c>
    </row>
    <row r="337" spans="1:2" x14ac:dyDescent="0.2">
      <c r="A337" s="514">
        <v>42837</v>
      </c>
      <c r="B337" s="491">
        <v>286047</v>
      </c>
    </row>
    <row r="338" spans="1:2" x14ac:dyDescent="0.2">
      <c r="A338" s="514">
        <v>42838</v>
      </c>
      <c r="B338" s="491">
        <v>272128.99</v>
      </c>
    </row>
    <row r="339" spans="1:2" x14ac:dyDescent="0.2">
      <c r="A339" s="514">
        <v>42839</v>
      </c>
      <c r="B339" s="491">
        <v>272229.71000000002</v>
      </c>
    </row>
    <row r="340" spans="1:2" x14ac:dyDescent="0.2">
      <c r="A340" s="514">
        <v>42842</v>
      </c>
      <c r="B340" s="491">
        <v>236683.56</v>
      </c>
    </row>
    <row r="341" spans="1:2" x14ac:dyDescent="0.2">
      <c r="A341" s="514">
        <v>42843</v>
      </c>
      <c r="B341" s="491">
        <v>244114.64</v>
      </c>
    </row>
    <row r="342" spans="1:2" x14ac:dyDescent="0.2">
      <c r="A342" s="514">
        <v>42844</v>
      </c>
      <c r="B342" s="491">
        <v>244115</v>
      </c>
    </row>
    <row r="343" spans="1:2" x14ac:dyDescent="0.2">
      <c r="A343" s="514">
        <v>42845</v>
      </c>
      <c r="B343" s="491">
        <v>241798.76</v>
      </c>
    </row>
    <row r="344" spans="1:2" x14ac:dyDescent="0.2">
      <c r="A344" s="514">
        <v>42846</v>
      </c>
      <c r="B344" s="491">
        <v>241799</v>
      </c>
    </row>
    <row r="345" spans="1:2" x14ac:dyDescent="0.2">
      <c r="A345" s="514">
        <v>42849</v>
      </c>
      <c r="B345" s="491">
        <v>241973.76000000001</v>
      </c>
    </row>
    <row r="346" spans="1:2" x14ac:dyDescent="0.2">
      <c r="A346" s="514">
        <v>42850</v>
      </c>
      <c r="B346" s="491">
        <v>243364.2</v>
      </c>
    </row>
    <row r="347" spans="1:2" x14ac:dyDescent="0.2">
      <c r="A347" s="514">
        <v>42851</v>
      </c>
      <c r="B347" s="491">
        <v>243364</v>
      </c>
    </row>
    <row r="348" spans="1:2" x14ac:dyDescent="0.2">
      <c r="A348" s="514">
        <v>42852</v>
      </c>
      <c r="B348" s="491">
        <v>259265.45</v>
      </c>
    </row>
    <row r="349" spans="1:2" x14ac:dyDescent="0.2">
      <c r="A349" s="514">
        <v>42853</v>
      </c>
      <c r="B349" s="491">
        <v>290731.18</v>
      </c>
    </row>
    <row r="350" spans="1:2" x14ac:dyDescent="0.2">
      <c r="A350" s="514">
        <v>42856</v>
      </c>
      <c r="B350" s="491">
        <v>251486.17</v>
      </c>
    </row>
    <row r="351" spans="1:2" x14ac:dyDescent="0.2">
      <c r="A351" s="514">
        <v>42857</v>
      </c>
      <c r="B351" s="491">
        <v>253188.17</v>
      </c>
    </row>
    <row r="352" spans="1:2" x14ac:dyDescent="0.2">
      <c r="A352" s="514">
        <v>42858</v>
      </c>
      <c r="B352" s="491">
        <v>253188</v>
      </c>
    </row>
    <row r="353" spans="1:2" x14ac:dyDescent="0.2">
      <c r="A353" s="514">
        <v>42859</v>
      </c>
      <c r="B353" s="491">
        <v>232739.33</v>
      </c>
    </row>
    <row r="354" spans="1:2" x14ac:dyDescent="0.2">
      <c r="A354" s="514">
        <v>42860</v>
      </c>
      <c r="B354" s="491">
        <v>234049.33</v>
      </c>
    </row>
    <row r="355" spans="1:2" x14ac:dyDescent="0.2">
      <c r="A355" s="514">
        <v>42863</v>
      </c>
      <c r="B355" s="491">
        <v>314317.77</v>
      </c>
    </row>
    <row r="356" spans="1:2" x14ac:dyDescent="0.2">
      <c r="A356" s="514">
        <v>42864</v>
      </c>
      <c r="B356" s="491">
        <v>314318</v>
      </c>
    </row>
    <row r="357" spans="1:2" x14ac:dyDescent="0.2">
      <c r="A357" s="514">
        <v>42865</v>
      </c>
      <c r="B357" s="491">
        <v>314318</v>
      </c>
    </row>
    <row r="358" spans="1:2" x14ac:dyDescent="0.2">
      <c r="A358" s="514">
        <v>42866</v>
      </c>
      <c r="B358" s="491">
        <v>313971.28000000003</v>
      </c>
    </row>
    <row r="359" spans="1:2" x14ac:dyDescent="0.2">
      <c r="A359" s="514">
        <v>42867</v>
      </c>
      <c r="B359" s="491">
        <v>313971</v>
      </c>
    </row>
    <row r="360" spans="1:2" x14ac:dyDescent="0.2">
      <c r="A360" s="514">
        <v>42870</v>
      </c>
      <c r="B360" s="491">
        <v>271063.69</v>
      </c>
    </row>
    <row r="361" spans="1:2" x14ac:dyDescent="0.2">
      <c r="A361" s="514">
        <v>42871</v>
      </c>
      <c r="B361" s="491">
        <v>271064</v>
      </c>
    </row>
    <row r="362" spans="1:2" x14ac:dyDescent="0.2">
      <c r="A362" s="514">
        <v>42872</v>
      </c>
      <c r="B362" s="491">
        <v>271064</v>
      </c>
    </row>
    <row r="363" spans="1:2" x14ac:dyDescent="0.2">
      <c r="A363" s="514">
        <v>42873</v>
      </c>
      <c r="B363" s="491">
        <v>261497.73</v>
      </c>
    </row>
    <row r="364" spans="1:2" x14ac:dyDescent="0.2">
      <c r="A364" s="514">
        <v>42874</v>
      </c>
      <c r="B364" s="491">
        <v>311507.92</v>
      </c>
    </row>
    <row r="365" spans="1:2" x14ac:dyDescent="0.2">
      <c r="A365" s="514">
        <v>42877</v>
      </c>
      <c r="B365" s="491">
        <v>290080.52</v>
      </c>
    </row>
    <row r="366" spans="1:2" x14ac:dyDescent="0.2">
      <c r="A366" s="514">
        <v>42878</v>
      </c>
      <c r="B366" s="491">
        <v>290081</v>
      </c>
    </row>
    <row r="367" spans="1:2" x14ac:dyDescent="0.2">
      <c r="A367" s="514">
        <v>42879</v>
      </c>
      <c r="B367" s="491">
        <v>327080.46000000002</v>
      </c>
    </row>
    <row r="368" spans="1:2" x14ac:dyDescent="0.2">
      <c r="A368" s="514">
        <v>42880</v>
      </c>
      <c r="B368" s="491">
        <v>327080</v>
      </c>
    </row>
    <row r="369" spans="1:2" x14ac:dyDescent="0.2">
      <c r="A369" s="514">
        <v>42881</v>
      </c>
      <c r="B369" s="491">
        <v>336844.12</v>
      </c>
    </row>
    <row r="370" spans="1:2" x14ac:dyDescent="0.2">
      <c r="A370" s="514">
        <v>42884</v>
      </c>
      <c r="B370" s="491">
        <v>336844</v>
      </c>
    </row>
    <row r="371" spans="1:2" x14ac:dyDescent="0.2">
      <c r="A371" s="514">
        <v>42885</v>
      </c>
      <c r="B371" s="491">
        <v>300553.48</v>
      </c>
    </row>
    <row r="372" spans="1:2" x14ac:dyDescent="0.2">
      <c r="A372" s="514">
        <v>42886</v>
      </c>
      <c r="B372" s="491">
        <v>296887.5</v>
      </c>
    </row>
    <row r="373" spans="1:2" x14ac:dyDescent="0.2">
      <c r="A373" s="514">
        <v>42887</v>
      </c>
      <c r="B373" s="491">
        <v>297355.68</v>
      </c>
    </row>
    <row r="374" spans="1:2" x14ac:dyDescent="0.2">
      <c r="A374" s="514">
        <v>42888</v>
      </c>
      <c r="B374" s="491">
        <v>298760.68</v>
      </c>
    </row>
    <row r="375" spans="1:2" x14ac:dyDescent="0.2">
      <c r="A375" s="514">
        <v>42891</v>
      </c>
      <c r="B375" s="491">
        <v>279006.82</v>
      </c>
    </row>
    <row r="376" spans="1:2" x14ac:dyDescent="0.2">
      <c r="A376" s="514">
        <v>42892</v>
      </c>
      <c r="B376" s="491">
        <v>279007</v>
      </c>
    </row>
    <row r="377" spans="1:2" x14ac:dyDescent="0.2">
      <c r="A377" s="514">
        <v>42893</v>
      </c>
      <c r="B377" s="491">
        <v>279007</v>
      </c>
    </row>
    <row r="378" spans="1:2" x14ac:dyDescent="0.2">
      <c r="A378" s="514">
        <v>42894</v>
      </c>
      <c r="B378" s="491">
        <v>279112.07</v>
      </c>
    </row>
    <row r="379" spans="1:2" x14ac:dyDescent="0.2">
      <c r="A379" s="514">
        <v>42895</v>
      </c>
      <c r="B379" s="491">
        <v>279112</v>
      </c>
    </row>
    <row r="380" spans="1:2" x14ac:dyDescent="0.2">
      <c r="A380" s="514">
        <v>42898</v>
      </c>
      <c r="B380" s="491">
        <v>244072.02</v>
      </c>
    </row>
    <row r="381" spans="1:2" x14ac:dyDescent="0.2">
      <c r="A381" s="514">
        <v>42899</v>
      </c>
      <c r="B381" s="491">
        <v>249325.41</v>
      </c>
    </row>
    <row r="382" spans="1:2" x14ac:dyDescent="0.2">
      <c r="A382" s="514">
        <v>42900</v>
      </c>
      <c r="B382" s="491">
        <v>249325</v>
      </c>
    </row>
    <row r="383" spans="1:2" x14ac:dyDescent="0.2">
      <c r="A383" s="514">
        <v>42901</v>
      </c>
      <c r="B383" s="491">
        <v>252874.48</v>
      </c>
    </row>
    <row r="384" spans="1:2" x14ac:dyDescent="0.2">
      <c r="A384" s="514">
        <v>42902</v>
      </c>
      <c r="B384" s="491">
        <v>253128.65</v>
      </c>
    </row>
    <row r="385" spans="1:2" x14ac:dyDescent="0.2">
      <c r="A385" s="514">
        <v>42905</v>
      </c>
      <c r="B385" s="491">
        <v>255098.96</v>
      </c>
    </row>
    <row r="386" spans="1:2" x14ac:dyDescent="0.2">
      <c r="A386" s="514">
        <v>42906</v>
      </c>
      <c r="B386" s="491">
        <v>253521.42</v>
      </c>
    </row>
    <row r="387" spans="1:2" x14ac:dyDescent="0.2">
      <c r="A387" s="514">
        <v>42907</v>
      </c>
      <c r="B387" s="491">
        <v>253521</v>
      </c>
    </row>
    <row r="388" spans="1:2" x14ac:dyDescent="0.2">
      <c r="A388" s="514">
        <v>42908</v>
      </c>
      <c r="B388" s="491">
        <v>235912.36</v>
      </c>
    </row>
    <row r="389" spans="1:2" x14ac:dyDescent="0.2">
      <c r="A389" s="514">
        <v>42909</v>
      </c>
      <c r="B389" s="491">
        <v>235912</v>
      </c>
    </row>
    <row r="390" spans="1:2" x14ac:dyDescent="0.2">
      <c r="A390" s="514">
        <v>42912</v>
      </c>
      <c r="B390" s="549">
        <v>198879.76</v>
      </c>
    </row>
    <row r="391" spans="1:2" x14ac:dyDescent="0.2">
      <c r="A391" s="514">
        <v>42913</v>
      </c>
      <c r="B391" s="491">
        <v>199009.76</v>
      </c>
    </row>
    <row r="392" spans="1:2" x14ac:dyDescent="0.2">
      <c r="A392" s="514">
        <v>42914</v>
      </c>
      <c r="B392" s="491">
        <v>199010</v>
      </c>
    </row>
    <row r="393" spans="1:2" x14ac:dyDescent="0.2">
      <c r="A393" s="514">
        <v>42915</v>
      </c>
      <c r="B393" s="491">
        <v>210354</v>
      </c>
    </row>
    <row r="394" spans="1:2" x14ac:dyDescent="0.2">
      <c r="A394" s="514">
        <v>42916</v>
      </c>
      <c r="B394" s="491">
        <v>260779.62</v>
      </c>
    </row>
    <row r="395" spans="1:2" x14ac:dyDescent="0.2">
      <c r="A395" s="514">
        <v>42919</v>
      </c>
      <c r="B395" s="491">
        <v>260780</v>
      </c>
    </row>
    <row r="396" spans="1:2" x14ac:dyDescent="0.2">
      <c r="A396" s="514">
        <v>42920</v>
      </c>
      <c r="B396" s="491">
        <v>260780</v>
      </c>
    </row>
    <row r="397" spans="1:2" x14ac:dyDescent="0.2">
      <c r="A397" s="514">
        <v>42921</v>
      </c>
      <c r="B397" s="491">
        <v>260780</v>
      </c>
    </row>
    <row r="398" spans="1:2" x14ac:dyDescent="0.2">
      <c r="A398" s="514">
        <v>42922</v>
      </c>
      <c r="B398" s="491">
        <v>261774.11</v>
      </c>
    </row>
    <row r="399" spans="1:2" x14ac:dyDescent="0.2">
      <c r="A399" s="514">
        <v>42923</v>
      </c>
      <c r="B399" s="491">
        <v>261774</v>
      </c>
    </row>
    <row r="400" spans="1:2" x14ac:dyDescent="0.2">
      <c r="A400" s="514">
        <v>42926</v>
      </c>
      <c r="B400" s="491">
        <v>226950.89</v>
      </c>
    </row>
    <row r="401" spans="1:2" x14ac:dyDescent="0.2">
      <c r="A401" s="514">
        <v>42927</v>
      </c>
      <c r="B401" s="491">
        <v>226951</v>
      </c>
    </row>
    <row r="402" spans="1:2" x14ac:dyDescent="0.2">
      <c r="A402" s="514">
        <v>42928</v>
      </c>
      <c r="B402" s="491">
        <v>248711.94</v>
      </c>
    </row>
    <row r="403" spans="1:2" x14ac:dyDescent="0.2">
      <c r="A403" s="514">
        <v>42929</v>
      </c>
      <c r="B403" s="491">
        <v>256201.58</v>
      </c>
    </row>
    <row r="404" spans="1:2" x14ac:dyDescent="0.2">
      <c r="A404" s="514">
        <v>42930</v>
      </c>
      <c r="B404" s="491">
        <v>256272.97</v>
      </c>
    </row>
    <row r="405" spans="1:2" x14ac:dyDescent="0.2">
      <c r="A405" s="514">
        <v>42933</v>
      </c>
      <c r="B405" s="491">
        <v>256056.42</v>
      </c>
    </row>
    <row r="406" spans="1:2" x14ac:dyDescent="0.2">
      <c r="A406" s="514">
        <v>42934</v>
      </c>
      <c r="B406" s="491">
        <v>257213.96</v>
      </c>
    </row>
    <row r="407" spans="1:2" x14ac:dyDescent="0.2">
      <c r="A407" s="514">
        <v>42935</v>
      </c>
      <c r="B407" s="491">
        <v>257214</v>
      </c>
    </row>
    <row r="408" spans="1:2" x14ac:dyDescent="0.2">
      <c r="A408" s="514">
        <v>42936</v>
      </c>
      <c r="B408" s="491">
        <v>260075.5</v>
      </c>
    </row>
    <row r="409" spans="1:2" x14ac:dyDescent="0.2">
      <c r="A409" s="514">
        <v>42937</v>
      </c>
      <c r="B409" s="491">
        <v>339825.5</v>
      </c>
    </row>
    <row r="410" spans="1:2" x14ac:dyDescent="0.2">
      <c r="A410" s="514">
        <v>42940</v>
      </c>
      <c r="B410" s="491">
        <v>303182.65000000002</v>
      </c>
    </row>
    <row r="411" spans="1:2" x14ac:dyDescent="0.2">
      <c r="A411" s="514">
        <v>42941</v>
      </c>
      <c r="B411" s="491">
        <v>322340.12</v>
      </c>
    </row>
    <row r="412" spans="1:2" x14ac:dyDescent="0.2">
      <c r="A412" s="514">
        <v>42942</v>
      </c>
      <c r="B412" s="491">
        <v>322340</v>
      </c>
    </row>
    <row r="413" spans="1:2" x14ac:dyDescent="0.2">
      <c r="A413" s="514">
        <v>42943</v>
      </c>
      <c r="B413" s="491">
        <v>308772.78999999998</v>
      </c>
    </row>
    <row r="414" spans="1:2" x14ac:dyDescent="0.2">
      <c r="A414" s="514">
        <v>42944</v>
      </c>
      <c r="B414" s="491">
        <v>317343.40999999997</v>
      </c>
    </row>
    <row r="415" spans="1:2" x14ac:dyDescent="0.2">
      <c r="A415" s="514">
        <v>42947</v>
      </c>
      <c r="B415" s="491">
        <v>317343</v>
      </c>
    </row>
    <row r="416" spans="1:2" x14ac:dyDescent="0.2">
      <c r="A416" s="514">
        <v>42948</v>
      </c>
      <c r="B416" s="491">
        <v>369152.35</v>
      </c>
    </row>
    <row r="417" spans="1:2" x14ac:dyDescent="0.2">
      <c r="A417" s="514">
        <v>42949</v>
      </c>
      <c r="B417" s="491">
        <v>371061.94</v>
      </c>
    </row>
    <row r="418" spans="1:2" x14ac:dyDescent="0.2">
      <c r="A418" s="514">
        <v>42950</v>
      </c>
      <c r="B418" s="491">
        <v>372080.87</v>
      </c>
    </row>
    <row r="419" spans="1:2" x14ac:dyDescent="0.2">
      <c r="A419" s="514">
        <v>42951</v>
      </c>
      <c r="B419" s="491">
        <v>372080.87</v>
      </c>
    </row>
    <row r="420" spans="1:2" x14ac:dyDescent="0.2">
      <c r="A420" s="514">
        <v>42954</v>
      </c>
      <c r="B420" s="491">
        <v>336189.47</v>
      </c>
    </row>
    <row r="421" spans="1:2" x14ac:dyDescent="0.2">
      <c r="A421" s="514">
        <v>42955</v>
      </c>
      <c r="B421" s="491">
        <v>340998.07</v>
      </c>
    </row>
    <row r="422" spans="1:2" x14ac:dyDescent="0.2">
      <c r="A422" s="514">
        <v>42956</v>
      </c>
      <c r="B422" s="491">
        <v>332763.65000000002</v>
      </c>
    </row>
    <row r="423" spans="1:2" x14ac:dyDescent="0.2">
      <c r="A423" s="514">
        <v>42957</v>
      </c>
      <c r="B423" s="491">
        <v>375651.45</v>
      </c>
    </row>
    <row r="424" spans="1:2" x14ac:dyDescent="0.2">
      <c r="A424" s="514">
        <v>42958</v>
      </c>
      <c r="B424" s="491">
        <v>378293.21</v>
      </c>
    </row>
    <row r="425" spans="1:2" x14ac:dyDescent="0.2">
      <c r="A425" s="514">
        <v>42961</v>
      </c>
      <c r="B425" s="491">
        <v>378293</v>
      </c>
    </row>
    <row r="426" spans="1:2" x14ac:dyDescent="0.2">
      <c r="A426" s="514">
        <v>42962</v>
      </c>
      <c r="B426" s="491">
        <v>401190.06</v>
      </c>
    </row>
    <row r="427" spans="1:2" x14ac:dyDescent="0.2">
      <c r="A427" s="514">
        <v>42963</v>
      </c>
      <c r="B427" s="491">
        <v>401190</v>
      </c>
    </row>
    <row r="428" spans="1:2" x14ac:dyDescent="0.2">
      <c r="A428" s="514">
        <v>42964</v>
      </c>
      <c r="B428" s="491">
        <v>401569.72</v>
      </c>
    </row>
    <row r="429" spans="1:2" x14ac:dyDescent="0.2">
      <c r="A429" s="514">
        <v>42965</v>
      </c>
      <c r="B429" s="491">
        <v>403837.72</v>
      </c>
    </row>
    <row r="430" spans="1:2" x14ac:dyDescent="0.2">
      <c r="A430" s="514">
        <v>42968</v>
      </c>
      <c r="B430" s="491">
        <v>369495.17</v>
      </c>
    </row>
    <row r="431" spans="1:2" x14ac:dyDescent="0.2">
      <c r="A431" s="514">
        <v>42969</v>
      </c>
      <c r="B431" s="491">
        <v>379169.06</v>
      </c>
    </row>
    <row r="432" spans="1:2" x14ac:dyDescent="0.2">
      <c r="A432" s="514">
        <v>42970</v>
      </c>
      <c r="B432" s="491">
        <v>379169</v>
      </c>
    </row>
    <row r="433" spans="1:2" x14ac:dyDescent="0.2">
      <c r="A433" s="514">
        <v>42971</v>
      </c>
      <c r="B433" s="491">
        <v>372540.41</v>
      </c>
    </row>
    <row r="434" spans="1:2" x14ac:dyDescent="0.2">
      <c r="A434" s="514">
        <v>42972</v>
      </c>
      <c r="B434" s="491">
        <v>372540</v>
      </c>
    </row>
    <row r="435" spans="1:2" x14ac:dyDescent="0.2">
      <c r="A435" s="514">
        <v>42975</v>
      </c>
      <c r="B435" s="491">
        <v>372540</v>
      </c>
    </row>
    <row r="436" spans="1:2" x14ac:dyDescent="0.2">
      <c r="A436" s="514">
        <v>42976</v>
      </c>
      <c r="B436" s="491">
        <v>374625.25</v>
      </c>
    </row>
    <row r="437" spans="1:2" x14ac:dyDescent="0.2">
      <c r="A437" s="514">
        <v>42977</v>
      </c>
      <c r="B437" s="491">
        <v>382658.46</v>
      </c>
    </row>
    <row r="438" spans="1:2" x14ac:dyDescent="0.2">
      <c r="A438" s="514">
        <v>42978</v>
      </c>
      <c r="B438" s="491">
        <v>389160.26</v>
      </c>
    </row>
    <row r="439" spans="1:2" x14ac:dyDescent="0.2">
      <c r="A439" s="514">
        <v>42979</v>
      </c>
      <c r="B439" s="491">
        <v>389160</v>
      </c>
    </row>
    <row r="440" spans="1:2" x14ac:dyDescent="0.2">
      <c r="A440" s="514">
        <v>42982</v>
      </c>
      <c r="B440" s="491">
        <v>389160</v>
      </c>
    </row>
    <row r="441" spans="1:2" x14ac:dyDescent="0.2">
      <c r="A441" s="514">
        <v>42983</v>
      </c>
      <c r="B441" s="491">
        <v>352908.42</v>
      </c>
    </row>
    <row r="442" spans="1:2" x14ac:dyDescent="0.2">
      <c r="A442" s="514">
        <v>42984</v>
      </c>
      <c r="B442" s="491">
        <v>383959.41</v>
      </c>
    </row>
    <row r="443" spans="1:2" x14ac:dyDescent="0.2">
      <c r="A443" s="514">
        <v>42985</v>
      </c>
      <c r="B443" s="491">
        <v>403148.81</v>
      </c>
    </row>
    <row r="444" spans="1:2" x14ac:dyDescent="0.2">
      <c r="A444" s="514">
        <v>42986</v>
      </c>
      <c r="B444" s="491">
        <v>403344.11</v>
      </c>
    </row>
    <row r="445" spans="1:2" x14ac:dyDescent="0.2">
      <c r="A445" s="514">
        <v>42989</v>
      </c>
      <c r="B445" s="491">
        <v>403344</v>
      </c>
    </row>
    <row r="446" spans="1:2" x14ac:dyDescent="0.2">
      <c r="A446" s="514">
        <v>42990</v>
      </c>
      <c r="B446" s="491">
        <v>403344</v>
      </c>
    </row>
    <row r="447" spans="1:2" x14ac:dyDescent="0.2">
      <c r="A447" s="514">
        <v>42991</v>
      </c>
      <c r="B447" s="491">
        <v>403344</v>
      </c>
    </row>
    <row r="448" spans="1:2" x14ac:dyDescent="0.2">
      <c r="A448" s="514">
        <v>42992</v>
      </c>
      <c r="B448" s="491">
        <v>400016.8</v>
      </c>
    </row>
    <row r="449" spans="1:2" x14ac:dyDescent="0.2">
      <c r="A449" s="514">
        <v>42993</v>
      </c>
      <c r="B449" s="491">
        <v>400134.96</v>
      </c>
    </row>
    <row r="450" spans="1:2" x14ac:dyDescent="0.2">
      <c r="A450" s="514">
        <v>42996</v>
      </c>
      <c r="B450" s="491">
        <v>364805.11</v>
      </c>
    </row>
    <row r="451" spans="1:2" x14ac:dyDescent="0.2">
      <c r="A451" s="514">
        <v>42997</v>
      </c>
      <c r="B451" s="491">
        <v>364805</v>
      </c>
    </row>
    <row r="452" spans="1:2" x14ac:dyDescent="0.2">
      <c r="A452" s="514">
        <v>42998</v>
      </c>
      <c r="B452" s="491">
        <v>371804.33</v>
      </c>
    </row>
    <row r="453" spans="1:2" x14ac:dyDescent="0.2">
      <c r="A453" s="514">
        <v>42999</v>
      </c>
      <c r="B453" s="491">
        <v>370759.85</v>
      </c>
    </row>
    <row r="454" spans="1:2" x14ac:dyDescent="0.2">
      <c r="A454" s="514">
        <v>43000</v>
      </c>
      <c r="B454" s="491">
        <v>389878.66</v>
      </c>
    </row>
    <row r="455" spans="1:2" x14ac:dyDescent="0.2">
      <c r="A455" s="514">
        <v>43003</v>
      </c>
      <c r="B455" s="491">
        <v>393013.02</v>
      </c>
    </row>
    <row r="456" spans="1:2" x14ac:dyDescent="0.2">
      <c r="A456" s="514">
        <v>43004</v>
      </c>
      <c r="B456" s="491">
        <v>393593.22</v>
      </c>
    </row>
    <row r="457" spans="1:2" x14ac:dyDescent="0.2">
      <c r="A457" s="514">
        <v>43005</v>
      </c>
      <c r="B457" s="491">
        <v>393593</v>
      </c>
    </row>
    <row r="458" spans="1:2" x14ac:dyDescent="0.2">
      <c r="A458" s="514">
        <v>43006</v>
      </c>
      <c r="B458" s="491">
        <v>385433.95</v>
      </c>
    </row>
    <row r="459" spans="1:2" x14ac:dyDescent="0.2">
      <c r="A459" s="514">
        <v>43007</v>
      </c>
      <c r="B459" s="491">
        <v>385678.15</v>
      </c>
    </row>
    <row r="460" spans="1:2" x14ac:dyDescent="0.2">
      <c r="A460" s="514">
        <v>43010</v>
      </c>
      <c r="B460" s="491">
        <v>350949.28</v>
      </c>
    </row>
    <row r="461" spans="1:2" x14ac:dyDescent="0.2">
      <c r="A461" s="514">
        <v>43011</v>
      </c>
      <c r="B461" s="491">
        <v>352010.98</v>
      </c>
    </row>
    <row r="462" spans="1:2" x14ac:dyDescent="0.2">
      <c r="A462" s="514">
        <v>43012</v>
      </c>
      <c r="B462" s="491">
        <v>352011</v>
      </c>
    </row>
    <row r="463" spans="1:2" x14ac:dyDescent="0.2">
      <c r="A463" s="514">
        <v>43013</v>
      </c>
      <c r="B463" s="491">
        <v>348679</v>
      </c>
    </row>
    <row r="464" spans="1:2" x14ac:dyDescent="0.2">
      <c r="A464" s="514">
        <v>43014</v>
      </c>
      <c r="B464" s="491">
        <v>348679</v>
      </c>
    </row>
    <row r="465" spans="1:2" x14ac:dyDescent="0.2">
      <c r="A465" s="514">
        <v>43017</v>
      </c>
      <c r="B465" s="491">
        <v>348679</v>
      </c>
    </row>
    <row r="466" spans="1:2" x14ac:dyDescent="0.2">
      <c r="A466" s="514">
        <v>43018</v>
      </c>
      <c r="B466" s="491">
        <v>348679</v>
      </c>
    </row>
    <row r="467" spans="1:2" x14ac:dyDescent="0.2">
      <c r="A467" s="514">
        <v>43019</v>
      </c>
      <c r="B467" s="491">
        <v>348761.24</v>
      </c>
    </row>
    <row r="468" spans="1:2" x14ac:dyDescent="0.2">
      <c r="A468" s="514">
        <v>43020</v>
      </c>
      <c r="B468" s="491">
        <v>349998.26</v>
      </c>
    </row>
    <row r="469" spans="1:2" x14ac:dyDescent="0.2">
      <c r="A469" s="514">
        <v>43021</v>
      </c>
      <c r="B469" s="491">
        <v>370561.14</v>
      </c>
    </row>
    <row r="470" spans="1:2" x14ac:dyDescent="0.2">
      <c r="A470" s="514">
        <v>43024</v>
      </c>
      <c r="B470" s="491">
        <v>336220.14</v>
      </c>
    </row>
    <row r="471" spans="1:2" x14ac:dyDescent="0.2">
      <c r="A471" s="514">
        <v>43025</v>
      </c>
      <c r="B471" s="491">
        <v>336332.14</v>
      </c>
    </row>
    <row r="472" spans="1:2" x14ac:dyDescent="0.2">
      <c r="A472" s="514">
        <v>43026</v>
      </c>
      <c r="B472" s="491">
        <v>336332</v>
      </c>
    </row>
    <row r="473" spans="1:2" x14ac:dyDescent="0.2">
      <c r="A473" s="514">
        <v>43027</v>
      </c>
      <c r="B473" s="491">
        <v>339185.02</v>
      </c>
    </row>
    <row r="474" spans="1:2" x14ac:dyDescent="0.2">
      <c r="A474" s="514">
        <v>43028</v>
      </c>
      <c r="B474" s="491">
        <v>344936.35</v>
      </c>
    </row>
    <row r="475" spans="1:2" x14ac:dyDescent="0.2">
      <c r="A475" s="514">
        <v>43031</v>
      </c>
      <c r="B475" s="491">
        <v>344564.68</v>
      </c>
    </row>
    <row r="476" spans="1:2" x14ac:dyDescent="0.2">
      <c r="A476" s="514">
        <v>43032</v>
      </c>
      <c r="B476" s="491">
        <v>344565</v>
      </c>
    </row>
    <row r="477" spans="1:2" x14ac:dyDescent="0.2">
      <c r="A477" s="514">
        <v>43033</v>
      </c>
      <c r="B477" s="491">
        <v>344829.18</v>
      </c>
    </row>
    <row r="478" spans="1:2" x14ac:dyDescent="0.2">
      <c r="A478" s="514">
        <v>43034</v>
      </c>
      <c r="B478" s="491">
        <v>339942.05</v>
      </c>
    </row>
    <row r="479" spans="1:2" x14ac:dyDescent="0.2">
      <c r="A479" s="514">
        <v>43035</v>
      </c>
      <c r="B479" s="491">
        <v>360185.72</v>
      </c>
    </row>
    <row r="480" spans="1:2" x14ac:dyDescent="0.2">
      <c r="A480" s="514">
        <v>43038</v>
      </c>
      <c r="B480" s="491">
        <v>323067.73</v>
      </c>
    </row>
    <row r="481" spans="1:2" x14ac:dyDescent="0.2">
      <c r="A481" s="514">
        <v>43039</v>
      </c>
      <c r="B481" s="491">
        <v>323197.73</v>
      </c>
    </row>
    <row r="482" spans="1:2" x14ac:dyDescent="0.2">
      <c r="A482" s="514">
        <v>43040</v>
      </c>
      <c r="B482" s="491">
        <v>323198</v>
      </c>
    </row>
    <row r="483" spans="1:2" x14ac:dyDescent="0.2">
      <c r="A483" s="514">
        <v>43041</v>
      </c>
      <c r="B483" s="491">
        <v>341044.7</v>
      </c>
    </row>
    <row r="484" spans="1:2" x14ac:dyDescent="0.2">
      <c r="A484" s="514">
        <v>43042</v>
      </c>
      <c r="B484" s="491">
        <v>341676.17</v>
      </c>
    </row>
    <row r="485" spans="1:2" x14ac:dyDescent="0.2">
      <c r="A485" s="514">
        <v>43045</v>
      </c>
      <c r="B485" s="491">
        <v>341676</v>
      </c>
    </row>
    <row r="486" spans="1:2" x14ac:dyDescent="0.2">
      <c r="A486" s="514">
        <v>43046</v>
      </c>
      <c r="B486" s="491">
        <v>341676</v>
      </c>
    </row>
    <row r="487" spans="1:2" x14ac:dyDescent="0.2">
      <c r="A487" s="514">
        <v>43047</v>
      </c>
      <c r="B487" s="491">
        <v>379863.97</v>
      </c>
    </row>
    <row r="488" spans="1:2" x14ac:dyDescent="0.2">
      <c r="A488" s="514">
        <v>43048</v>
      </c>
      <c r="B488" s="491">
        <v>378842.06</v>
      </c>
    </row>
    <row r="489" spans="1:2" x14ac:dyDescent="0.2">
      <c r="A489" s="514">
        <v>43049</v>
      </c>
      <c r="B489" s="491">
        <v>378842</v>
      </c>
    </row>
    <row r="490" spans="1:2" x14ac:dyDescent="0.2">
      <c r="A490" s="514">
        <v>43052</v>
      </c>
      <c r="B490" s="491">
        <v>340784.14</v>
      </c>
    </row>
    <row r="491" spans="1:2" x14ac:dyDescent="0.2">
      <c r="A491" s="514">
        <v>43053</v>
      </c>
      <c r="B491" s="491">
        <v>340784</v>
      </c>
    </row>
    <row r="492" spans="1:2" x14ac:dyDescent="0.2">
      <c r="A492" s="514">
        <v>43054</v>
      </c>
      <c r="B492" s="491">
        <v>340895.76</v>
      </c>
    </row>
    <row r="493" spans="1:2" x14ac:dyDescent="0.2">
      <c r="A493" s="514">
        <v>43055</v>
      </c>
      <c r="B493" s="491">
        <v>354246.44</v>
      </c>
    </row>
    <row r="494" spans="1:2" x14ac:dyDescent="0.2">
      <c r="A494" s="514">
        <v>43056</v>
      </c>
      <c r="B494" s="491">
        <v>354246.44</v>
      </c>
    </row>
    <row r="495" spans="1:2" x14ac:dyDescent="0.2">
      <c r="A495" s="514">
        <v>43059</v>
      </c>
      <c r="B495" s="491">
        <v>354264.44</v>
      </c>
    </row>
    <row r="496" spans="1:2" x14ac:dyDescent="0.2">
      <c r="A496" s="514">
        <v>43060</v>
      </c>
      <c r="B496" s="491">
        <v>354264</v>
      </c>
    </row>
    <row r="497" spans="1:2" x14ac:dyDescent="0.2">
      <c r="A497" s="514">
        <v>43061</v>
      </c>
      <c r="B497" s="491">
        <v>357804.55</v>
      </c>
    </row>
    <row r="498" spans="1:2" x14ac:dyDescent="0.2">
      <c r="A498" s="514">
        <v>43062</v>
      </c>
      <c r="B498" s="491">
        <v>357805</v>
      </c>
    </row>
    <row r="499" spans="1:2" x14ac:dyDescent="0.2">
      <c r="A499" s="514">
        <v>43063</v>
      </c>
      <c r="B499" s="491">
        <v>361119.05</v>
      </c>
    </row>
    <row r="500" spans="1:2" x14ac:dyDescent="0.2">
      <c r="A500" s="514">
        <v>43066</v>
      </c>
      <c r="B500" s="491">
        <v>318415.71000000002</v>
      </c>
    </row>
    <row r="501" spans="1:2" x14ac:dyDescent="0.2">
      <c r="A501" s="514">
        <v>43067</v>
      </c>
      <c r="B501" s="491">
        <v>320237.53999999998</v>
      </c>
    </row>
    <row r="502" spans="1:2" x14ac:dyDescent="0.2">
      <c r="A502" s="514">
        <v>43068</v>
      </c>
      <c r="B502" s="491">
        <v>320237.53999999998</v>
      </c>
    </row>
    <row r="503" spans="1:2" x14ac:dyDescent="0.2">
      <c r="A503" s="514">
        <v>43069</v>
      </c>
      <c r="B503" s="491">
        <v>325286.46999999997</v>
      </c>
    </row>
    <row r="504" spans="1:2" x14ac:dyDescent="0.2">
      <c r="A504" s="514">
        <v>43070</v>
      </c>
      <c r="B504" s="491">
        <v>334247.03000000003</v>
      </c>
    </row>
    <row r="505" spans="1:2" x14ac:dyDescent="0.2">
      <c r="A505" s="514">
        <v>43073</v>
      </c>
      <c r="B505" s="491">
        <v>334247</v>
      </c>
    </row>
    <row r="506" spans="1:2" x14ac:dyDescent="0.2">
      <c r="A506" s="514">
        <v>43074</v>
      </c>
      <c r="B506" s="491">
        <v>334247.03000000003</v>
      </c>
    </row>
    <row r="507" spans="1:2" x14ac:dyDescent="0.2">
      <c r="A507" s="514">
        <v>43075</v>
      </c>
      <c r="B507" s="491">
        <v>334247</v>
      </c>
    </row>
    <row r="508" spans="1:2" x14ac:dyDescent="0.2">
      <c r="A508" s="514">
        <v>43076</v>
      </c>
      <c r="B508" s="491">
        <v>323171.46000000002</v>
      </c>
    </row>
    <row r="509" spans="1:2" x14ac:dyDescent="0.2">
      <c r="A509" s="514">
        <v>43077</v>
      </c>
      <c r="B509" s="491">
        <v>324229.90999999997</v>
      </c>
    </row>
    <row r="510" spans="1:2" x14ac:dyDescent="0.2">
      <c r="A510" s="514">
        <v>43080</v>
      </c>
      <c r="B510" s="491">
        <v>324230</v>
      </c>
    </row>
    <row r="511" spans="1:2" x14ac:dyDescent="0.2">
      <c r="A511" s="514">
        <v>43081</v>
      </c>
      <c r="B511" s="491">
        <v>286030.39</v>
      </c>
    </row>
    <row r="512" spans="1:2" x14ac:dyDescent="0.2">
      <c r="A512" s="514">
        <v>43082</v>
      </c>
      <c r="B512" s="491">
        <v>286197.44</v>
      </c>
    </row>
    <row r="513" spans="1:14" x14ac:dyDescent="0.2">
      <c r="A513" s="514">
        <v>43083</v>
      </c>
      <c r="B513" s="491">
        <v>280065.2</v>
      </c>
    </row>
    <row r="514" spans="1:14" x14ac:dyDescent="0.2">
      <c r="A514" s="514">
        <v>43084</v>
      </c>
      <c r="B514" s="491">
        <v>284409.09999999998</v>
      </c>
    </row>
    <row r="515" spans="1:14" x14ac:dyDescent="0.2">
      <c r="A515" s="514">
        <v>43087</v>
      </c>
      <c r="B515" s="491">
        <v>285119.09999999998</v>
      </c>
    </row>
    <row r="516" spans="1:14" x14ac:dyDescent="0.2">
      <c r="A516" s="514">
        <v>43088</v>
      </c>
      <c r="B516" s="491">
        <v>285395.49</v>
      </c>
    </row>
    <row r="517" spans="1:14" x14ac:dyDescent="0.2">
      <c r="A517" s="514">
        <v>43089</v>
      </c>
      <c r="B517" s="491">
        <v>285395</v>
      </c>
    </row>
    <row r="518" spans="1:14" x14ac:dyDescent="0.2">
      <c r="A518" s="514">
        <v>43090</v>
      </c>
      <c r="B518" s="491">
        <v>285542.49</v>
      </c>
    </row>
    <row r="519" spans="1:14" x14ac:dyDescent="0.2">
      <c r="A519" s="514">
        <v>43091</v>
      </c>
      <c r="B519" s="491">
        <v>285542</v>
      </c>
    </row>
    <row r="520" spans="1:14" x14ac:dyDescent="0.2">
      <c r="A520" s="514">
        <v>43094</v>
      </c>
      <c r="B520" s="491">
        <v>285542</v>
      </c>
    </row>
    <row r="521" spans="1:14" x14ac:dyDescent="0.2">
      <c r="A521" s="514">
        <v>43095</v>
      </c>
      <c r="B521" s="491">
        <v>248584.72</v>
      </c>
    </row>
    <row r="522" spans="1:14" x14ac:dyDescent="0.2">
      <c r="A522" s="514">
        <v>43096</v>
      </c>
      <c r="B522" s="491">
        <v>248585</v>
      </c>
    </row>
    <row r="523" spans="1:14" x14ac:dyDescent="0.2">
      <c r="A523" s="514">
        <v>43097</v>
      </c>
      <c r="B523" s="491">
        <v>270685.83</v>
      </c>
    </row>
    <row r="524" spans="1:14" x14ac:dyDescent="0.2">
      <c r="A524" s="514">
        <v>43098</v>
      </c>
      <c r="B524" s="491">
        <v>282558.58</v>
      </c>
    </row>
    <row r="525" spans="1:14" x14ac:dyDescent="0.2">
      <c r="A525" s="514">
        <v>43101</v>
      </c>
      <c r="B525" s="491">
        <v>282559</v>
      </c>
      <c r="F525" s="493"/>
      <c r="G525" t="s">
        <v>185</v>
      </c>
      <c r="H525" t="s">
        <v>212</v>
      </c>
      <c r="J525" t="s">
        <v>361</v>
      </c>
      <c r="K525" t="s">
        <v>212</v>
      </c>
      <c r="N525">
        <v>0.06</v>
      </c>
    </row>
    <row r="526" spans="1:14" x14ac:dyDescent="0.2">
      <c r="A526" s="514">
        <v>43102</v>
      </c>
      <c r="B526" s="491">
        <v>282508.58</v>
      </c>
      <c r="F526" s="493">
        <v>42370</v>
      </c>
      <c r="G526" s="494">
        <v>369484</v>
      </c>
      <c r="H526" s="601">
        <v>31036</v>
      </c>
      <c r="J526" s="493">
        <v>42461</v>
      </c>
      <c r="K526" s="601">
        <v>151036</v>
      </c>
      <c r="N526" s="690">
        <f>K526*N525/12 +K526</f>
        <v>151791.18</v>
      </c>
    </row>
    <row r="527" spans="1:14" x14ac:dyDescent="0.2">
      <c r="A527" s="514">
        <v>43103</v>
      </c>
      <c r="B527" s="491">
        <v>282509</v>
      </c>
      <c r="F527" s="493">
        <v>42401</v>
      </c>
      <c r="G527" s="494">
        <v>295493.53000000003</v>
      </c>
      <c r="H527" s="601">
        <v>31035.72</v>
      </c>
      <c r="J527" s="493">
        <v>42491</v>
      </c>
      <c r="K527" s="601">
        <v>151087.09</v>
      </c>
      <c r="N527" s="690">
        <f>N$525*N526/12 +N526</f>
        <v>152550.13589999999</v>
      </c>
    </row>
    <row r="528" spans="1:14" x14ac:dyDescent="0.2">
      <c r="A528" s="514">
        <v>43104</v>
      </c>
      <c r="B528" s="491">
        <v>283213.14</v>
      </c>
      <c r="F528" s="493">
        <v>42430</v>
      </c>
      <c r="G528" s="494">
        <v>255865.07</v>
      </c>
      <c r="H528" s="601">
        <v>151035.72</v>
      </c>
      <c r="J528" s="493">
        <v>42551</v>
      </c>
      <c r="K528" s="601">
        <v>151336.84</v>
      </c>
      <c r="N528" s="690">
        <f t="shared" ref="N528:N591" si="3">N$525*N527/12 +N527</f>
        <v>153312.88657949999</v>
      </c>
    </row>
    <row r="529" spans="1:14" x14ac:dyDescent="0.2">
      <c r="A529" s="514">
        <v>43105</v>
      </c>
      <c r="B529" s="491">
        <v>297779.06</v>
      </c>
      <c r="F529" s="493">
        <v>42461</v>
      </c>
      <c r="G529" s="494">
        <v>294098.96000000002</v>
      </c>
      <c r="H529" s="601">
        <v>151036</v>
      </c>
      <c r="J529" s="493">
        <v>42582</v>
      </c>
      <c r="K529" s="601">
        <v>151611.29999999999</v>
      </c>
      <c r="N529" s="690">
        <f t="shared" si="3"/>
        <v>154079.45101239748</v>
      </c>
    </row>
    <row r="530" spans="1:14" x14ac:dyDescent="0.2">
      <c r="A530" s="514">
        <v>43108</v>
      </c>
      <c r="B530" s="491">
        <v>263886.2</v>
      </c>
      <c r="F530" s="493">
        <v>42491</v>
      </c>
      <c r="G530" s="494">
        <v>333922.02</v>
      </c>
      <c r="H530" s="601">
        <v>151087.09</v>
      </c>
      <c r="J530" s="493">
        <v>42583</v>
      </c>
      <c r="K530" s="601">
        <v>151776.70000000001</v>
      </c>
      <c r="N530" s="690">
        <f t="shared" si="3"/>
        <v>154849.84826745946</v>
      </c>
    </row>
    <row r="531" spans="1:14" x14ac:dyDescent="0.2">
      <c r="A531" s="514">
        <v>43109</v>
      </c>
      <c r="B531" s="491">
        <v>277030.96999999997</v>
      </c>
      <c r="F531" s="493">
        <v>42551</v>
      </c>
      <c r="G531" s="494">
        <v>384005.8</v>
      </c>
      <c r="H531" s="601">
        <v>151336.84</v>
      </c>
      <c r="J531" s="493">
        <v>42614</v>
      </c>
      <c r="K531" s="601">
        <v>151844.44</v>
      </c>
      <c r="N531" s="690">
        <f t="shared" si="3"/>
        <v>155624.09750879675</v>
      </c>
    </row>
    <row r="532" spans="1:14" x14ac:dyDescent="0.2">
      <c r="A532" s="514">
        <v>43110</v>
      </c>
      <c r="B532" s="491">
        <v>277031</v>
      </c>
      <c r="F532" s="493">
        <v>42582</v>
      </c>
      <c r="G532" s="494">
        <v>292004.15999999997</v>
      </c>
      <c r="H532" s="601">
        <v>151611.29999999999</v>
      </c>
      <c r="J532" s="493">
        <v>42644</v>
      </c>
      <c r="K532" s="601">
        <v>152036.04</v>
      </c>
      <c r="N532" s="690">
        <f t="shared" si="3"/>
        <v>156402.21799634074</v>
      </c>
    </row>
    <row r="533" spans="1:14" x14ac:dyDescent="0.2">
      <c r="A533" s="514">
        <v>43111</v>
      </c>
      <c r="B533" s="491">
        <v>281394.14</v>
      </c>
      <c r="F533" s="493">
        <v>42583</v>
      </c>
      <c r="G533" s="494">
        <v>182562.29</v>
      </c>
      <c r="H533" s="601">
        <v>151776.70000000001</v>
      </c>
      <c r="J533" s="493">
        <v>42675</v>
      </c>
      <c r="K533" s="601">
        <v>152464.91</v>
      </c>
      <c r="N533" s="690">
        <f t="shared" si="3"/>
        <v>157184.22908632245</v>
      </c>
    </row>
    <row r="534" spans="1:14" x14ac:dyDescent="0.2">
      <c r="A534" s="514">
        <v>43112</v>
      </c>
      <c r="B534" s="491">
        <v>281470.18</v>
      </c>
      <c r="F534" s="493">
        <v>42614</v>
      </c>
      <c r="G534" s="494">
        <v>242442.87</v>
      </c>
      <c r="H534" s="601">
        <v>151844.44</v>
      </c>
      <c r="J534" s="493">
        <v>42705</v>
      </c>
      <c r="K534" s="601">
        <v>154533.13</v>
      </c>
      <c r="N534" s="690">
        <f t="shared" si="3"/>
        <v>157970.15023175406</v>
      </c>
    </row>
    <row r="535" spans="1:14" x14ac:dyDescent="0.2">
      <c r="A535" s="514">
        <v>43115</v>
      </c>
      <c r="B535" s="491">
        <v>281470</v>
      </c>
      <c r="F535" s="493">
        <v>42644</v>
      </c>
      <c r="G535" s="494">
        <v>247104.37</v>
      </c>
      <c r="H535" s="601">
        <v>152036.04</v>
      </c>
      <c r="J535" s="493">
        <v>42736</v>
      </c>
      <c r="K535" s="601">
        <v>155633.59</v>
      </c>
      <c r="N535" s="690">
        <f t="shared" si="3"/>
        <v>158760.00098291284</v>
      </c>
    </row>
    <row r="536" spans="1:14" x14ac:dyDescent="0.2">
      <c r="A536" s="514">
        <v>43116</v>
      </c>
      <c r="B536" s="491">
        <v>284325.94</v>
      </c>
      <c r="F536" s="493">
        <v>42675</v>
      </c>
      <c r="G536" s="494">
        <v>246462.95</v>
      </c>
      <c r="H536" s="601">
        <v>152464.91</v>
      </c>
      <c r="J536" s="493">
        <v>42767</v>
      </c>
      <c r="K536" s="601">
        <v>158448.25</v>
      </c>
      <c r="N536" s="690">
        <f t="shared" si="3"/>
        <v>159553.80098782742</v>
      </c>
    </row>
    <row r="537" spans="1:14" x14ac:dyDescent="0.2">
      <c r="A537" s="514">
        <v>43117</v>
      </c>
      <c r="B537" s="491">
        <v>305911.78000000003</v>
      </c>
      <c r="F537" s="493">
        <v>42705</v>
      </c>
      <c r="G537" s="494">
        <v>249839.51</v>
      </c>
      <c r="H537" s="601">
        <v>154533.13</v>
      </c>
      <c r="J537" s="493">
        <v>42795</v>
      </c>
      <c r="K537" s="601">
        <v>159113.29</v>
      </c>
      <c r="N537" s="690">
        <f t="shared" si="3"/>
        <v>160351.56999276654</v>
      </c>
    </row>
    <row r="538" spans="1:14" x14ac:dyDescent="0.2">
      <c r="A538" s="514">
        <v>43118</v>
      </c>
      <c r="B538" s="491">
        <v>305752.93</v>
      </c>
      <c r="F538" s="493">
        <v>42736</v>
      </c>
      <c r="G538" s="494">
        <v>351420</v>
      </c>
      <c r="H538" s="601">
        <v>155633.59</v>
      </c>
      <c r="J538" s="493">
        <v>42826</v>
      </c>
      <c r="K538" s="601">
        <v>159614.53</v>
      </c>
      <c r="N538" s="690">
        <f t="shared" si="3"/>
        <v>161153.32784273036</v>
      </c>
    </row>
    <row r="539" spans="1:14" x14ac:dyDescent="0.2">
      <c r="A539" s="514">
        <v>43119</v>
      </c>
      <c r="B539" s="491">
        <v>332730.14</v>
      </c>
      <c r="F539" s="493">
        <v>42767</v>
      </c>
      <c r="G539" s="494">
        <v>253330</v>
      </c>
      <c r="H539" s="601">
        <v>158448.25</v>
      </c>
      <c r="J539" s="493">
        <v>42856</v>
      </c>
      <c r="K539" s="601">
        <v>160436.21</v>
      </c>
      <c r="N539" s="690">
        <f t="shared" si="3"/>
        <v>161959.09448194402</v>
      </c>
    </row>
    <row r="540" spans="1:14" x14ac:dyDescent="0.2">
      <c r="A540" s="514">
        <v>43122</v>
      </c>
      <c r="B540" s="491">
        <v>291419.49</v>
      </c>
      <c r="F540" s="493">
        <v>42795</v>
      </c>
      <c r="G540" s="494">
        <v>280744</v>
      </c>
      <c r="H540" s="601">
        <v>159113.29</v>
      </c>
      <c r="J540" s="493">
        <v>42887</v>
      </c>
      <c r="K540" s="601">
        <v>160443.22</v>
      </c>
      <c r="N540" s="690">
        <f t="shared" si="3"/>
        <v>162768.88995435374</v>
      </c>
    </row>
    <row r="541" spans="1:14" x14ac:dyDescent="0.2">
      <c r="A541" s="514">
        <v>43123</v>
      </c>
      <c r="B541" s="491">
        <v>293419.65000000002</v>
      </c>
      <c r="F541" s="493">
        <v>42826</v>
      </c>
      <c r="G541" s="494">
        <v>319478.15999999997</v>
      </c>
      <c r="H541" s="601">
        <v>159614.53</v>
      </c>
      <c r="J541" s="493">
        <v>42917</v>
      </c>
      <c r="K541" s="601">
        <v>161526.35999999999</v>
      </c>
      <c r="N541" s="690">
        <f t="shared" si="3"/>
        <v>163582.73440412551</v>
      </c>
    </row>
    <row r="542" spans="1:14" x14ac:dyDescent="0.2">
      <c r="A542" s="514">
        <v>43124</v>
      </c>
      <c r="B542" s="491">
        <v>293420</v>
      </c>
      <c r="F542" s="493">
        <v>42856</v>
      </c>
      <c r="G542" s="494">
        <v>241828.1</v>
      </c>
      <c r="H542" s="601">
        <v>160436.21</v>
      </c>
      <c r="J542" s="493">
        <v>42948</v>
      </c>
      <c r="K542" s="601">
        <v>162013.01</v>
      </c>
      <c r="N542" s="690">
        <f t="shared" si="3"/>
        <v>164400.64807614614</v>
      </c>
    </row>
    <row r="543" spans="1:14" x14ac:dyDescent="0.2">
      <c r="A543" s="514">
        <v>43125</v>
      </c>
      <c r="B543" s="491">
        <v>301331.82</v>
      </c>
      <c r="F543" s="493">
        <v>42887</v>
      </c>
      <c r="G543" s="494">
        <v>248981.18</v>
      </c>
      <c r="H543" s="601">
        <v>160443.22</v>
      </c>
      <c r="J543" s="493">
        <v>42979</v>
      </c>
      <c r="K543" s="601">
        <v>163493.49</v>
      </c>
      <c r="M543" s="601"/>
      <c r="N543" s="690">
        <f t="shared" si="3"/>
        <v>165222.65131652687</v>
      </c>
    </row>
    <row r="544" spans="1:14" x14ac:dyDescent="0.2">
      <c r="A544" s="514">
        <v>43126</v>
      </c>
      <c r="B544" s="491">
        <v>327084.28999999998</v>
      </c>
      <c r="F544" s="493">
        <v>42917</v>
      </c>
      <c r="G544" s="494">
        <v>268937.63</v>
      </c>
      <c r="H544" s="601">
        <v>161526.35999999999</v>
      </c>
      <c r="J544" s="493">
        <v>43009</v>
      </c>
      <c r="K544" s="601">
        <v>164090.28</v>
      </c>
      <c r="M544" s="243"/>
      <c r="N544" s="690">
        <f t="shared" si="3"/>
        <v>166048.76457310951</v>
      </c>
    </row>
    <row r="545" spans="1:14" x14ac:dyDescent="0.2">
      <c r="A545" s="514">
        <v>43129</v>
      </c>
      <c r="B545" s="491">
        <v>327084</v>
      </c>
      <c r="F545" s="493">
        <v>42948</v>
      </c>
      <c r="G545" s="494">
        <v>198251.6</v>
      </c>
      <c r="H545" s="601">
        <v>162013.01</v>
      </c>
      <c r="J545" s="493">
        <v>43040</v>
      </c>
      <c r="K545" s="601">
        <v>164908.01</v>
      </c>
      <c r="M545" s="243"/>
      <c r="N545" s="690">
        <f t="shared" si="3"/>
        <v>166879.00839597505</v>
      </c>
    </row>
    <row r="546" spans="1:14" x14ac:dyDescent="0.2">
      <c r="A546" s="514">
        <v>43130</v>
      </c>
      <c r="B546" s="491">
        <v>327084</v>
      </c>
      <c r="F546" s="493">
        <v>42979</v>
      </c>
      <c r="G546" s="494">
        <v>178964.63</v>
      </c>
      <c r="H546" s="601">
        <v>163493.49</v>
      </c>
      <c r="J546" s="493">
        <v>43070</v>
      </c>
      <c r="K546" s="601">
        <v>164937.87</v>
      </c>
      <c r="M546" s="243"/>
      <c r="N546" s="690">
        <f t="shared" si="3"/>
        <v>167713.40343795493</v>
      </c>
    </row>
    <row r="547" spans="1:14" x14ac:dyDescent="0.2">
      <c r="A547" s="514">
        <v>43131</v>
      </c>
      <c r="B547" s="491">
        <v>337130.63</v>
      </c>
      <c r="F547" s="493">
        <v>43009</v>
      </c>
      <c r="G547" s="494">
        <v>199171.39</v>
      </c>
      <c r="H547" s="601">
        <v>164090.28</v>
      </c>
      <c r="J547" s="493">
        <v>43101</v>
      </c>
      <c r="K547" s="601">
        <v>167966.33</v>
      </c>
      <c r="M547" s="243"/>
      <c r="N547" s="690">
        <f t="shared" si="3"/>
        <v>168551.97045514471</v>
      </c>
    </row>
    <row r="548" spans="1:14" x14ac:dyDescent="0.2">
      <c r="A548" s="514">
        <v>43132</v>
      </c>
      <c r="B548" s="491">
        <v>334292.59999999998</v>
      </c>
      <c r="F548" s="493">
        <v>43040</v>
      </c>
      <c r="G548" s="494">
        <v>180584.58</v>
      </c>
      <c r="H548" s="601">
        <v>164908.01</v>
      </c>
      <c r="J548" s="493">
        <v>43132</v>
      </c>
      <c r="K548" s="601">
        <v>164746.72</v>
      </c>
      <c r="M548" s="243"/>
      <c r="N548" s="690">
        <f t="shared" si="3"/>
        <v>169394.73030742042</v>
      </c>
    </row>
    <row r="549" spans="1:14" x14ac:dyDescent="0.2">
      <c r="A549" s="514">
        <v>43133</v>
      </c>
      <c r="B549" s="491">
        <v>335977.23</v>
      </c>
      <c r="F549" s="493">
        <v>43070</v>
      </c>
      <c r="G549" s="494">
        <v>258260.86</v>
      </c>
      <c r="H549" s="601">
        <v>164937.87</v>
      </c>
      <c r="J549" s="493">
        <v>43160</v>
      </c>
      <c r="K549" s="601">
        <v>163400.39000000001</v>
      </c>
      <c r="N549" s="690">
        <f t="shared" si="3"/>
        <v>170241.70395895751</v>
      </c>
    </row>
    <row r="550" spans="1:14" x14ac:dyDescent="0.2">
      <c r="A550" s="514">
        <v>43136</v>
      </c>
      <c r="B550" s="491">
        <v>300614.99</v>
      </c>
      <c r="F550" s="493">
        <v>43101</v>
      </c>
      <c r="G550" s="494">
        <v>297556.56</v>
      </c>
      <c r="H550" s="601">
        <v>167966.33</v>
      </c>
      <c r="J550" s="493">
        <v>43191</v>
      </c>
      <c r="K550" s="601">
        <v>163874.63</v>
      </c>
      <c r="N550" s="690">
        <f t="shared" si="3"/>
        <v>171092.91247875229</v>
      </c>
    </row>
    <row r="551" spans="1:14" x14ac:dyDescent="0.2">
      <c r="A551" s="514">
        <v>43137</v>
      </c>
      <c r="B551" s="491">
        <v>295509.53999999998</v>
      </c>
      <c r="F551" s="493">
        <v>43132</v>
      </c>
      <c r="G551" s="494">
        <v>287550</v>
      </c>
      <c r="H551" s="601">
        <v>164746.72</v>
      </c>
      <c r="J551" s="493">
        <v>43221</v>
      </c>
      <c r="K551" s="601">
        <v>165109.67000000001</v>
      </c>
      <c r="N551" s="690">
        <f t="shared" si="3"/>
        <v>171948.37704114604</v>
      </c>
    </row>
    <row r="552" spans="1:14" x14ac:dyDescent="0.2">
      <c r="A552" s="514">
        <v>43138</v>
      </c>
      <c r="B552" s="491">
        <v>295510</v>
      </c>
      <c r="F552" s="493">
        <v>43160</v>
      </c>
      <c r="G552" s="494">
        <v>277699.34999999998</v>
      </c>
      <c r="H552" s="601">
        <v>163400.39000000001</v>
      </c>
      <c r="J552" s="493">
        <v>43252</v>
      </c>
      <c r="K552" s="601">
        <v>164894.5</v>
      </c>
      <c r="M552" s="601"/>
      <c r="N552" s="690">
        <f t="shared" si="3"/>
        <v>172808.11892635177</v>
      </c>
    </row>
    <row r="553" spans="1:14" x14ac:dyDescent="0.2">
      <c r="A553" s="514">
        <v>43139</v>
      </c>
      <c r="B553" s="491">
        <v>295623.09999999998</v>
      </c>
      <c r="F553" s="493">
        <v>43191</v>
      </c>
      <c r="G553" s="494">
        <v>310068.02</v>
      </c>
      <c r="H553" s="601">
        <v>163874.63</v>
      </c>
      <c r="J553" s="493">
        <v>43282</v>
      </c>
      <c r="K553" s="601">
        <v>168308.43</v>
      </c>
      <c r="N553" s="690">
        <f t="shared" si="3"/>
        <v>173672.15952098352</v>
      </c>
    </row>
    <row r="554" spans="1:14" x14ac:dyDescent="0.2">
      <c r="A554" s="514">
        <v>43140</v>
      </c>
      <c r="B554" s="491">
        <v>295623</v>
      </c>
      <c r="F554" s="493">
        <v>43221</v>
      </c>
      <c r="G554" s="494">
        <v>338828.68</v>
      </c>
      <c r="H554" s="601">
        <v>165109.67000000001</v>
      </c>
      <c r="J554" s="493">
        <v>43313</v>
      </c>
      <c r="K554" s="601">
        <v>169314.31</v>
      </c>
      <c r="M554" s="494"/>
      <c r="N554" s="690">
        <f t="shared" si="3"/>
        <v>174540.52031858845</v>
      </c>
    </row>
    <row r="555" spans="1:14" x14ac:dyDescent="0.2">
      <c r="A555" s="514">
        <v>43143</v>
      </c>
      <c r="B555" s="491">
        <v>299232.09999999998</v>
      </c>
      <c r="F555" s="493">
        <v>43252</v>
      </c>
      <c r="G555" s="494">
        <v>316601.96000000002</v>
      </c>
      <c r="H555" s="601">
        <v>164894.5</v>
      </c>
      <c r="J555" s="493">
        <v>43344</v>
      </c>
      <c r="K555" s="601">
        <v>170138.99</v>
      </c>
      <c r="N555" s="690">
        <f t="shared" si="3"/>
        <v>175413.22292018138</v>
      </c>
    </row>
    <row r="556" spans="1:14" x14ac:dyDescent="0.2">
      <c r="A556" s="514">
        <v>43144</v>
      </c>
      <c r="B556" s="491">
        <v>304422.01</v>
      </c>
      <c r="F556" s="493">
        <v>43282</v>
      </c>
      <c r="G556" s="494">
        <v>282196.90999999997</v>
      </c>
      <c r="H556" s="601">
        <v>168308.43</v>
      </c>
      <c r="J556" s="493">
        <v>43374</v>
      </c>
      <c r="K556" s="601">
        <v>164332.01</v>
      </c>
      <c r="M556" s="619"/>
      <c r="N556" s="690">
        <f t="shared" si="3"/>
        <v>176290.28903478227</v>
      </c>
    </row>
    <row r="557" spans="1:14" x14ac:dyDescent="0.2">
      <c r="A557" s="514">
        <v>43145</v>
      </c>
      <c r="B557" s="491">
        <v>330191.24</v>
      </c>
      <c r="F557" s="493">
        <v>43313</v>
      </c>
      <c r="G557" s="494">
        <v>287391.71999999997</v>
      </c>
      <c r="H557" s="601">
        <v>169314.31</v>
      </c>
      <c r="J557" s="493">
        <v>43405</v>
      </c>
      <c r="K557" s="601">
        <v>166031.76999999999</v>
      </c>
      <c r="N557" s="690">
        <f t="shared" si="3"/>
        <v>177171.74047995618</v>
      </c>
    </row>
    <row r="558" spans="1:14" x14ac:dyDescent="0.2">
      <c r="A558" s="514">
        <v>43146</v>
      </c>
      <c r="B558" s="491">
        <v>313471.64</v>
      </c>
      <c r="F558" s="493">
        <v>43344</v>
      </c>
      <c r="G558" s="494">
        <v>327095.84000000003</v>
      </c>
      <c r="H558" s="601">
        <v>170138.99</v>
      </c>
      <c r="J558" s="493">
        <v>43435</v>
      </c>
      <c r="K558" s="601">
        <v>159621.23000000001</v>
      </c>
      <c r="N558" s="690">
        <f t="shared" si="3"/>
        <v>178057.59918235595</v>
      </c>
    </row>
    <row r="559" spans="1:14" x14ac:dyDescent="0.2">
      <c r="A559" s="514">
        <v>43147</v>
      </c>
      <c r="B559" s="491">
        <v>313472</v>
      </c>
      <c r="F559" s="493">
        <v>43374</v>
      </c>
      <c r="G559" s="494">
        <v>233504.28</v>
      </c>
      <c r="H559" s="601">
        <v>164332.01</v>
      </c>
      <c r="J559" s="493">
        <v>43466</v>
      </c>
      <c r="K559" s="601">
        <v>166873.93</v>
      </c>
      <c r="N559" s="690">
        <f t="shared" si="3"/>
        <v>178947.88717826773</v>
      </c>
    </row>
    <row r="560" spans="1:14" x14ac:dyDescent="0.2">
      <c r="A560" s="514">
        <v>43150</v>
      </c>
      <c r="B560" s="491">
        <v>313472</v>
      </c>
      <c r="F560" s="493">
        <v>43405</v>
      </c>
      <c r="G560" s="494">
        <v>166530.44</v>
      </c>
      <c r="H560" s="601">
        <v>166031.76999999999</v>
      </c>
      <c r="J560" s="493">
        <v>43497</v>
      </c>
      <c r="K560" s="601">
        <v>170486.28</v>
      </c>
      <c r="N560" s="690">
        <f t="shared" si="3"/>
        <v>179842.62661415906</v>
      </c>
    </row>
    <row r="561" spans="1:14" x14ac:dyDescent="0.2">
      <c r="A561" s="514">
        <v>43151</v>
      </c>
      <c r="B561" s="491">
        <v>277471.58</v>
      </c>
      <c r="F561" s="493">
        <v>43435</v>
      </c>
      <c r="G561" s="494">
        <v>245292.72</v>
      </c>
      <c r="H561" s="601">
        <v>159621.23000000001</v>
      </c>
      <c r="J561" s="493">
        <v>43525</v>
      </c>
      <c r="K561" s="601">
        <v>171537.16</v>
      </c>
      <c r="N561" s="690">
        <f t="shared" si="3"/>
        <v>180741.83974722985</v>
      </c>
    </row>
    <row r="562" spans="1:14" x14ac:dyDescent="0.2">
      <c r="A562" s="514">
        <v>43152</v>
      </c>
      <c r="B562" s="491">
        <v>287526.92</v>
      </c>
      <c r="F562" s="493">
        <v>43466</v>
      </c>
      <c r="G562" s="494">
        <v>322895</v>
      </c>
      <c r="H562" s="601">
        <v>166873.93</v>
      </c>
      <c r="J562" s="493">
        <v>43556</v>
      </c>
      <c r="K562" s="601">
        <v>174601.21</v>
      </c>
      <c r="N562" s="690">
        <f t="shared" si="3"/>
        <v>181645.548945966</v>
      </c>
    </row>
    <row r="563" spans="1:14" x14ac:dyDescent="0.2">
      <c r="A563" s="514">
        <v>43153</v>
      </c>
      <c r="B563" s="491">
        <v>296486.64</v>
      </c>
      <c r="F563" s="493">
        <v>43497</v>
      </c>
      <c r="G563" s="494">
        <v>388590.24</v>
      </c>
      <c r="H563" s="601">
        <v>170486.28</v>
      </c>
      <c r="J563" s="493">
        <v>43586</v>
      </c>
      <c r="K563" s="601">
        <v>169831.32</v>
      </c>
      <c r="N563" s="690">
        <f t="shared" si="3"/>
        <v>182553.77669069584</v>
      </c>
    </row>
    <row r="564" spans="1:14" x14ac:dyDescent="0.2">
      <c r="A564" s="514">
        <v>43154</v>
      </c>
      <c r="B564" s="491">
        <v>296487</v>
      </c>
      <c r="F564" s="493">
        <v>43525</v>
      </c>
      <c r="G564" s="494">
        <v>244069.19</v>
      </c>
      <c r="H564" s="601">
        <v>171537.16</v>
      </c>
      <c r="J564" s="493">
        <v>43617</v>
      </c>
      <c r="K564" s="601">
        <v>175962.43</v>
      </c>
      <c r="N564" s="690">
        <f t="shared" si="3"/>
        <v>183466.54557414932</v>
      </c>
    </row>
    <row r="565" spans="1:14" x14ac:dyDescent="0.2">
      <c r="A565" s="514">
        <v>43157</v>
      </c>
      <c r="B565" s="491">
        <v>296487</v>
      </c>
      <c r="F565" s="493">
        <v>43556</v>
      </c>
      <c r="G565" s="494">
        <v>265093.77</v>
      </c>
      <c r="H565" s="601">
        <v>174601.21</v>
      </c>
      <c r="J565" s="493">
        <v>43647</v>
      </c>
      <c r="K565" s="601">
        <v>176392.07</v>
      </c>
      <c r="N565" s="690">
        <f t="shared" si="3"/>
        <v>184383.87830202008</v>
      </c>
    </row>
    <row r="566" spans="1:14" x14ac:dyDescent="0.2">
      <c r="A566" s="514">
        <v>43158</v>
      </c>
      <c r="B566" s="491">
        <v>335911.5</v>
      </c>
      <c r="F566" s="493">
        <v>43586</v>
      </c>
      <c r="G566" s="494">
        <v>218979.44</v>
      </c>
      <c r="H566" s="601">
        <v>169831.32</v>
      </c>
      <c r="J566" s="493">
        <v>43678</v>
      </c>
      <c r="K566" s="601">
        <v>174581</v>
      </c>
      <c r="N566" s="690">
        <f t="shared" si="3"/>
        <v>185305.79769353018</v>
      </c>
    </row>
    <row r="567" spans="1:14" x14ac:dyDescent="0.2">
      <c r="A567" s="514">
        <v>43159</v>
      </c>
      <c r="B567" s="491">
        <v>335912</v>
      </c>
      <c r="F567" s="493">
        <v>43617</v>
      </c>
      <c r="G567" s="494">
        <v>271553.78999999998</v>
      </c>
      <c r="H567" s="601">
        <v>175962.43</v>
      </c>
      <c r="J567" s="493">
        <v>43709</v>
      </c>
      <c r="K567" s="601">
        <v>175832.82</v>
      </c>
      <c r="N567" s="690">
        <f t="shared" si="3"/>
        <v>186232.32668199783</v>
      </c>
    </row>
    <row r="568" spans="1:14" x14ac:dyDescent="0.2">
      <c r="A568" s="514">
        <v>43160</v>
      </c>
      <c r="B568" s="491">
        <v>330042.21999999997</v>
      </c>
      <c r="F568" s="493">
        <v>43647</v>
      </c>
      <c r="G568" s="494">
        <v>272625.19</v>
      </c>
      <c r="H568" s="601">
        <v>176392.07</v>
      </c>
      <c r="J568" s="493">
        <v>43739</v>
      </c>
      <c r="K568" s="601">
        <v>176684.91</v>
      </c>
      <c r="N568" s="690">
        <f t="shared" si="3"/>
        <v>187163.48831540783</v>
      </c>
    </row>
    <row r="569" spans="1:14" x14ac:dyDescent="0.2">
      <c r="A569" s="514">
        <v>43161</v>
      </c>
      <c r="B569" s="549">
        <v>367034.5</v>
      </c>
      <c r="F569" s="493">
        <v>43678</v>
      </c>
      <c r="G569" s="494">
        <v>249105.04</v>
      </c>
      <c r="H569" s="601">
        <v>174581.16</v>
      </c>
      <c r="J569" s="493">
        <v>43770</v>
      </c>
      <c r="K569" s="601">
        <v>180686.55</v>
      </c>
      <c r="N569" s="690">
        <f t="shared" si="3"/>
        <v>188099.30575698486</v>
      </c>
    </row>
    <row r="570" spans="1:14" x14ac:dyDescent="0.2">
      <c r="A570" s="514">
        <v>43164</v>
      </c>
      <c r="B570" s="491">
        <v>330990.42</v>
      </c>
      <c r="F570" s="493">
        <v>43709</v>
      </c>
      <c r="G570" s="494">
        <v>224675.57</v>
      </c>
      <c r="H570" s="601">
        <v>175832.82</v>
      </c>
      <c r="J570" s="493">
        <v>43800</v>
      </c>
      <c r="K570" s="601">
        <v>184417.26</v>
      </c>
      <c r="N570" s="690">
        <f t="shared" si="3"/>
        <v>189039.80228576978</v>
      </c>
    </row>
    <row r="571" spans="1:14" x14ac:dyDescent="0.2">
      <c r="A571" s="514">
        <v>43165</v>
      </c>
      <c r="B571" s="491">
        <v>333065.89</v>
      </c>
      <c r="F571" s="493">
        <v>43739</v>
      </c>
      <c r="G571" s="494">
        <f>250597.51-10616</f>
        <v>239981.51</v>
      </c>
      <c r="H571" s="601">
        <v>176684.91</v>
      </c>
      <c r="J571" s="493">
        <v>43831</v>
      </c>
      <c r="K571" s="601">
        <v>186588.03</v>
      </c>
      <c r="N571" s="690">
        <f t="shared" si="3"/>
        <v>189985.00129719861</v>
      </c>
    </row>
    <row r="572" spans="1:14" x14ac:dyDescent="0.2">
      <c r="A572" s="514">
        <v>43166</v>
      </c>
      <c r="B572" s="491">
        <v>331065.89</v>
      </c>
      <c r="F572" s="493">
        <v>43770</v>
      </c>
      <c r="G572" s="494">
        <f>213081.72-10616</f>
        <v>202465.72</v>
      </c>
      <c r="H572" s="601">
        <v>180686.55</v>
      </c>
      <c r="J572" s="493">
        <v>43862</v>
      </c>
      <c r="K572" s="601">
        <v>177685.24</v>
      </c>
      <c r="N572" s="690">
        <f t="shared" si="3"/>
        <v>190934.9263036846</v>
      </c>
    </row>
    <row r="573" spans="1:14" x14ac:dyDescent="0.2">
      <c r="A573" s="514">
        <v>43167</v>
      </c>
      <c r="B573" s="491">
        <v>331092.17</v>
      </c>
      <c r="F573" s="493">
        <v>43800</v>
      </c>
      <c r="G573" s="494">
        <v>298881.24</v>
      </c>
      <c r="H573" s="601">
        <v>184417.26</v>
      </c>
      <c r="J573" s="493">
        <v>43891</v>
      </c>
      <c r="K573" s="601">
        <v>162398.81</v>
      </c>
      <c r="N573" s="690">
        <f t="shared" si="3"/>
        <v>191889.60093520302</v>
      </c>
    </row>
    <row r="574" spans="1:14" x14ac:dyDescent="0.2">
      <c r="A574" s="514">
        <v>43168</v>
      </c>
      <c r="B574" s="491">
        <v>311733.17</v>
      </c>
      <c r="F574" s="493">
        <v>43831</v>
      </c>
      <c r="G574" s="494">
        <v>326352.59000000003</v>
      </c>
      <c r="H574" s="601">
        <v>186588.03</v>
      </c>
      <c r="J574" s="493">
        <v>43922</v>
      </c>
      <c r="K574" s="601">
        <v>175055.83</v>
      </c>
      <c r="N574" s="690">
        <f t="shared" si="3"/>
        <v>192849.04893987905</v>
      </c>
    </row>
    <row r="575" spans="1:14" x14ac:dyDescent="0.2">
      <c r="A575" s="514">
        <v>43171</v>
      </c>
      <c r="B575" s="491">
        <v>317116.19</v>
      </c>
      <c r="F575" s="493">
        <v>43862</v>
      </c>
      <c r="G575" s="494">
        <v>247842.14</v>
      </c>
      <c r="H575" s="601">
        <v>177685.24</v>
      </c>
      <c r="J575" s="493">
        <v>43952</v>
      </c>
      <c r="K575" s="601">
        <v>180640.71</v>
      </c>
      <c r="N575" s="690">
        <f t="shared" si="3"/>
        <v>193813.29418457844</v>
      </c>
    </row>
    <row r="576" spans="1:14" x14ac:dyDescent="0.2">
      <c r="A576" s="514">
        <v>43172</v>
      </c>
      <c r="B576" s="491">
        <v>317116</v>
      </c>
      <c r="F576" s="493">
        <v>43891</v>
      </c>
      <c r="G576" s="494">
        <v>256001.05</v>
      </c>
      <c r="H576" s="601">
        <v>162398.81</v>
      </c>
      <c r="J576" s="493">
        <v>43983</v>
      </c>
      <c r="K576" s="601">
        <v>183627.14</v>
      </c>
      <c r="N576" s="690">
        <f t="shared" si="3"/>
        <v>194782.36065550134</v>
      </c>
    </row>
    <row r="577" spans="1:18" x14ac:dyDescent="0.2">
      <c r="A577" s="514">
        <v>43173</v>
      </c>
      <c r="B577" s="491">
        <v>317496.19</v>
      </c>
      <c r="F577" s="493">
        <v>43922</v>
      </c>
      <c r="G577" s="494">
        <v>319553.11</v>
      </c>
      <c r="H577" s="601">
        <v>175055.83</v>
      </c>
      <c r="J577" s="493">
        <v>44013</v>
      </c>
      <c r="K577" s="601">
        <v>191310.14</v>
      </c>
      <c r="L577" s="243"/>
      <c r="N577" s="690">
        <f t="shared" si="3"/>
        <v>195756.27245877884</v>
      </c>
      <c r="O577" s="243"/>
      <c r="P577" s="243"/>
      <c r="Q577" s="243"/>
      <c r="R577" s="243"/>
    </row>
    <row r="578" spans="1:18" x14ac:dyDescent="0.2">
      <c r="A578" s="514">
        <v>43174</v>
      </c>
      <c r="B578" s="491">
        <v>317772.45</v>
      </c>
      <c r="F578" s="493">
        <v>43952</v>
      </c>
      <c r="G578" s="494">
        <v>373887.89</v>
      </c>
      <c r="H578" s="601">
        <v>180640.71</v>
      </c>
      <c r="J578" s="493">
        <v>44044</v>
      </c>
      <c r="K578" s="601">
        <v>196731.42</v>
      </c>
      <c r="L578" s="243"/>
      <c r="N578" s="690">
        <f t="shared" si="3"/>
        <v>196735.05382107274</v>
      </c>
      <c r="P578" s="243"/>
      <c r="Q578" s="243"/>
      <c r="R578" s="243"/>
    </row>
    <row r="579" spans="1:18" x14ac:dyDescent="0.2">
      <c r="A579" s="514">
        <v>43175</v>
      </c>
      <c r="B579" s="491">
        <v>317772</v>
      </c>
      <c r="C579" s="514"/>
      <c r="D579" s="491"/>
      <c r="F579" s="493">
        <v>43983</v>
      </c>
      <c r="G579" s="494">
        <v>387259.9</v>
      </c>
      <c r="H579" s="601">
        <v>183627.14</v>
      </c>
      <c r="J579" s="493">
        <v>44075</v>
      </c>
      <c r="K579" s="601">
        <v>192424.98</v>
      </c>
      <c r="L579" s="243"/>
      <c r="N579" s="690">
        <f t="shared" si="3"/>
        <v>197718.72909017809</v>
      </c>
      <c r="P579" s="243"/>
      <c r="Q579" s="243"/>
      <c r="R579" s="243"/>
    </row>
    <row r="580" spans="1:18" x14ac:dyDescent="0.2">
      <c r="A580" s="514">
        <v>43178</v>
      </c>
      <c r="B580" s="491">
        <v>279446.55</v>
      </c>
      <c r="C580" s="514"/>
      <c r="D580" s="491"/>
      <c r="F580" s="493">
        <v>44013</v>
      </c>
      <c r="G580" s="494">
        <v>393896.48</v>
      </c>
      <c r="H580" s="601">
        <v>191310.14</v>
      </c>
      <c r="J580" s="493">
        <v>44105</v>
      </c>
      <c r="K580" s="601">
        <v>189044.54</v>
      </c>
      <c r="L580" s="243"/>
      <c r="N580" s="690">
        <f t="shared" si="3"/>
        <v>198707.32273562899</v>
      </c>
      <c r="P580" s="243"/>
      <c r="Q580" s="243"/>
      <c r="R580" s="243"/>
    </row>
    <row r="581" spans="1:18" x14ac:dyDescent="0.2">
      <c r="A581" s="514">
        <v>43179</v>
      </c>
      <c r="B581" s="491">
        <v>272785.62</v>
      </c>
      <c r="C581" s="514"/>
      <c r="D581" s="491"/>
      <c r="F581" s="493">
        <v>44044</v>
      </c>
      <c r="G581" s="494">
        <v>318622.86</v>
      </c>
      <c r="H581" s="601">
        <v>196731.42</v>
      </c>
      <c r="J581" s="493">
        <v>44136</v>
      </c>
      <c r="K581" s="601">
        <v>201253.81</v>
      </c>
      <c r="L581" s="243"/>
      <c r="N581" s="690">
        <f t="shared" si="3"/>
        <v>199700.85934930714</v>
      </c>
      <c r="P581" s="243"/>
      <c r="Q581" s="243"/>
      <c r="R581" s="243"/>
    </row>
    <row r="582" spans="1:18" x14ac:dyDescent="0.2">
      <c r="A582" s="514">
        <v>43180</v>
      </c>
      <c r="B582" s="491">
        <v>288240.15999999997</v>
      </c>
      <c r="C582" s="514"/>
      <c r="D582" s="491"/>
      <c r="F582" s="493">
        <v>44075</v>
      </c>
      <c r="G582" s="494">
        <v>310792.11</v>
      </c>
      <c r="H582" s="601">
        <v>192424.98</v>
      </c>
      <c r="J582" s="493">
        <v>44166</v>
      </c>
      <c r="K582" s="601">
        <v>206549.06</v>
      </c>
      <c r="L582" s="243"/>
      <c r="N582" s="690">
        <f t="shared" si="3"/>
        <v>200699.36364605368</v>
      </c>
      <c r="O582" s="243"/>
      <c r="P582" s="243"/>
      <c r="Q582" s="243"/>
      <c r="R582" s="243"/>
    </row>
    <row r="583" spans="1:18" x14ac:dyDescent="0.2">
      <c r="A583" s="514">
        <v>43181</v>
      </c>
      <c r="B583" s="491">
        <v>278742.74</v>
      </c>
      <c r="C583" s="514"/>
      <c r="D583" s="491"/>
      <c r="F583" s="493">
        <v>44105</v>
      </c>
      <c r="G583" s="494">
        <v>337545.3</v>
      </c>
      <c r="H583" s="601">
        <v>189044.54</v>
      </c>
      <c r="J583" s="493">
        <v>44197</v>
      </c>
      <c r="K583" s="601">
        <v>204163.62</v>
      </c>
      <c r="L583" s="243"/>
      <c r="N583" s="690">
        <f t="shared" si="3"/>
        <v>201702.86046428393</v>
      </c>
      <c r="O583" s="243"/>
      <c r="P583" s="243"/>
      <c r="Q583" s="243"/>
      <c r="R583" s="243"/>
    </row>
    <row r="584" spans="1:18" x14ac:dyDescent="0.2">
      <c r="A584" s="514">
        <v>43182</v>
      </c>
      <c r="B584" s="491">
        <v>278840.24</v>
      </c>
      <c r="C584" s="514"/>
      <c r="D584" s="491"/>
      <c r="F584" s="493">
        <v>44136</v>
      </c>
      <c r="G584" s="494">
        <v>407385.79</v>
      </c>
      <c r="H584" s="601">
        <v>201253.81</v>
      </c>
      <c r="J584" s="493">
        <v>44228</v>
      </c>
      <c r="K584" s="601">
        <v>207045.8</v>
      </c>
      <c r="L584" s="243"/>
      <c r="N584" s="690">
        <f t="shared" si="3"/>
        <v>202711.37476660535</v>
      </c>
      <c r="O584" s="243"/>
      <c r="P584" s="243"/>
      <c r="Q584" s="243"/>
      <c r="R584" s="243"/>
    </row>
    <row r="585" spans="1:18" x14ac:dyDescent="0.2">
      <c r="A585" s="514">
        <v>43185</v>
      </c>
      <c r="B585" s="491">
        <v>278942.24</v>
      </c>
      <c r="C585" s="514"/>
      <c r="D585" s="491"/>
      <c r="F585" s="493">
        <v>44166</v>
      </c>
      <c r="G585" s="494">
        <v>325944.61</v>
      </c>
      <c r="H585" s="601">
        <v>206549.06</v>
      </c>
      <c r="J585" s="493">
        <v>44256</v>
      </c>
      <c r="K585" s="601">
        <v>211866.05</v>
      </c>
      <c r="L585" s="243"/>
      <c r="N585" s="690">
        <f t="shared" si="3"/>
        <v>203724.93164043839</v>
      </c>
      <c r="O585" s="243"/>
      <c r="P585" s="243"/>
      <c r="Q585" s="243"/>
      <c r="R585" s="243"/>
    </row>
    <row r="586" spans="1:18" x14ac:dyDescent="0.2">
      <c r="A586" s="514">
        <v>43186</v>
      </c>
      <c r="B586" s="491">
        <v>257048.49</v>
      </c>
      <c r="C586" s="514"/>
      <c r="D586" s="491"/>
      <c r="F586" s="493">
        <v>44197</v>
      </c>
      <c r="G586" s="494">
        <v>416865.56</v>
      </c>
      <c r="H586" s="601">
        <v>204163.62</v>
      </c>
      <c r="J586" s="493">
        <v>44287</v>
      </c>
      <c r="K586" s="601">
        <v>218448.38</v>
      </c>
      <c r="L586" s="243"/>
      <c r="N586" s="690">
        <f t="shared" si="3"/>
        <v>204743.55629864059</v>
      </c>
      <c r="O586" s="243"/>
      <c r="P586" s="243"/>
      <c r="Q586" s="243"/>
      <c r="R586" s="243"/>
    </row>
    <row r="587" spans="1:18" x14ac:dyDescent="0.2">
      <c r="A587" s="514">
        <v>43187</v>
      </c>
      <c r="B587" s="491">
        <v>252662.47</v>
      </c>
      <c r="C587" s="514"/>
      <c r="D587" s="491"/>
      <c r="F587" s="493">
        <v>44228</v>
      </c>
      <c r="G587" s="494">
        <v>403762.36</v>
      </c>
      <c r="H587" s="601">
        <v>207045.8</v>
      </c>
      <c r="J587" s="493">
        <v>44317</v>
      </c>
      <c r="K587" s="601">
        <f>222185</f>
        <v>222185</v>
      </c>
      <c r="L587" s="243"/>
      <c r="N587" s="690">
        <f t="shared" si="3"/>
        <v>205767.27408013379</v>
      </c>
      <c r="O587" s="243"/>
      <c r="P587" s="243"/>
      <c r="Q587" s="243"/>
      <c r="R587" s="243"/>
    </row>
    <row r="588" spans="1:18" x14ac:dyDescent="0.2">
      <c r="A588" s="514">
        <v>43188</v>
      </c>
      <c r="B588" s="491">
        <v>254708.73</v>
      </c>
      <c r="C588" s="514"/>
      <c r="D588" s="491"/>
      <c r="F588" s="493">
        <v>44256</v>
      </c>
      <c r="G588" s="494">
        <v>218522.99</v>
      </c>
      <c r="H588" s="601">
        <v>211866.05</v>
      </c>
      <c r="J588" s="493">
        <v>44348</v>
      </c>
      <c r="K588" s="601">
        <v>222449.07</v>
      </c>
      <c r="L588" s="243"/>
      <c r="N588" s="690">
        <f t="shared" si="3"/>
        <v>206796.11045053447</v>
      </c>
      <c r="O588" s="243"/>
      <c r="P588" s="243"/>
      <c r="Q588" s="243"/>
      <c r="R588" s="243"/>
    </row>
    <row r="589" spans="1:18" x14ac:dyDescent="0.2">
      <c r="A589" s="514">
        <v>43189</v>
      </c>
      <c r="B589" s="491">
        <v>281702.86</v>
      </c>
      <c r="C589" s="514"/>
      <c r="D589" s="491"/>
      <c r="F589" s="493">
        <v>44287</v>
      </c>
      <c r="G589" s="494">
        <v>281784.46000000002</v>
      </c>
      <c r="H589" s="601">
        <v>218448.38</v>
      </c>
      <c r="J589" s="493">
        <v>44378</v>
      </c>
      <c r="K589" s="601">
        <v>325177.46999999997</v>
      </c>
      <c r="L589" s="243"/>
      <c r="N589" s="690">
        <f>N$525*N588/12 +N588+100000</f>
        <v>307830.09100278711</v>
      </c>
      <c r="O589" s="243"/>
      <c r="P589" s="243"/>
      <c r="Q589" s="243"/>
      <c r="R589" s="243"/>
    </row>
    <row r="590" spans="1:18" x14ac:dyDescent="0.2">
      <c r="A590" s="514">
        <v>43192</v>
      </c>
      <c r="B590" s="491">
        <v>244220.77</v>
      </c>
      <c r="C590" s="514"/>
      <c r="D590" s="491"/>
      <c r="F590" s="493">
        <v>44317</v>
      </c>
      <c r="G590" s="494">
        <v>231705.38</v>
      </c>
      <c r="H590" s="601">
        <v>222184.92</v>
      </c>
      <c r="J590" s="493">
        <v>44409</v>
      </c>
      <c r="K590" s="601">
        <v>329419.45</v>
      </c>
      <c r="L590" s="243"/>
      <c r="N590" s="690">
        <f t="shared" si="3"/>
        <v>309369.24145780102</v>
      </c>
    </row>
    <row r="591" spans="1:18" x14ac:dyDescent="0.2">
      <c r="A591" s="514">
        <v>43193</v>
      </c>
      <c r="B591" s="491">
        <v>244221</v>
      </c>
      <c r="C591" s="514"/>
      <c r="D591" s="491"/>
      <c r="F591" s="493">
        <v>44348</v>
      </c>
      <c r="G591" s="494">
        <v>254786.13</v>
      </c>
      <c r="H591" s="601">
        <v>222449.07</v>
      </c>
      <c r="J591" s="493">
        <v>44440</v>
      </c>
      <c r="K591" s="601">
        <v>318755.06</v>
      </c>
      <c r="L591" s="243"/>
      <c r="N591" s="690">
        <f t="shared" si="3"/>
        <v>310916.08766509005</v>
      </c>
    </row>
    <row r="592" spans="1:18" x14ac:dyDescent="0.2">
      <c r="A592" s="514">
        <v>43194</v>
      </c>
      <c r="B592" s="491">
        <v>244221</v>
      </c>
      <c r="C592" s="514"/>
      <c r="D592" s="491"/>
      <c r="F592" s="493">
        <v>44378</v>
      </c>
      <c r="G592" s="494">
        <v>323671.89</v>
      </c>
      <c r="H592" s="601">
        <v>325177.46999999997</v>
      </c>
      <c r="J592" s="493">
        <v>44470</v>
      </c>
      <c r="K592" s="601">
        <v>329502.62</v>
      </c>
      <c r="L592" s="243"/>
      <c r="N592" s="690">
        <f t="shared" ref="N592:N596" si="4">N$525*N591/12 +N591</f>
        <v>312470.66810341552</v>
      </c>
    </row>
    <row r="593" spans="1:14" x14ac:dyDescent="0.2">
      <c r="A593" s="514">
        <v>43195</v>
      </c>
      <c r="B593" s="491">
        <v>225503.87</v>
      </c>
      <c r="C593" s="514"/>
      <c r="D593" s="491"/>
      <c r="F593" s="493">
        <v>44409</v>
      </c>
      <c r="G593" s="494">
        <v>334383.06</v>
      </c>
      <c r="H593" s="601">
        <v>329419.45</v>
      </c>
      <c r="J593" s="493">
        <v>44501</v>
      </c>
      <c r="K593" s="601">
        <v>323833.99</v>
      </c>
      <c r="L593" s="243"/>
      <c r="N593" s="690">
        <f t="shared" si="4"/>
        <v>314033.02144393261</v>
      </c>
    </row>
    <row r="594" spans="1:14" x14ac:dyDescent="0.2">
      <c r="A594" s="514">
        <v>43196</v>
      </c>
      <c r="B594" s="491">
        <v>225504</v>
      </c>
      <c r="C594" s="514"/>
      <c r="D594" s="491"/>
      <c r="F594" s="493">
        <v>44440</v>
      </c>
      <c r="G594" s="494">
        <v>325598.5</v>
      </c>
      <c r="H594" s="601">
        <v>318755.06</v>
      </c>
      <c r="J594" s="493">
        <v>44531</v>
      </c>
      <c r="K594" s="601">
        <v>334446.53999999998</v>
      </c>
      <c r="L594" s="243"/>
      <c r="N594" s="690">
        <f t="shared" si="4"/>
        <v>315603.18655115226</v>
      </c>
    </row>
    <row r="595" spans="1:14" x14ac:dyDescent="0.2">
      <c r="A595" s="514">
        <v>43199</v>
      </c>
      <c r="B595" s="491">
        <v>225503.8</v>
      </c>
      <c r="C595" s="514"/>
      <c r="D595" s="491"/>
      <c r="F595" s="493">
        <v>44470</v>
      </c>
      <c r="G595" s="494">
        <v>397934.47</v>
      </c>
      <c r="H595" s="601">
        <v>329502.62</v>
      </c>
      <c r="J595" s="493">
        <v>44562</v>
      </c>
      <c r="K595" s="601">
        <v>323933.77</v>
      </c>
      <c r="L595" s="243"/>
      <c r="N595" s="690">
        <f t="shared" si="4"/>
        <v>317181.20248390804</v>
      </c>
    </row>
    <row r="596" spans="1:14" x14ac:dyDescent="0.2">
      <c r="A596" s="514">
        <v>43200</v>
      </c>
      <c r="B596" s="491">
        <v>227389.96</v>
      </c>
      <c r="C596" s="514"/>
      <c r="D596" s="491"/>
      <c r="F596" s="493">
        <v>44501</v>
      </c>
      <c r="G596" s="494">
        <v>304557.78000000003</v>
      </c>
      <c r="H596" s="601">
        <v>323833.99</v>
      </c>
      <c r="J596" s="493">
        <v>44593</v>
      </c>
      <c r="K596" s="601">
        <v>319586.55</v>
      </c>
      <c r="L596" s="243"/>
      <c r="N596" s="690">
        <f t="shared" si="4"/>
        <v>318767.10849632759</v>
      </c>
    </row>
    <row r="597" spans="1:14" x14ac:dyDescent="0.2">
      <c r="A597" s="514">
        <v>43201</v>
      </c>
      <c r="B597" s="491">
        <v>235472.53</v>
      </c>
      <c r="C597" s="514"/>
      <c r="D597" s="491"/>
      <c r="F597" s="493">
        <v>44531</v>
      </c>
      <c r="G597" s="494">
        <v>339829.81</v>
      </c>
      <c r="H597" s="601">
        <v>334446.53999999998</v>
      </c>
      <c r="J597" s="493">
        <v>44621</v>
      </c>
      <c r="K597" s="601">
        <v>422621.04</v>
      </c>
      <c r="L597" s="243"/>
    </row>
    <row r="598" spans="1:14" x14ac:dyDescent="0.2">
      <c r="A598" s="514">
        <v>43202</v>
      </c>
      <c r="B598" s="491">
        <v>222207.84</v>
      </c>
      <c r="C598" s="514"/>
      <c r="D598" s="491"/>
      <c r="F598" s="493">
        <v>44562</v>
      </c>
      <c r="G598" s="494">
        <v>483670.84</v>
      </c>
      <c r="H598" s="601">
        <v>323933.77</v>
      </c>
      <c r="J598" s="493">
        <v>44652</v>
      </c>
      <c r="K598" s="601">
        <v>399826.35</v>
      </c>
      <c r="L598" s="243"/>
    </row>
    <row r="599" spans="1:14" x14ac:dyDescent="0.2">
      <c r="A599" s="514">
        <v>43203</v>
      </c>
      <c r="B599" s="491">
        <v>222287.93</v>
      </c>
      <c r="C599" s="514"/>
      <c r="D599" s="491"/>
      <c r="F599" s="493">
        <v>44593</v>
      </c>
      <c r="G599" s="494">
        <v>403181.63</v>
      </c>
      <c r="H599" s="601">
        <v>319586.55</v>
      </c>
      <c r="J599" s="493">
        <v>44682</v>
      </c>
      <c r="K599" s="601">
        <v>404182.26</v>
      </c>
      <c r="L599" s="243"/>
    </row>
    <row r="600" spans="1:14" x14ac:dyDescent="0.2">
      <c r="A600" s="514">
        <v>43206</v>
      </c>
      <c r="B600" s="491">
        <v>186664.28</v>
      </c>
      <c r="C600" s="514"/>
      <c r="D600" s="491"/>
      <c r="F600" s="493">
        <v>44621</v>
      </c>
      <c r="G600" s="494">
        <v>315833.28999999998</v>
      </c>
      <c r="H600" s="601">
        <v>422621.04</v>
      </c>
      <c r="J600" s="493">
        <v>44713</v>
      </c>
      <c r="K600" s="601">
        <v>378955.05</v>
      </c>
      <c r="L600" s="243"/>
    </row>
    <row r="601" spans="1:14" x14ac:dyDescent="0.2">
      <c r="A601" s="514">
        <v>43207</v>
      </c>
      <c r="B601" s="491">
        <v>188484.95</v>
      </c>
      <c r="C601" s="514"/>
      <c r="D601" s="491"/>
      <c r="F601" s="493">
        <v>44652</v>
      </c>
      <c r="G601" s="494">
        <v>327170</v>
      </c>
      <c r="H601" s="601">
        <v>399826.35</v>
      </c>
      <c r="J601" s="493">
        <v>44743</v>
      </c>
      <c r="K601" s="601">
        <v>395341.91</v>
      </c>
      <c r="L601" s="243"/>
    </row>
    <row r="602" spans="1:14" x14ac:dyDescent="0.2">
      <c r="A602" s="514">
        <v>43208</v>
      </c>
      <c r="B602" s="491">
        <v>188485</v>
      </c>
      <c r="C602" s="514"/>
      <c r="D602" s="491"/>
      <c r="F602" s="493">
        <v>44682</v>
      </c>
      <c r="G602" s="494">
        <v>246847.16</v>
      </c>
      <c r="H602" s="601">
        <v>404182.26</v>
      </c>
      <c r="J602" s="493">
        <v>44774</v>
      </c>
      <c r="K602" s="601">
        <v>382796.02</v>
      </c>
      <c r="L602" s="243"/>
    </row>
    <row r="603" spans="1:14" x14ac:dyDescent="0.2">
      <c r="A603" s="514">
        <v>43209</v>
      </c>
      <c r="B603" s="491">
        <v>180474.73</v>
      </c>
      <c r="C603" s="514"/>
      <c r="D603" s="491"/>
      <c r="F603" s="493">
        <v>44713</v>
      </c>
      <c r="G603" s="494">
        <v>274391.32</v>
      </c>
      <c r="H603" s="601">
        <v>378955.05</v>
      </c>
      <c r="J603" s="493">
        <v>44805</v>
      </c>
      <c r="K603" s="601">
        <v>357259.36</v>
      </c>
      <c r="L603" s="243"/>
    </row>
    <row r="604" spans="1:14" x14ac:dyDescent="0.2">
      <c r="A604" s="514">
        <v>43210</v>
      </c>
      <c r="B604" s="491">
        <v>188207.38</v>
      </c>
      <c r="C604" s="514"/>
      <c r="D604" s="491"/>
      <c r="F604" s="493">
        <v>44743</v>
      </c>
      <c r="G604" s="494">
        <v>311473.07</v>
      </c>
      <c r="H604" s="601">
        <v>395341.91</v>
      </c>
      <c r="J604" s="493">
        <v>44835</v>
      </c>
      <c r="K604" s="601">
        <v>374993.63</v>
      </c>
      <c r="L604" s="243"/>
    </row>
    <row r="605" spans="1:14" x14ac:dyDescent="0.2">
      <c r="A605" s="514">
        <v>43213</v>
      </c>
      <c r="B605" s="491">
        <v>198618.83</v>
      </c>
      <c r="C605" s="514"/>
      <c r="D605" s="491"/>
      <c r="F605" s="493">
        <v>44774</v>
      </c>
      <c r="G605" s="494">
        <v>246923.1</v>
      </c>
      <c r="H605" s="601">
        <v>382796.02</v>
      </c>
      <c r="J605" s="493">
        <v>44866</v>
      </c>
      <c r="K605" s="601">
        <v>396685.21</v>
      </c>
      <c r="L605" s="243"/>
    </row>
    <row r="606" spans="1:14" x14ac:dyDescent="0.2">
      <c r="A606" s="514">
        <v>43214</v>
      </c>
      <c r="B606" s="491">
        <v>198619</v>
      </c>
      <c r="C606" s="514"/>
      <c r="D606" s="491"/>
      <c r="F606" s="493">
        <v>44805</v>
      </c>
      <c r="G606" s="494">
        <v>214783.77</v>
      </c>
      <c r="H606" s="601">
        <v>357259.36</v>
      </c>
      <c r="J606" s="493">
        <v>44896</v>
      </c>
      <c r="K606" s="601">
        <v>385734.14</v>
      </c>
      <c r="L606" s="243"/>
    </row>
    <row r="607" spans="1:14" x14ac:dyDescent="0.2">
      <c r="A607" s="514">
        <v>43215</v>
      </c>
      <c r="B607" s="491">
        <v>198619</v>
      </c>
      <c r="C607" s="514"/>
      <c r="D607" s="491"/>
      <c r="F607" s="493">
        <v>44835</v>
      </c>
      <c r="G607" s="494">
        <v>264786.40999999997</v>
      </c>
      <c r="H607" s="601">
        <v>374993.63</v>
      </c>
      <c r="J607" s="493">
        <v>44927</v>
      </c>
      <c r="K607" s="601">
        <v>402326.67</v>
      </c>
      <c r="L607" s="243"/>
    </row>
    <row r="608" spans="1:14" x14ac:dyDescent="0.2">
      <c r="A608" s="514">
        <v>43216</v>
      </c>
      <c r="B608" s="491">
        <v>189089.55</v>
      </c>
      <c r="C608" s="514"/>
      <c r="D608" s="491"/>
      <c r="F608" s="493">
        <v>44866</v>
      </c>
      <c r="G608" s="494">
        <v>290727.87</v>
      </c>
      <c r="H608" s="601">
        <v>396685.21</v>
      </c>
      <c r="J608" s="493">
        <v>44958</v>
      </c>
      <c r="K608" s="601">
        <v>390206.58</v>
      </c>
      <c r="L608" s="243"/>
    </row>
    <row r="609" spans="1:12" x14ac:dyDescent="0.2">
      <c r="A609" s="514">
        <v>43217</v>
      </c>
      <c r="B609" s="491">
        <v>216053.77</v>
      </c>
      <c r="C609" s="514"/>
      <c r="D609" s="491"/>
      <c r="F609" s="493">
        <v>44896</v>
      </c>
      <c r="G609" s="494">
        <v>362006.45</v>
      </c>
      <c r="H609" s="601">
        <v>385734.14</v>
      </c>
      <c r="K609" s="680"/>
      <c r="L609" s="243"/>
    </row>
    <row r="610" spans="1:12" x14ac:dyDescent="0.2">
      <c r="A610" s="514">
        <v>43220</v>
      </c>
      <c r="B610" s="491">
        <v>179849.52</v>
      </c>
      <c r="C610" s="514"/>
      <c r="F610" s="493">
        <v>44927</v>
      </c>
      <c r="G610" s="494">
        <v>493843.91</v>
      </c>
      <c r="H610" s="601">
        <v>402326.67</v>
      </c>
      <c r="K610" s="680"/>
      <c r="L610" s="243"/>
    </row>
    <row r="611" spans="1:12" x14ac:dyDescent="0.2">
      <c r="A611" s="514">
        <v>43221</v>
      </c>
      <c r="B611" s="491">
        <v>179850</v>
      </c>
      <c r="C611" s="514"/>
      <c r="F611" s="493">
        <v>44958</v>
      </c>
      <c r="G611" s="494">
        <v>398480.17</v>
      </c>
      <c r="H611" s="601">
        <v>390206.58</v>
      </c>
      <c r="K611" s="680"/>
      <c r="L611" s="243"/>
    </row>
    <row r="612" spans="1:12" x14ac:dyDescent="0.2">
      <c r="A612" s="514">
        <v>43222</v>
      </c>
      <c r="B612" s="491">
        <v>173749.01</v>
      </c>
      <c r="C612" s="514"/>
      <c r="K612" s="680"/>
      <c r="L612" s="243"/>
    </row>
    <row r="613" spans="1:12" x14ac:dyDescent="0.2">
      <c r="A613" s="514">
        <v>43223</v>
      </c>
      <c r="B613" s="491">
        <v>200792.85</v>
      </c>
      <c r="C613" s="514"/>
      <c r="K613" s="680"/>
      <c r="L613" s="243"/>
    </row>
    <row r="614" spans="1:12" x14ac:dyDescent="0.2">
      <c r="A614" s="514">
        <v>43224</v>
      </c>
      <c r="B614" s="491">
        <v>202331.91</v>
      </c>
      <c r="C614" s="514"/>
      <c r="K614" s="680"/>
      <c r="L614" s="243"/>
    </row>
    <row r="615" spans="1:12" x14ac:dyDescent="0.2">
      <c r="A615" s="514">
        <v>43227</v>
      </c>
      <c r="B615" s="491">
        <v>203517.87</v>
      </c>
      <c r="C615" s="514"/>
      <c r="K615" s="680"/>
      <c r="L615" s="243"/>
    </row>
    <row r="616" spans="1:12" x14ac:dyDescent="0.2">
      <c r="A616" s="514">
        <v>43228</v>
      </c>
      <c r="B616" s="491">
        <v>203518</v>
      </c>
      <c r="C616" s="514"/>
      <c r="L616" s="243"/>
    </row>
    <row r="617" spans="1:12" x14ac:dyDescent="0.2">
      <c r="A617" s="514">
        <v>43229</v>
      </c>
      <c r="B617" s="491">
        <v>203518</v>
      </c>
      <c r="C617" s="514"/>
      <c r="L617" s="243"/>
    </row>
    <row r="618" spans="1:12" x14ac:dyDescent="0.2">
      <c r="A618" s="514">
        <v>43230</v>
      </c>
      <c r="B618" s="491">
        <v>191114.58</v>
      </c>
      <c r="C618" s="514"/>
      <c r="L618" s="243"/>
    </row>
    <row r="619" spans="1:12" x14ac:dyDescent="0.2">
      <c r="A619" s="514">
        <v>43231</v>
      </c>
      <c r="B619" s="549">
        <v>153114.57999999999</v>
      </c>
      <c r="C619" s="514"/>
      <c r="D619" s="491"/>
      <c r="F619" t="s">
        <v>393</v>
      </c>
      <c r="L619" s="243"/>
    </row>
    <row r="620" spans="1:12" x14ac:dyDescent="0.2">
      <c r="A620" s="514">
        <v>43234</v>
      </c>
      <c r="B620" s="549">
        <v>153115</v>
      </c>
      <c r="C620" s="514"/>
      <c r="D620" s="491"/>
      <c r="F620" t="s">
        <v>358</v>
      </c>
      <c r="G620">
        <v>50000</v>
      </c>
      <c r="L620" s="243"/>
    </row>
    <row r="621" spans="1:12" x14ac:dyDescent="0.2">
      <c r="A621" s="514">
        <v>43235</v>
      </c>
      <c r="B621" s="491">
        <v>182792.08</v>
      </c>
      <c r="C621" s="514"/>
      <c r="D621" s="491"/>
      <c r="F621" t="s">
        <v>70</v>
      </c>
      <c r="G621" s="550">
        <v>158720.91</v>
      </c>
      <c r="H621" t="s">
        <v>351</v>
      </c>
      <c r="L621" s="243"/>
    </row>
    <row r="622" spans="1:12" x14ac:dyDescent="0.2">
      <c r="A622" s="514">
        <v>43236</v>
      </c>
      <c r="B622" s="491">
        <v>182792</v>
      </c>
      <c r="C622" s="514"/>
      <c r="D622" s="491"/>
      <c r="F622" t="s">
        <v>348</v>
      </c>
      <c r="G622" s="550">
        <v>820788.58</v>
      </c>
      <c r="L622" s="243"/>
    </row>
    <row r="623" spans="1:12" x14ac:dyDescent="0.2">
      <c r="A623" s="514">
        <v>43237</v>
      </c>
      <c r="B623" s="491">
        <v>222152.66</v>
      </c>
      <c r="C623" s="514"/>
      <c r="D623" s="491"/>
      <c r="F623" t="s">
        <v>325</v>
      </c>
      <c r="G623" s="550"/>
      <c r="L623" s="243"/>
    </row>
    <row r="624" spans="1:12" x14ac:dyDescent="0.2">
      <c r="A624" s="514">
        <v>43238</v>
      </c>
      <c r="B624" s="491">
        <v>222153</v>
      </c>
      <c r="C624" s="514"/>
      <c r="D624" s="491"/>
      <c r="F624" t="s">
        <v>349</v>
      </c>
      <c r="G624" s="550">
        <v>248821.26</v>
      </c>
      <c r="L624" s="243"/>
    </row>
    <row r="625" spans="1:12" x14ac:dyDescent="0.2">
      <c r="A625" s="514">
        <v>43241</v>
      </c>
      <c r="B625" s="491">
        <v>222153</v>
      </c>
      <c r="C625" s="514"/>
      <c r="D625" s="491"/>
      <c r="F625" t="s">
        <v>350</v>
      </c>
      <c r="G625" s="550">
        <v>2000</v>
      </c>
      <c r="L625" s="243"/>
    </row>
    <row r="626" spans="1:12" x14ac:dyDescent="0.2">
      <c r="A626" s="514">
        <v>43242</v>
      </c>
      <c r="B626" s="491">
        <v>222153</v>
      </c>
      <c r="C626" s="514"/>
      <c r="D626" s="491"/>
      <c r="F626" t="s">
        <v>356</v>
      </c>
      <c r="G626" s="550">
        <f>51000+19000</f>
        <v>70000</v>
      </c>
      <c r="L626" s="243"/>
    </row>
    <row r="627" spans="1:12" x14ac:dyDescent="0.2">
      <c r="A627" s="514">
        <v>43243</v>
      </c>
      <c r="B627" s="491">
        <v>222152</v>
      </c>
      <c r="C627" s="514"/>
      <c r="D627" s="491"/>
      <c r="E627" t="s">
        <v>352</v>
      </c>
      <c r="G627" s="550">
        <f>SUM(G620:G626)</f>
        <v>1350330.75</v>
      </c>
      <c r="L627" s="243"/>
    </row>
    <row r="628" spans="1:12" x14ac:dyDescent="0.2">
      <c r="A628" s="514">
        <v>43244</v>
      </c>
      <c r="B628" s="491">
        <v>211720.43</v>
      </c>
      <c r="C628" s="514"/>
      <c r="D628" s="491"/>
      <c r="G628" s="550"/>
    </row>
    <row r="629" spans="1:12" x14ac:dyDescent="0.2">
      <c r="A629" s="514">
        <v>43245</v>
      </c>
      <c r="B629" s="491">
        <v>211720</v>
      </c>
      <c r="C629" s="514"/>
      <c r="D629" s="491"/>
      <c r="E629" t="s">
        <v>353</v>
      </c>
      <c r="G629" s="550">
        <f>AVERAGE(G561:G573)</f>
        <v>264939.10923076922</v>
      </c>
    </row>
    <row r="630" spans="1:12" x14ac:dyDescent="0.2">
      <c r="A630" s="514">
        <v>43248</v>
      </c>
      <c r="B630" s="491">
        <v>211720</v>
      </c>
      <c r="C630" s="514"/>
      <c r="D630" s="491"/>
      <c r="G630" s="550"/>
    </row>
    <row r="631" spans="1:12" x14ac:dyDescent="0.2">
      <c r="A631" s="514">
        <v>43249</v>
      </c>
      <c r="B631" s="491">
        <v>176327.95</v>
      </c>
      <c r="C631" s="514"/>
      <c r="D631" s="491"/>
      <c r="E631" t="s">
        <v>354</v>
      </c>
      <c r="G631" s="551">
        <f>G627/G629</f>
        <v>5.0967588511963511</v>
      </c>
    </row>
    <row r="632" spans="1:12" x14ac:dyDescent="0.2">
      <c r="A632" s="514">
        <v>43250</v>
      </c>
      <c r="B632" s="491">
        <v>176328</v>
      </c>
      <c r="C632" s="514"/>
      <c r="D632" s="491"/>
      <c r="G632" s="550"/>
    </row>
    <row r="633" spans="1:12" x14ac:dyDescent="0.2">
      <c r="A633" s="514">
        <v>43251</v>
      </c>
      <c r="B633" s="491">
        <v>169004.5</v>
      </c>
      <c r="C633" s="514"/>
      <c r="D633" s="491"/>
      <c r="E633" t="s">
        <v>355</v>
      </c>
      <c r="G633" s="550">
        <v>365</v>
      </c>
    </row>
    <row r="634" spans="1:12" x14ac:dyDescent="0.2">
      <c r="A634" s="514">
        <v>43252</v>
      </c>
      <c r="B634" s="491">
        <v>261992.26</v>
      </c>
      <c r="C634" s="514"/>
      <c r="D634" s="491"/>
      <c r="G634" s="550">
        <f>G633/G631</f>
        <v>71.614139624111189</v>
      </c>
    </row>
    <row r="635" spans="1:12" x14ac:dyDescent="0.2">
      <c r="A635" s="514">
        <v>43255</v>
      </c>
      <c r="B635" s="491">
        <v>270521.09000000003</v>
      </c>
      <c r="C635" s="514"/>
      <c r="D635" s="491"/>
    </row>
    <row r="636" spans="1:12" x14ac:dyDescent="0.2">
      <c r="A636" s="514">
        <v>43256</v>
      </c>
      <c r="B636" s="491">
        <v>285365.09000000003</v>
      </c>
      <c r="C636" s="514"/>
      <c r="D636" s="491"/>
    </row>
    <row r="637" spans="1:12" x14ac:dyDescent="0.2">
      <c r="A637" s="514">
        <v>43257</v>
      </c>
      <c r="B637" s="491">
        <v>285365</v>
      </c>
      <c r="C637" s="514"/>
      <c r="D637" s="491"/>
    </row>
    <row r="638" spans="1:12" x14ac:dyDescent="0.2">
      <c r="A638" s="514">
        <v>43258</v>
      </c>
      <c r="B638" s="491">
        <v>287246.65999999997</v>
      </c>
      <c r="C638" s="514"/>
      <c r="D638" s="491"/>
    </row>
    <row r="639" spans="1:12" x14ac:dyDescent="0.2">
      <c r="A639" s="514">
        <v>43259</v>
      </c>
      <c r="B639" s="491">
        <v>287247</v>
      </c>
      <c r="C639" s="514"/>
      <c r="D639" s="491"/>
    </row>
    <row r="640" spans="1:12" x14ac:dyDescent="0.2">
      <c r="A640" s="514">
        <v>43262</v>
      </c>
      <c r="B640" s="491">
        <v>287247</v>
      </c>
      <c r="C640" s="514"/>
      <c r="D640" s="491"/>
    </row>
    <row r="641" spans="1:4" x14ac:dyDescent="0.2">
      <c r="A641" s="514">
        <v>43263</v>
      </c>
      <c r="B641" s="491">
        <v>253042.79</v>
      </c>
      <c r="C641" s="514"/>
      <c r="D641" s="491"/>
    </row>
    <row r="642" spans="1:4" x14ac:dyDescent="0.2">
      <c r="A642" s="514">
        <v>43264</v>
      </c>
      <c r="B642" s="491">
        <v>253043</v>
      </c>
      <c r="C642" s="514"/>
      <c r="D642" s="491"/>
    </row>
    <row r="643" spans="1:4" x14ac:dyDescent="0.2">
      <c r="A643" s="514">
        <v>43265</v>
      </c>
      <c r="B643" s="491">
        <v>246521.36</v>
      </c>
      <c r="C643" s="514"/>
      <c r="D643" s="491"/>
    </row>
    <row r="644" spans="1:4" x14ac:dyDescent="0.2">
      <c r="A644" s="514">
        <v>43266</v>
      </c>
      <c r="B644" s="491">
        <v>246593.56</v>
      </c>
      <c r="C644" s="514"/>
      <c r="D644" s="491"/>
    </row>
    <row r="645" spans="1:4" x14ac:dyDescent="0.2">
      <c r="A645" s="514">
        <v>43269</v>
      </c>
      <c r="B645" s="491">
        <v>246594</v>
      </c>
      <c r="C645" s="514"/>
      <c r="D645" s="491"/>
    </row>
    <row r="646" spans="1:4" x14ac:dyDescent="0.2">
      <c r="A646" s="514">
        <v>43270</v>
      </c>
      <c r="B646" s="491">
        <v>246594</v>
      </c>
      <c r="C646" s="514"/>
      <c r="D646" s="491"/>
    </row>
    <row r="647" spans="1:4" x14ac:dyDescent="0.2">
      <c r="A647" s="514">
        <v>43271</v>
      </c>
      <c r="B647" s="491">
        <v>246594</v>
      </c>
      <c r="C647" s="514"/>
      <c r="D647" s="491"/>
    </row>
    <row r="648" spans="1:4" x14ac:dyDescent="0.2">
      <c r="A648" s="514">
        <v>43272</v>
      </c>
      <c r="B648" s="491">
        <v>228395.48</v>
      </c>
      <c r="C648" s="514"/>
      <c r="D648" s="491"/>
    </row>
    <row r="649" spans="1:4" x14ac:dyDescent="0.2">
      <c r="A649" s="514">
        <v>43273</v>
      </c>
      <c r="B649" s="491">
        <v>228395</v>
      </c>
      <c r="C649" s="514"/>
      <c r="D649" s="491"/>
    </row>
    <row r="650" spans="1:4" x14ac:dyDescent="0.2">
      <c r="A650" s="514">
        <v>43276</v>
      </c>
      <c r="B650" s="491">
        <v>192627.9</v>
      </c>
      <c r="C650" s="514"/>
      <c r="D650" s="491"/>
    </row>
    <row r="651" spans="1:4" x14ac:dyDescent="0.2">
      <c r="A651" s="514">
        <v>43277</v>
      </c>
      <c r="B651" s="491">
        <v>192628</v>
      </c>
      <c r="C651" s="514"/>
      <c r="D651" s="491"/>
    </row>
    <row r="652" spans="1:4" x14ac:dyDescent="0.2">
      <c r="A652" s="514">
        <v>43278</v>
      </c>
      <c r="B652" s="491">
        <v>192628</v>
      </c>
      <c r="C652" s="514"/>
      <c r="D652" s="491"/>
    </row>
    <row r="653" spans="1:4" x14ac:dyDescent="0.2">
      <c r="A653" s="514">
        <v>43279</v>
      </c>
      <c r="B653" s="491">
        <v>193904.61</v>
      </c>
      <c r="C653" s="514"/>
      <c r="D653" s="491"/>
    </row>
    <row r="654" spans="1:4" x14ac:dyDescent="0.2">
      <c r="A654" s="514">
        <v>43280</v>
      </c>
      <c r="B654" s="491">
        <v>195328.48</v>
      </c>
      <c r="C654" s="514"/>
      <c r="D654" s="491"/>
    </row>
    <row r="655" spans="1:4" x14ac:dyDescent="0.2">
      <c r="A655" s="514">
        <v>43283</v>
      </c>
      <c r="B655" s="491">
        <v>199304.09</v>
      </c>
      <c r="C655" s="514"/>
      <c r="D655" s="491"/>
    </row>
    <row r="656" spans="1:4" x14ac:dyDescent="0.2">
      <c r="A656" s="514">
        <v>43284</v>
      </c>
      <c r="B656" s="491">
        <v>201071.11</v>
      </c>
      <c r="C656" s="514"/>
      <c r="D656" s="491"/>
    </row>
    <row r="657" spans="1:4" x14ac:dyDescent="0.2">
      <c r="A657" s="514">
        <v>43285</v>
      </c>
      <c r="B657" s="491">
        <v>201071</v>
      </c>
      <c r="C657" s="514"/>
      <c r="D657" s="491"/>
    </row>
    <row r="658" spans="1:4" x14ac:dyDescent="0.2">
      <c r="A658" s="514">
        <v>43286</v>
      </c>
      <c r="B658" s="491">
        <v>223298.16</v>
      </c>
      <c r="C658" s="514"/>
      <c r="D658" s="491"/>
    </row>
    <row r="659" spans="1:4" x14ac:dyDescent="0.2">
      <c r="A659" s="514">
        <v>43287</v>
      </c>
      <c r="B659" s="491">
        <v>238962.66</v>
      </c>
      <c r="C659" s="514"/>
      <c r="D659" s="491"/>
    </row>
    <row r="660" spans="1:4" x14ac:dyDescent="0.2">
      <c r="A660" s="514">
        <v>43290</v>
      </c>
      <c r="B660" s="491">
        <v>203086.22</v>
      </c>
      <c r="C660" s="514"/>
      <c r="D660" s="491"/>
    </row>
    <row r="661" spans="1:4" x14ac:dyDescent="0.2">
      <c r="A661" s="514">
        <v>43291</v>
      </c>
      <c r="B661" s="491">
        <v>226930.31</v>
      </c>
      <c r="C661" s="514"/>
      <c r="D661" s="491"/>
    </row>
    <row r="662" spans="1:4" x14ac:dyDescent="0.2">
      <c r="A662" s="514">
        <v>43292</v>
      </c>
      <c r="B662" s="491">
        <v>226930</v>
      </c>
      <c r="C662" s="514"/>
      <c r="D662" s="491"/>
    </row>
    <row r="663" spans="1:4" x14ac:dyDescent="0.2">
      <c r="A663" s="514">
        <v>43293</v>
      </c>
      <c r="B663" s="491">
        <v>220822.05</v>
      </c>
      <c r="C663" s="514"/>
      <c r="D663" s="491"/>
    </row>
    <row r="664" spans="1:4" x14ac:dyDescent="0.2">
      <c r="A664" s="514">
        <v>43294</v>
      </c>
      <c r="B664" s="491">
        <v>220986.35</v>
      </c>
      <c r="C664" s="514"/>
      <c r="D664" s="491"/>
    </row>
    <row r="665" spans="1:4" x14ac:dyDescent="0.2">
      <c r="A665" s="514">
        <v>43297</v>
      </c>
      <c r="B665" s="491">
        <v>220986</v>
      </c>
      <c r="C665" s="514"/>
      <c r="D665" s="491"/>
    </row>
    <row r="666" spans="1:4" x14ac:dyDescent="0.2">
      <c r="A666" s="514">
        <v>43298</v>
      </c>
      <c r="B666" s="491">
        <v>220986</v>
      </c>
      <c r="C666" s="514"/>
      <c r="D666" s="491"/>
    </row>
    <row r="667" spans="1:4" x14ac:dyDescent="0.2">
      <c r="A667" s="514">
        <v>43299</v>
      </c>
      <c r="B667" s="491">
        <v>197995.27</v>
      </c>
      <c r="C667" s="514"/>
      <c r="D667" s="491"/>
    </row>
    <row r="668" spans="1:4" x14ac:dyDescent="0.2">
      <c r="A668" s="514">
        <v>43300</v>
      </c>
      <c r="B668" s="491">
        <v>202931.61</v>
      </c>
      <c r="C668" s="514"/>
      <c r="D668" s="491"/>
    </row>
    <row r="669" spans="1:4" x14ac:dyDescent="0.2">
      <c r="A669" s="514">
        <v>43301</v>
      </c>
      <c r="B669" s="491">
        <v>202932</v>
      </c>
      <c r="C669" s="514"/>
      <c r="D669" s="491"/>
    </row>
    <row r="670" spans="1:4" x14ac:dyDescent="0.2">
      <c r="A670" s="514">
        <v>43304</v>
      </c>
      <c r="B670" s="491">
        <v>167839.6</v>
      </c>
      <c r="C670" s="514"/>
      <c r="D670" s="491"/>
    </row>
    <row r="671" spans="1:4" x14ac:dyDescent="0.2">
      <c r="A671" s="514">
        <v>43305</v>
      </c>
      <c r="B671" s="491">
        <v>167840</v>
      </c>
      <c r="C671" s="514"/>
      <c r="D671" s="491"/>
    </row>
    <row r="672" spans="1:4" x14ac:dyDescent="0.2">
      <c r="A672" s="514">
        <v>43306</v>
      </c>
      <c r="B672" s="491">
        <v>167840</v>
      </c>
      <c r="C672" s="514"/>
      <c r="D672" s="491"/>
    </row>
    <row r="673" spans="1:4" x14ac:dyDescent="0.2">
      <c r="A673" s="514">
        <v>43307</v>
      </c>
      <c r="B673" s="491">
        <v>180485.58</v>
      </c>
      <c r="C673" s="514"/>
      <c r="D673" s="491"/>
    </row>
    <row r="674" spans="1:4" x14ac:dyDescent="0.2">
      <c r="A674" s="514">
        <v>43308</v>
      </c>
      <c r="B674" s="491">
        <v>205676.09</v>
      </c>
      <c r="C674" s="514"/>
      <c r="D674" s="491"/>
    </row>
    <row r="675" spans="1:4" x14ac:dyDescent="0.2">
      <c r="A675" s="514">
        <v>43311</v>
      </c>
      <c r="B675" s="491">
        <v>199229.46</v>
      </c>
      <c r="C675" s="514"/>
      <c r="D675" s="491"/>
    </row>
    <row r="676" spans="1:4" x14ac:dyDescent="0.2">
      <c r="A676" s="514">
        <v>43312</v>
      </c>
      <c r="B676" s="491">
        <v>199612.46</v>
      </c>
      <c r="C676" s="514"/>
      <c r="D676" s="491"/>
    </row>
    <row r="677" spans="1:4" x14ac:dyDescent="0.2">
      <c r="A677" s="514">
        <v>43313</v>
      </c>
      <c r="B677" s="491">
        <v>327321.84000000003</v>
      </c>
      <c r="C677" s="514"/>
      <c r="D677" s="491"/>
    </row>
    <row r="678" spans="1:4" x14ac:dyDescent="0.2">
      <c r="A678" s="514">
        <v>43314</v>
      </c>
      <c r="B678" s="491">
        <v>328551.67</v>
      </c>
      <c r="C678" s="514"/>
      <c r="D678" s="491"/>
    </row>
    <row r="679" spans="1:4" x14ac:dyDescent="0.2">
      <c r="A679" s="514">
        <v>43315</v>
      </c>
      <c r="B679" s="491">
        <v>328552</v>
      </c>
      <c r="C679" s="514"/>
      <c r="D679" s="491"/>
    </row>
    <row r="680" spans="1:4" x14ac:dyDescent="0.2">
      <c r="A680" s="514">
        <v>43318</v>
      </c>
      <c r="B680" s="491">
        <v>293600.95</v>
      </c>
      <c r="C680" s="514"/>
      <c r="D680" s="491"/>
    </row>
    <row r="681" spans="1:4" x14ac:dyDescent="0.2">
      <c r="A681" s="514">
        <v>43319</v>
      </c>
      <c r="B681" s="491">
        <v>298153.56</v>
      </c>
      <c r="C681" s="514"/>
      <c r="D681" s="491"/>
    </row>
    <row r="682" spans="1:4" x14ac:dyDescent="0.2">
      <c r="A682" s="514">
        <v>43320</v>
      </c>
      <c r="B682" s="491">
        <v>298154</v>
      </c>
      <c r="C682" s="514"/>
      <c r="D682" s="491"/>
    </row>
    <row r="683" spans="1:4" x14ac:dyDescent="0.2">
      <c r="A683" s="514">
        <v>43321</v>
      </c>
      <c r="B683" s="491">
        <v>294180.65999999997</v>
      </c>
      <c r="C683" s="514"/>
      <c r="D683" s="491"/>
    </row>
    <row r="684" spans="1:4" x14ac:dyDescent="0.2">
      <c r="A684" s="514">
        <v>43322</v>
      </c>
      <c r="B684" s="491">
        <v>294181</v>
      </c>
      <c r="C684" s="514"/>
      <c r="D684" s="491"/>
    </row>
    <row r="685" spans="1:4" x14ac:dyDescent="0.2">
      <c r="A685" s="514">
        <v>43325</v>
      </c>
      <c r="B685" s="491">
        <v>294679.65999999997</v>
      </c>
      <c r="C685" s="514"/>
      <c r="D685" s="491"/>
    </row>
    <row r="686" spans="1:4" x14ac:dyDescent="0.2">
      <c r="A686" s="514">
        <v>43326</v>
      </c>
      <c r="B686" s="491">
        <v>294680</v>
      </c>
      <c r="C686" s="514"/>
      <c r="D686" s="491"/>
    </row>
    <row r="687" spans="1:4" x14ac:dyDescent="0.2">
      <c r="A687" s="514">
        <v>43327</v>
      </c>
      <c r="B687" s="491">
        <v>294761.65000000002</v>
      </c>
      <c r="C687" s="514"/>
      <c r="D687" s="491"/>
    </row>
    <row r="688" spans="1:4" x14ac:dyDescent="0.2">
      <c r="A688" s="514">
        <v>43328</v>
      </c>
      <c r="B688" s="491">
        <v>290632.52</v>
      </c>
      <c r="C688" s="514"/>
      <c r="D688" s="491"/>
    </row>
    <row r="689" spans="1:4" x14ac:dyDescent="0.2">
      <c r="A689" s="514">
        <v>43329</v>
      </c>
      <c r="B689" s="491">
        <v>290633</v>
      </c>
      <c r="C689" s="514"/>
      <c r="D689" s="491"/>
    </row>
    <row r="690" spans="1:4" x14ac:dyDescent="0.2">
      <c r="A690" s="514">
        <v>43332</v>
      </c>
      <c r="B690" s="491">
        <v>254427.11</v>
      </c>
      <c r="C690" s="514"/>
      <c r="D690" s="491"/>
    </row>
    <row r="691" spans="1:4" x14ac:dyDescent="0.2">
      <c r="A691" s="514">
        <v>43333</v>
      </c>
      <c r="B691" s="491">
        <v>255823.93</v>
      </c>
      <c r="C691" s="514"/>
      <c r="D691" s="491"/>
    </row>
    <row r="692" spans="1:4" x14ac:dyDescent="0.2">
      <c r="A692" s="514">
        <v>43334</v>
      </c>
      <c r="B692" s="491">
        <v>255419.13</v>
      </c>
      <c r="C692" s="514"/>
      <c r="D692" s="491"/>
    </row>
    <row r="693" spans="1:4" x14ac:dyDescent="0.2">
      <c r="A693" s="514">
        <v>43335</v>
      </c>
      <c r="B693" s="491">
        <v>272759.37</v>
      </c>
      <c r="C693" s="514"/>
      <c r="D693" s="491"/>
    </row>
    <row r="694" spans="1:4" x14ac:dyDescent="0.2">
      <c r="A694" s="514">
        <v>43336</v>
      </c>
      <c r="B694" s="491">
        <v>272846.37</v>
      </c>
      <c r="C694" s="514"/>
      <c r="D694" s="491"/>
    </row>
    <row r="695" spans="1:4" x14ac:dyDescent="0.2">
      <c r="A695" s="514">
        <v>43339</v>
      </c>
      <c r="B695" s="491">
        <v>272846</v>
      </c>
      <c r="C695" s="514"/>
      <c r="D695" s="491"/>
    </row>
    <row r="696" spans="1:4" x14ac:dyDescent="0.2">
      <c r="A696" s="514">
        <v>43340</v>
      </c>
      <c r="B696" s="491">
        <v>272846</v>
      </c>
      <c r="C696" s="514"/>
      <c r="D696" s="491"/>
    </row>
    <row r="697" spans="1:4" x14ac:dyDescent="0.2">
      <c r="A697" s="514">
        <v>43341</v>
      </c>
      <c r="B697" s="491">
        <v>276622.58</v>
      </c>
      <c r="C697" s="514"/>
      <c r="D697" s="491"/>
    </row>
    <row r="698" spans="1:4" x14ac:dyDescent="0.2">
      <c r="A698" s="514">
        <v>43342</v>
      </c>
      <c r="B698" s="491">
        <v>276623</v>
      </c>
      <c r="C698" s="514"/>
      <c r="D698" s="491"/>
    </row>
    <row r="699" spans="1:4" x14ac:dyDescent="0.2">
      <c r="A699" s="514">
        <v>43343</v>
      </c>
      <c r="B699" s="491">
        <v>276773.33</v>
      </c>
      <c r="C699" s="514"/>
      <c r="D699" s="491"/>
    </row>
    <row r="700" spans="1:4" x14ac:dyDescent="0.2">
      <c r="A700" s="514">
        <v>43346</v>
      </c>
      <c r="B700" s="491">
        <v>276773</v>
      </c>
      <c r="C700" s="514"/>
      <c r="D700" s="491"/>
    </row>
    <row r="701" spans="1:4" x14ac:dyDescent="0.2">
      <c r="A701" s="514">
        <v>43347</v>
      </c>
      <c r="B701" s="491">
        <v>240090.56</v>
      </c>
      <c r="C701" s="514"/>
      <c r="D701" s="491"/>
    </row>
    <row r="702" spans="1:4" x14ac:dyDescent="0.2">
      <c r="A702" s="514">
        <v>43348</v>
      </c>
      <c r="B702" s="491">
        <v>240091</v>
      </c>
      <c r="C702" s="514"/>
      <c r="D702" s="491"/>
    </row>
    <row r="703" spans="1:4" x14ac:dyDescent="0.2">
      <c r="A703" s="514">
        <v>43349</v>
      </c>
      <c r="B703" s="491">
        <v>237779.31</v>
      </c>
      <c r="C703" s="514"/>
      <c r="D703" s="491"/>
    </row>
    <row r="704" spans="1:4" x14ac:dyDescent="0.2">
      <c r="A704" s="514">
        <v>43350</v>
      </c>
      <c r="B704" s="491">
        <v>237779</v>
      </c>
      <c r="C704" s="514"/>
      <c r="D704" s="491"/>
    </row>
    <row r="705" spans="1:4" x14ac:dyDescent="0.2">
      <c r="A705" s="514">
        <v>43353</v>
      </c>
      <c r="B705" s="491">
        <v>243552.34</v>
      </c>
      <c r="C705" s="514"/>
      <c r="D705" s="491"/>
    </row>
    <row r="706" spans="1:4" x14ac:dyDescent="0.2">
      <c r="A706" s="514">
        <v>43354</v>
      </c>
      <c r="B706" s="491">
        <v>243552</v>
      </c>
      <c r="C706" s="514"/>
      <c r="D706" s="491"/>
    </row>
    <row r="707" spans="1:4" x14ac:dyDescent="0.2">
      <c r="A707" s="514">
        <v>43355</v>
      </c>
      <c r="B707" s="491">
        <v>243552</v>
      </c>
      <c r="C707" s="514"/>
      <c r="D707" s="491"/>
    </row>
    <row r="708" spans="1:4" x14ac:dyDescent="0.2">
      <c r="A708" s="514">
        <v>43356</v>
      </c>
      <c r="B708" s="491">
        <v>266009.96000000002</v>
      </c>
      <c r="C708" s="514"/>
      <c r="D708" s="491"/>
    </row>
    <row r="709" spans="1:4" x14ac:dyDescent="0.2">
      <c r="A709" s="514">
        <v>43357</v>
      </c>
      <c r="B709" s="491">
        <v>266087.59999999998</v>
      </c>
      <c r="C709" s="514"/>
      <c r="D709" s="491"/>
    </row>
    <row r="710" spans="1:4" x14ac:dyDescent="0.2">
      <c r="A710" s="514">
        <v>43360</v>
      </c>
      <c r="B710" s="491">
        <v>229939.6</v>
      </c>
      <c r="C710" s="514"/>
      <c r="D710" s="491"/>
    </row>
    <row r="711" spans="1:4" x14ac:dyDescent="0.2">
      <c r="A711" s="514">
        <v>43361</v>
      </c>
      <c r="B711" s="491">
        <v>229940</v>
      </c>
      <c r="C711" s="514"/>
      <c r="D711" s="491"/>
    </row>
    <row r="712" spans="1:4" x14ac:dyDescent="0.2">
      <c r="A712" s="514">
        <v>43362</v>
      </c>
      <c r="B712" s="491">
        <v>229940</v>
      </c>
      <c r="C712" s="514"/>
      <c r="D712" s="491"/>
    </row>
    <row r="713" spans="1:4" x14ac:dyDescent="0.2">
      <c r="A713" s="514">
        <v>43363</v>
      </c>
      <c r="B713" s="491">
        <v>226983.82</v>
      </c>
      <c r="C713" s="514"/>
      <c r="D713" s="491"/>
    </row>
    <row r="714" spans="1:4" x14ac:dyDescent="0.2">
      <c r="A714" s="514">
        <v>43364</v>
      </c>
      <c r="B714" s="491">
        <v>226983.82</v>
      </c>
      <c r="C714" s="514"/>
      <c r="D714" s="491"/>
    </row>
    <row r="715" spans="1:4" x14ac:dyDescent="0.2">
      <c r="A715" s="514">
        <v>43367</v>
      </c>
      <c r="B715" s="491">
        <v>231167.41</v>
      </c>
      <c r="C715" s="514"/>
      <c r="D715" s="491"/>
    </row>
    <row r="716" spans="1:4" x14ac:dyDescent="0.2">
      <c r="A716" s="514">
        <v>43368</v>
      </c>
      <c r="B716" s="491">
        <v>231298.26</v>
      </c>
      <c r="C716" s="514"/>
      <c r="D716" s="491"/>
    </row>
    <row r="717" spans="1:4" x14ac:dyDescent="0.2">
      <c r="A717" s="514">
        <v>43369</v>
      </c>
      <c r="B717" s="491">
        <v>231298</v>
      </c>
      <c r="C717" s="514"/>
      <c r="D717" s="491"/>
    </row>
    <row r="718" spans="1:4" x14ac:dyDescent="0.2">
      <c r="A718" s="514">
        <v>43370</v>
      </c>
      <c r="B718" s="491">
        <v>218195.44</v>
      </c>
      <c r="C718" s="514"/>
      <c r="D718" s="491"/>
    </row>
    <row r="719" spans="1:4" x14ac:dyDescent="0.2">
      <c r="A719" s="514">
        <v>43371</v>
      </c>
      <c r="B719" s="491">
        <v>218195</v>
      </c>
      <c r="C719" s="514"/>
      <c r="D719" s="491"/>
    </row>
    <row r="720" spans="1:4" x14ac:dyDescent="0.2">
      <c r="A720" s="514">
        <v>43374</v>
      </c>
      <c r="B720" s="491">
        <v>181738.47</v>
      </c>
      <c r="C720" s="514"/>
      <c r="D720" s="491"/>
    </row>
    <row r="721" spans="1:4" x14ac:dyDescent="0.2">
      <c r="A721" s="514">
        <v>43375</v>
      </c>
      <c r="B721" s="491">
        <v>175674.86</v>
      </c>
      <c r="C721" s="514"/>
      <c r="D721" s="491"/>
    </row>
    <row r="722" spans="1:4" x14ac:dyDescent="0.2">
      <c r="A722" s="514">
        <v>43376</v>
      </c>
      <c r="B722" s="491">
        <v>175890.11</v>
      </c>
      <c r="C722" s="514"/>
      <c r="D722" s="491"/>
    </row>
    <row r="723" spans="1:4" x14ac:dyDescent="0.2">
      <c r="A723" s="514">
        <v>43377</v>
      </c>
      <c r="B723" s="491">
        <v>176908.84</v>
      </c>
      <c r="C723" s="514"/>
      <c r="D723" s="491"/>
    </row>
    <row r="724" spans="1:4" x14ac:dyDescent="0.2">
      <c r="A724" s="514">
        <v>43378</v>
      </c>
      <c r="B724" s="491">
        <v>176909</v>
      </c>
      <c r="C724" s="514"/>
      <c r="D724" s="491"/>
    </row>
    <row r="725" spans="1:4" x14ac:dyDescent="0.2">
      <c r="A725" s="514">
        <v>43381</v>
      </c>
      <c r="B725" s="491">
        <v>176909</v>
      </c>
      <c r="C725" s="514"/>
      <c r="D725" s="491"/>
    </row>
    <row r="726" spans="1:4" x14ac:dyDescent="0.2">
      <c r="A726" s="514">
        <v>43382</v>
      </c>
      <c r="B726" s="491">
        <v>226038.22</v>
      </c>
      <c r="C726" s="514"/>
      <c r="D726" s="491"/>
    </row>
    <row r="727" spans="1:4" x14ac:dyDescent="0.2">
      <c r="A727" s="514">
        <v>43383</v>
      </c>
      <c r="B727" s="491">
        <v>226038</v>
      </c>
      <c r="C727" s="514"/>
      <c r="D727" s="491"/>
    </row>
    <row r="728" spans="1:4" x14ac:dyDescent="0.2">
      <c r="A728" s="514">
        <v>43384</v>
      </c>
      <c r="B728" s="491">
        <v>223293.31</v>
      </c>
      <c r="C728" s="514"/>
      <c r="D728" s="491"/>
    </row>
    <row r="729" spans="1:4" x14ac:dyDescent="0.2">
      <c r="A729" s="514">
        <v>43385</v>
      </c>
      <c r="B729" s="491">
        <v>272327.27</v>
      </c>
      <c r="C729" s="514"/>
      <c r="D729" s="491"/>
    </row>
    <row r="730" spans="1:4" x14ac:dyDescent="0.2">
      <c r="A730" s="514">
        <v>43388</v>
      </c>
      <c r="B730" s="491">
        <v>236397.34</v>
      </c>
      <c r="C730" s="514"/>
      <c r="D730" s="491"/>
    </row>
    <row r="731" spans="1:4" x14ac:dyDescent="0.2">
      <c r="A731" s="514">
        <v>43389</v>
      </c>
      <c r="B731" s="491">
        <v>236553.84</v>
      </c>
      <c r="C731" s="514"/>
      <c r="D731" s="491"/>
    </row>
    <row r="732" spans="1:4" x14ac:dyDescent="0.2">
      <c r="A732" s="514">
        <v>43390</v>
      </c>
      <c r="B732" s="491">
        <v>249133.92</v>
      </c>
      <c r="C732" s="514"/>
      <c r="D732" s="491"/>
    </row>
    <row r="733" spans="1:4" x14ac:dyDescent="0.2">
      <c r="A733" s="514">
        <v>43391</v>
      </c>
      <c r="B733" s="491">
        <v>254043.68</v>
      </c>
      <c r="C733" s="514"/>
      <c r="D733" s="491"/>
    </row>
    <row r="734" spans="1:4" x14ac:dyDescent="0.2">
      <c r="A734" s="514">
        <v>43392</v>
      </c>
      <c r="B734" s="491">
        <v>254064.5</v>
      </c>
      <c r="C734" s="514"/>
      <c r="D734" s="491"/>
    </row>
    <row r="735" spans="1:4" x14ac:dyDescent="0.2">
      <c r="A735" s="514">
        <v>43395</v>
      </c>
      <c r="B735" s="491">
        <v>290142.09999999998</v>
      </c>
      <c r="C735" s="514"/>
      <c r="D735" s="491"/>
    </row>
    <row r="736" spans="1:4" x14ac:dyDescent="0.2">
      <c r="A736" s="514">
        <v>43396</v>
      </c>
      <c r="B736" s="491">
        <v>290142</v>
      </c>
      <c r="C736" s="514"/>
      <c r="D736" s="491"/>
    </row>
    <row r="737" spans="1:4" x14ac:dyDescent="0.2">
      <c r="A737" s="514">
        <v>43397</v>
      </c>
      <c r="B737" s="491">
        <v>290034.38</v>
      </c>
      <c r="C737" s="514"/>
      <c r="D737" s="491"/>
    </row>
    <row r="738" spans="1:4" x14ac:dyDescent="0.2">
      <c r="A738" s="514">
        <v>43398</v>
      </c>
      <c r="B738" s="491">
        <v>291747.36</v>
      </c>
      <c r="C738" s="514"/>
      <c r="D738" s="491"/>
    </row>
    <row r="739" spans="1:4" x14ac:dyDescent="0.2">
      <c r="A739" s="514">
        <v>43399</v>
      </c>
      <c r="B739" s="491">
        <v>306637.48</v>
      </c>
      <c r="C739" s="514"/>
      <c r="D739" s="491"/>
    </row>
    <row r="740" spans="1:4" x14ac:dyDescent="0.2">
      <c r="A740" s="514">
        <v>43402</v>
      </c>
      <c r="B740" s="491">
        <v>270401.28999999998</v>
      </c>
      <c r="C740" s="514"/>
      <c r="D740" s="491"/>
    </row>
    <row r="741" spans="1:4" x14ac:dyDescent="0.2">
      <c r="A741" s="514">
        <v>43403</v>
      </c>
      <c r="B741" s="491">
        <v>278028.58</v>
      </c>
      <c r="C741" s="514"/>
      <c r="D741" s="491"/>
    </row>
    <row r="742" spans="1:4" x14ac:dyDescent="0.2">
      <c r="A742" s="514">
        <v>43404</v>
      </c>
      <c r="B742" s="491">
        <v>278029</v>
      </c>
      <c r="C742" s="514"/>
      <c r="D742" s="491"/>
    </row>
    <row r="743" spans="1:4" x14ac:dyDescent="0.2">
      <c r="A743" s="514">
        <v>43405</v>
      </c>
      <c r="B743" s="491">
        <v>279523.53000000003</v>
      </c>
      <c r="C743" s="514"/>
      <c r="D743" s="491"/>
    </row>
    <row r="744" spans="1:4" x14ac:dyDescent="0.2">
      <c r="A744" s="514">
        <v>43406</v>
      </c>
      <c r="B744" s="491">
        <v>303100.06</v>
      </c>
      <c r="C744" s="514"/>
      <c r="D744" s="491"/>
    </row>
    <row r="745" spans="1:4" x14ac:dyDescent="0.2">
      <c r="A745" s="514">
        <v>43409</v>
      </c>
      <c r="B745" s="491">
        <v>303100.06</v>
      </c>
      <c r="C745" s="514"/>
      <c r="D745" s="491"/>
    </row>
    <row r="746" spans="1:4" x14ac:dyDescent="0.2">
      <c r="A746" s="514">
        <v>43410</v>
      </c>
      <c r="B746" s="491">
        <v>303100.06</v>
      </c>
      <c r="C746" s="514"/>
      <c r="D746" s="491"/>
    </row>
    <row r="747" spans="1:4" x14ac:dyDescent="0.2">
      <c r="A747" s="514">
        <v>43411</v>
      </c>
      <c r="B747" s="491">
        <v>303954.14</v>
      </c>
      <c r="C747" s="514"/>
      <c r="D747" s="491"/>
    </row>
    <row r="748" spans="1:4" x14ac:dyDescent="0.2">
      <c r="A748" s="514">
        <v>43412</v>
      </c>
      <c r="B748" s="491">
        <v>294843.14</v>
      </c>
      <c r="C748" s="514"/>
      <c r="D748" s="491"/>
    </row>
    <row r="749" spans="1:4" x14ac:dyDescent="0.2">
      <c r="A749" s="514">
        <v>43413</v>
      </c>
      <c r="B749" s="491">
        <v>294843</v>
      </c>
      <c r="C749" s="514"/>
      <c r="D749" s="491"/>
    </row>
    <row r="750" spans="1:4" x14ac:dyDescent="0.2">
      <c r="A750" s="514">
        <v>43416</v>
      </c>
      <c r="B750" s="491">
        <v>294843</v>
      </c>
      <c r="C750" s="514"/>
      <c r="D750" s="491"/>
    </row>
    <row r="751" spans="1:4" x14ac:dyDescent="0.2">
      <c r="A751" s="514">
        <v>43417</v>
      </c>
      <c r="B751" s="491">
        <v>294843</v>
      </c>
      <c r="C751" s="514"/>
      <c r="D751" s="491"/>
    </row>
    <row r="752" spans="1:4" x14ac:dyDescent="0.2">
      <c r="A752" s="514">
        <v>43418</v>
      </c>
      <c r="B752" s="491">
        <v>259514.47</v>
      </c>
      <c r="C752" s="514"/>
      <c r="D752" s="491"/>
    </row>
    <row r="753" spans="1:4" x14ac:dyDescent="0.2">
      <c r="A753" s="514">
        <v>43419</v>
      </c>
      <c r="B753" s="491">
        <v>255987.45</v>
      </c>
      <c r="C753" s="514"/>
      <c r="D753" s="491"/>
    </row>
    <row r="754" spans="1:4" x14ac:dyDescent="0.2">
      <c r="A754" s="514">
        <v>43420</v>
      </c>
      <c r="B754" s="491">
        <v>255987.45</v>
      </c>
      <c r="C754" s="514"/>
      <c r="D754" s="491"/>
    </row>
    <row r="755" spans="1:4" x14ac:dyDescent="0.2">
      <c r="A755" s="514">
        <v>43423</v>
      </c>
      <c r="B755" s="491">
        <v>255987.45</v>
      </c>
      <c r="C755" s="514"/>
      <c r="D755" s="491"/>
    </row>
    <row r="756" spans="1:4" x14ac:dyDescent="0.2">
      <c r="A756" s="514">
        <v>43424</v>
      </c>
      <c r="B756" s="491">
        <v>254650.75</v>
      </c>
      <c r="C756" s="514"/>
      <c r="D756" s="491"/>
    </row>
    <row r="757" spans="1:4" x14ac:dyDescent="0.2">
      <c r="A757" s="514">
        <v>43425</v>
      </c>
      <c r="B757" s="491">
        <v>298403.21000000002</v>
      </c>
      <c r="C757" s="514"/>
      <c r="D757" s="491"/>
    </row>
    <row r="758" spans="1:4" x14ac:dyDescent="0.2">
      <c r="A758" s="514">
        <v>43426</v>
      </c>
      <c r="B758" s="491">
        <v>300529.64</v>
      </c>
      <c r="C758" s="514"/>
      <c r="D758" s="491"/>
    </row>
    <row r="759" spans="1:4" x14ac:dyDescent="0.2">
      <c r="A759" s="514">
        <v>43427</v>
      </c>
      <c r="B759" s="491">
        <v>300229.64</v>
      </c>
      <c r="C759" s="514"/>
      <c r="D759" s="491"/>
    </row>
    <row r="760" spans="1:4" x14ac:dyDescent="0.2">
      <c r="A760" s="514">
        <v>43430</v>
      </c>
      <c r="B760" s="491">
        <v>300230</v>
      </c>
      <c r="C760" s="514"/>
      <c r="D760" s="491"/>
    </row>
    <row r="761" spans="1:4" x14ac:dyDescent="0.2">
      <c r="A761" s="514">
        <v>43431</v>
      </c>
      <c r="B761" s="491">
        <v>267674.82</v>
      </c>
      <c r="C761" s="514"/>
      <c r="D761" s="491"/>
    </row>
    <row r="762" spans="1:4" x14ac:dyDescent="0.2">
      <c r="A762" s="514">
        <v>43432</v>
      </c>
      <c r="B762" s="491">
        <v>273448.82</v>
      </c>
      <c r="C762" s="514"/>
      <c r="D762" s="491"/>
    </row>
    <row r="763" spans="1:4" x14ac:dyDescent="0.2">
      <c r="A763" s="514">
        <v>43433</v>
      </c>
      <c r="B763" s="491">
        <v>252527.09</v>
      </c>
      <c r="C763" s="514"/>
      <c r="D763" s="491"/>
    </row>
    <row r="764" spans="1:4" x14ac:dyDescent="0.2">
      <c r="A764" s="514">
        <v>43434</v>
      </c>
      <c r="B764" s="491">
        <v>321968.59000000003</v>
      </c>
      <c r="C764" s="514"/>
      <c r="D764" s="491"/>
    </row>
    <row r="765" spans="1:4" x14ac:dyDescent="0.2">
      <c r="A765" s="514">
        <v>43437</v>
      </c>
      <c r="B765" s="491">
        <v>321969</v>
      </c>
      <c r="C765" s="514"/>
      <c r="D765" s="491"/>
    </row>
    <row r="766" spans="1:4" x14ac:dyDescent="0.2">
      <c r="A766" s="514">
        <v>43438</v>
      </c>
      <c r="B766" s="491">
        <v>321969</v>
      </c>
      <c r="C766" s="514"/>
      <c r="D766" s="491"/>
    </row>
    <row r="767" spans="1:4" x14ac:dyDescent="0.2">
      <c r="A767" s="514">
        <v>43439</v>
      </c>
      <c r="B767" s="491">
        <v>321969</v>
      </c>
      <c r="C767" s="514"/>
      <c r="D767" s="491"/>
    </row>
    <row r="768" spans="1:4" x14ac:dyDescent="0.2">
      <c r="A768" s="514">
        <v>43440</v>
      </c>
      <c r="B768" s="491">
        <v>314251.55</v>
      </c>
      <c r="C768" s="514"/>
      <c r="D768" s="491"/>
    </row>
    <row r="769" spans="1:4" x14ac:dyDescent="0.2">
      <c r="A769" s="514">
        <v>43441</v>
      </c>
      <c r="B769" s="491">
        <v>315739.42</v>
      </c>
      <c r="C769" s="514"/>
      <c r="D769" s="491"/>
    </row>
    <row r="770" spans="1:4" x14ac:dyDescent="0.2">
      <c r="A770" s="514">
        <v>43444</v>
      </c>
      <c r="B770" s="491">
        <v>315739</v>
      </c>
      <c r="C770" s="514"/>
      <c r="D770" s="491"/>
    </row>
    <row r="771" spans="1:4" x14ac:dyDescent="0.2">
      <c r="A771" s="514">
        <v>43445</v>
      </c>
      <c r="B771" s="491">
        <v>275506.94</v>
      </c>
      <c r="C771" s="514"/>
      <c r="D771" s="491"/>
    </row>
    <row r="772" spans="1:4" x14ac:dyDescent="0.2">
      <c r="A772" s="514">
        <v>43446</v>
      </c>
      <c r="B772" s="491">
        <v>275507</v>
      </c>
      <c r="C772" s="514"/>
      <c r="D772" s="491"/>
    </row>
    <row r="773" spans="1:4" x14ac:dyDescent="0.2">
      <c r="A773" s="514">
        <v>43447</v>
      </c>
      <c r="B773" s="491">
        <v>289896.89</v>
      </c>
      <c r="C773" s="514"/>
      <c r="D773" s="491"/>
    </row>
    <row r="774" spans="1:4" x14ac:dyDescent="0.2">
      <c r="A774" s="514">
        <v>43448</v>
      </c>
      <c r="B774" s="491">
        <v>313281.34999999998</v>
      </c>
      <c r="C774" s="514"/>
      <c r="D774" s="491"/>
    </row>
    <row r="775" spans="1:4" x14ac:dyDescent="0.2">
      <c r="A775" s="514">
        <v>43451</v>
      </c>
      <c r="B775" s="491">
        <v>313281</v>
      </c>
      <c r="C775" s="514"/>
      <c r="D775" s="491"/>
    </row>
    <row r="776" spans="1:4" x14ac:dyDescent="0.2">
      <c r="A776" s="514">
        <v>43452</v>
      </c>
      <c r="B776" s="491">
        <v>317556.84999999998</v>
      </c>
      <c r="C776" s="514"/>
      <c r="D776" s="491"/>
    </row>
    <row r="777" spans="1:4" x14ac:dyDescent="0.2">
      <c r="A777" s="514">
        <v>43453</v>
      </c>
      <c r="B777" s="491">
        <v>317557</v>
      </c>
      <c r="C777" s="514"/>
      <c r="D777" s="491"/>
    </row>
    <row r="778" spans="1:4" x14ac:dyDescent="0.2">
      <c r="A778" s="514">
        <v>43454</v>
      </c>
      <c r="B778" s="491">
        <v>297159.33</v>
      </c>
      <c r="C778" s="514"/>
      <c r="D778" s="491"/>
    </row>
    <row r="779" spans="1:4" x14ac:dyDescent="0.2">
      <c r="A779" s="514">
        <v>43455</v>
      </c>
      <c r="B779" s="491">
        <v>297159</v>
      </c>
      <c r="C779" s="514"/>
      <c r="D779" s="491"/>
    </row>
    <row r="780" spans="1:4" x14ac:dyDescent="0.2">
      <c r="A780" s="514">
        <v>43458</v>
      </c>
      <c r="B780" s="491">
        <v>260233.37</v>
      </c>
      <c r="C780" s="514"/>
      <c r="D780" s="491"/>
    </row>
    <row r="781" spans="1:4" x14ac:dyDescent="0.2">
      <c r="A781" s="514">
        <v>43459</v>
      </c>
      <c r="B781" s="491">
        <v>260233</v>
      </c>
      <c r="C781" s="514"/>
      <c r="D781" s="491"/>
    </row>
    <row r="782" spans="1:4" x14ac:dyDescent="0.2">
      <c r="A782" s="514">
        <v>43460</v>
      </c>
      <c r="B782" s="491">
        <v>261845.78</v>
      </c>
      <c r="C782" s="514"/>
      <c r="D782" s="491"/>
    </row>
    <row r="783" spans="1:4" x14ac:dyDescent="0.2">
      <c r="A783" s="514">
        <v>43461</v>
      </c>
      <c r="B783" s="491">
        <v>261846</v>
      </c>
      <c r="C783" s="514"/>
      <c r="D783" s="491"/>
    </row>
    <row r="784" spans="1:4" x14ac:dyDescent="0.2">
      <c r="A784" s="514">
        <v>43462</v>
      </c>
      <c r="B784" s="491">
        <v>273805.40000000002</v>
      </c>
      <c r="C784" s="514"/>
      <c r="D784" s="491"/>
    </row>
    <row r="785" spans="1:4" x14ac:dyDescent="0.2">
      <c r="A785" s="514">
        <v>43465</v>
      </c>
      <c r="B785" s="491">
        <v>274101.40000000002</v>
      </c>
      <c r="C785" s="514"/>
      <c r="D785" s="491"/>
    </row>
    <row r="786" spans="1:4" x14ac:dyDescent="0.2">
      <c r="A786" s="514">
        <v>43466</v>
      </c>
      <c r="B786" s="491">
        <v>274101</v>
      </c>
      <c r="C786" s="514"/>
      <c r="D786" s="491"/>
    </row>
    <row r="787" spans="1:4" x14ac:dyDescent="0.2">
      <c r="A787" s="514">
        <v>43467</v>
      </c>
      <c r="B787" s="491">
        <v>299108.40000000002</v>
      </c>
      <c r="C787" s="514"/>
      <c r="D787" s="491"/>
    </row>
    <row r="788" spans="1:4" x14ac:dyDescent="0.2">
      <c r="A788" s="514">
        <v>43468</v>
      </c>
      <c r="B788" s="491">
        <v>298070.78000000003</v>
      </c>
      <c r="C788" s="514"/>
      <c r="D788" s="491"/>
    </row>
    <row r="789" spans="1:4" x14ac:dyDescent="0.2">
      <c r="A789" s="514">
        <v>43469</v>
      </c>
      <c r="B789" s="491">
        <v>298071</v>
      </c>
      <c r="C789" s="514"/>
      <c r="D789" s="491"/>
    </row>
    <row r="790" spans="1:4" x14ac:dyDescent="0.2">
      <c r="A790" s="514">
        <v>43472</v>
      </c>
      <c r="B790" s="491">
        <v>298430.78000000003</v>
      </c>
      <c r="C790" s="514"/>
      <c r="D790" s="491"/>
    </row>
    <row r="791" spans="1:4" x14ac:dyDescent="0.2">
      <c r="A791" s="514">
        <v>43473</v>
      </c>
      <c r="B791" s="491">
        <v>264835.63</v>
      </c>
      <c r="C791" s="514"/>
      <c r="D791" s="491"/>
    </row>
    <row r="792" spans="1:4" x14ac:dyDescent="0.2">
      <c r="A792" s="514">
        <v>43474</v>
      </c>
      <c r="B792" s="491">
        <v>303664.65999999997</v>
      </c>
      <c r="C792" s="514"/>
      <c r="D792" s="491"/>
    </row>
    <row r="793" spans="1:4" x14ac:dyDescent="0.2">
      <c r="A793" s="514">
        <v>43475</v>
      </c>
      <c r="B793" s="491">
        <v>299790.71999999997</v>
      </c>
      <c r="C793" s="514"/>
      <c r="D793" s="491"/>
    </row>
    <row r="794" spans="1:4" x14ac:dyDescent="0.2">
      <c r="A794" s="514">
        <v>43476</v>
      </c>
      <c r="B794" s="549">
        <v>309881.71999999997</v>
      </c>
      <c r="C794" s="514"/>
      <c r="D794" s="491"/>
    </row>
    <row r="795" spans="1:4" x14ac:dyDescent="0.2">
      <c r="A795" s="514">
        <v>43479</v>
      </c>
      <c r="B795" s="491">
        <v>284374.78999999998</v>
      </c>
      <c r="C795" s="514"/>
      <c r="D795" s="491"/>
    </row>
    <row r="796" spans="1:4" x14ac:dyDescent="0.2">
      <c r="A796" s="514">
        <v>43480</v>
      </c>
      <c r="B796" s="491">
        <v>284494.75</v>
      </c>
      <c r="C796" s="514"/>
      <c r="D796" s="491"/>
    </row>
    <row r="797" spans="1:4" x14ac:dyDescent="0.2">
      <c r="A797" s="514">
        <v>43481</v>
      </c>
      <c r="B797" s="491">
        <v>277370.03000000003</v>
      </c>
      <c r="C797" s="514"/>
      <c r="D797" s="491"/>
    </row>
    <row r="798" spans="1:4" x14ac:dyDescent="0.2">
      <c r="A798" s="514">
        <v>43482</v>
      </c>
      <c r="B798" s="491">
        <v>266103.65999999997</v>
      </c>
      <c r="C798" s="514"/>
      <c r="D798" s="491"/>
    </row>
    <row r="799" spans="1:4" x14ac:dyDescent="0.2">
      <c r="A799" s="514">
        <v>43483</v>
      </c>
      <c r="B799" s="491">
        <v>266189.65999999997</v>
      </c>
      <c r="C799" s="514"/>
      <c r="D799" s="491"/>
    </row>
    <row r="800" spans="1:4" x14ac:dyDescent="0.2">
      <c r="A800" s="514">
        <v>43486</v>
      </c>
      <c r="B800" s="491">
        <v>266190</v>
      </c>
      <c r="C800" s="514"/>
      <c r="D800" s="491"/>
    </row>
    <row r="801" spans="1:4" x14ac:dyDescent="0.2">
      <c r="A801" s="514">
        <v>43487</v>
      </c>
      <c r="B801" s="491">
        <v>228832.05</v>
      </c>
      <c r="C801" s="514"/>
      <c r="D801" s="491"/>
    </row>
    <row r="802" spans="1:4" x14ac:dyDescent="0.2">
      <c r="A802" s="514">
        <v>43488</v>
      </c>
      <c r="B802" s="491">
        <v>229285.41</v>
      </c>
      <c r="C802" s="514"/>
      <c r="D802" s="491"/>
    </row>
    <row r="803" spans="1:4" x14ac:dyDescent="0.2">
      <c r="A803" s="514">
        <v>43489</v>
      </c>
      <c r="B803" s="491">
        <v>236709.42</v>
      </c>
      <c r="C803" s="514"/>
      <c r="D803" s="491"/>
    </row>
    <row r="804" spans="1:4" x14ac:dyDescent="0.2">
      <c r="A804" s="514">
        <v>43490</v>
      </c>
      <c r="B804" s="491">
        <v>236709</v>
      </c>
      <c r="C804" s="514"/>
      <c r="D804" s="491"/>
    </row>
    <row r="805" spans="1:4" x14ac:dyDescent="0.2">
      <c r="A805" s="514">
        <v>43493</v>
      </c>
      <c r="B805" s="491">
        <v>236400.88</v>
      </c>
      <c r="C805" s="514"/>
      <c r="D805" s="491"/>
    </row>
    <row r="806" spans="1:4" x14ac:dyDescent="0.2">
      <c r="A806" s="514">
        <v>43494</v>
      </c>
      <c r="B806" s="491">
        <v>236401</v>
      </c>
      <c r="C806" s="514"/>
      <c r="D806" s="491"/>
    </row>
    <row r="807" spans="1:4" x14ac:dyDescent="0.2">
      <c r="A807" s="514">
        <v>43495</v>
      </c>
      <c r="B807" s="491">
        <v>236401</v>
      </c>
      <c r="C807" s="514"/>
      <c r="D807" s="491"/>
    </row>
    <row r="808" spans="1:4" x14ac:dyDescent="0.2">
      <c r="A808" s="514">
        <v>43496</v>
      </c>
      <c r="B808" s="491">
        <v>237605.71</v>
      </c>
      <c r="C808" s="514"/>
      <c r="D808" s="491"/>
    </row>
    <row r="809" spans="1:4" x14ac:dyDescent="0.2">
      <c r="A809" s="514">
        <v>43497</v>
      </c>
      <c r="B809" s="491">
        <v>237728.71</v>
      </c>
      <c r="C809" s="514"/>
      <c r="D809" s="491"/>
    </row>
    <row r="810" spans="1:4" x14ac:dyDescent="0.2">
      <c r="A810" s="514">
        <v>43500</v>
      </c>
      <c r="B810" s="491">
        <v>201980</v>
      </c>
      <c r="C810" s="514"/>
      <c r="D810" s="491"/>
    </row>
    <row r="811" spans="1:4" x14ac:dyDescent="0.2">
      <c r="A811" s="514">
        <v>43501</v>
      </c>
      <c r="B811" s="491">
        <v>225615.34</v>
      </c>
      <c r="C811" s="514"/>
      <c r="D811" s="491"/>
    </row>
    <row r="812" spans="1:4" x14ac:dyDescent="0.2">
      <c r="A812" s="514">
        <v>43502</v>
      </c>
      <c r="B812" s="491">
        <v>225615</v>
      </c>
      <c r="C812" s="514"/>
      <c r="D812" s="491"/>
    </row>
    <row r="813" spans="1:4" x14ac:dyDescent="0.2">
      <c r="A813" s="514">
        <v>43503</v>
      </c>
      <c r="B813" s="491">
        <v>219151.3</v>
      </c>
      <c r="C813" s="514"/>
      <c r="D813" s="491"/>
    </row>
    <row r="814" spans="1:4" x14ac:dyDescent="0.2">
      <c r="A814" s="514">
        <v>43504</v>
      </c>
      <c r="B814" s="491">
        <v>219351.3</v>
      </c>
      <c r="C814" s="514"/>
      <c r="D814" s="491"/>
    </row>
    <row r="815" spans="1:4" x14ac:dyDescent="0.2">
      <c r="A815" s="514">
        <v>43507</v>
      </c>
      <c r="B815" s="491">
        <v>219351</v>
      </c>
      <c r="C815" s="514"/>
      <c r="D815" s="491"/>
    </row>
    <row r="816" spans="1:4" x14ac:dyDescent="0.2">
      <c r="A816" s="514">
        <v>43508</v>
      </c>
      <c r="B816" s="491">
        <v>219351</v>
      </c>
      <c r="C816" s="514"/>
      <c r="D816" s="491"/>
    </row>
    <row r="817" spans="1:4" x14ac:dyDescent="0.2">
      <c r="A817" s="514">
        <v>43509</v>
      </c>
      <c r="B817" s="491">
        <v>219351</v>
      </c>
      <c r="C817" s="514"/>
      <c r="D817" s="491"/>
    </row>
    <row r="818" spans="1:4" x14ac:dyDescent="0.2">
      <c r="A818" s="514">
        <v>43510</v>
      </c>
      <c r="B818" s="491">
        <v>206758.66</v>
      </c>
      <c r="C818" s="514"/>
      <c r="D818" s="491"/>
    </row>
    <row r="819" spans="1:4" x14ac:dyDescent="0.2">
      <c r="A819" s="514">
        <v>43511</v>
      </c>
      <c r="B819" s="491">
        <v>234837.55</v>
      </c>
      <c r="C819" s="514"/>
      <c r="D819" s="491"/>
    </row>
    <row r="820" spans="1:4" x14ac:dyDescent="0.2">
      <c r="A820" s="514">
        <v>43514</v>
      </c>
      <c r="B820" s="491">
        <v>234838</v>
      </c>
      <c r="C820" s="514"/>
      <c r="D820" s="491"/>
    </row>
    <row r="821" spans="1:4" x14ac:dyDescent="0.2">
      <c r="A821" s="514">
        <v>43515</v>
      </c>
      <c r="B821" s="491">
        <v>199113.26</v>
      </c>
      <c r="C821" s="514"/>
      <c r="D821" s="491"/>
    </row>
    <row r="822" spans="1:4" x14ac:dyDescent="0.2">
      <c r="A822" s="514">
        <v>43516</v>
      </c>
      <c r="B822" s="695">
        <v>199113</v>
      </c>
      <c r="C822" s="514"/>
      <c r="D822" s="491"/>
    </row>
    <row r="823" spans="1:4" x14ac:dyDescent="0.2">
      <c r="A823" s="514">
        <v>43517</v>
      </c>
      <c r="B823" s="491">
        <v>205400.17</v>
      </c>
      <c r="C823" s="514"/>
      <c r="D823" s="491"/>
    </row>
    <row r="824" spans="1:4" x14ac:dyDescent="0.2">
      <c r="A824" s="514">
        <v>43518</v>
      </c>
      <c r="B824" s="491">
        <v>220161.91</v>
      </c>
      <c r="C824" s="514"/>
      <c r="D824" s="491"/>
    </row>
    <row r="825" spans="1:4" x14ac:dyDescent="0.2">
      <c r="A825" s="514">
        <v>43521</v>
      </c>
      <c r="B825" s="491">
        <v>220161.91</v>
      </c>
      <c r="C825" s="514"/>
      <c r="D825" s="491"/>
    </row>
    <row r="826" spans="1:4" x14ac:dyDescent="0.2">
      <c r="A826" s="514">
        <v>43522</v>
      </c>
      <c r="B826" s="491">
        <v>220161.91</v>
      </c>
      <c r="C826" s="514"/>
      <c r="D826" s="491"/>
    </row>
    <row r="827" spans="1:4" x14ac:dyDescent="0.2">
      <c r="A827" s="514">
        <v>43523</v>
      </c>
      <c r="B827" s="491">
        <v>220161.91</v>
      </c>
      <c r="C827" s="514"/>
      <c r="D827" s="491"/>
    </row>
    <row r="828" spans="1:4" x14ac:dyDescent="0.2">
      <c r="A828" s="514">
        <v>43524</v>
      </c>
      <c r="B828" s="491">
        <v>224635.26</v>
      </c>
      <c r="C828" s="514"/>
      <c r="D828" s="491"/>
    </row>
    <row r="829" spans="1:4" x14ac:dyDescent="0.2">
      <c r="A829" s="514">
        <v>43525</v>
      </c>
      <c r="B829" s="491">
        <v>298900.61</v>
      </c>
      <c r="C829" s="514"/>
      <c r="D829" s="491"/>
    </row>
    <row r="830" spans="1:4" x14ac:dyDescent="0.2">
      <c r="A830" s="514">
        <v>43528</v>
      </c>
      <c r="B830" s="491">
        <v>262246.8</v>
      </c>
      <c r="C830" s="514"/>
      <c r="D830" s="491"/>
    </row>
    <row r="831" spans="1:4" x14ac:dyDescent="0.2">
      <c r="A831" s="514">
        <v>43529</v>
      </c>
      <c r="B831" s="491">
        <v>262247</v>
      </c>
      <c r="C831" s="514"/>
      <c r="D831" s="491"/>
    </row>
    <row r="832" spans="1:4" x14ac:dyDescent="0.2">
      <c r="A832" s="514">
        <v>43530</v>
      </c>
      <c r="B832" s="491">
        <v>262247</v>
      </c>
      <c r="C832" s="514"/>
      <c r="D832" s="491"/>
    </row>
    <row r="833" spans="1:4" x14ac:dyDescent="0.2">
      <c r="A833" s="514">
        <v>43531</v>
      </c>
      <c r="B833" s="491">
        <v>275395.15000000002</v>
      </c>
      <c r="C833" s="514"/>
      <c r="D833" s="491"/>
    </row>
    <row r="834" spans="1:4" x14ac:dyDescent="0.2">
      <c r="A834" s="514">
        <v>43532</v>
      </c>
      <c r="B834" s="491">
        <v>275395</v>
      </c>
      <c r="C834" s="514"/>
      <c r="D834" s="491"/>
    </row>
    <row r="835" spans="1:4" x14ac:dyDescent="0.2">
      <c r="A835" s="514">
        <v>43535</v>
      </c>
      <c r="B835" s="491">
        <v>275395</v>
      </c>
      <c r="C835" s="514"/>
      <c r="D835" s="491"/>
    </row>
    <row r="836" spans="1:4" x14ac:dyDescent="0.2">
      <c r="A836" s="514">
        <v>43536</v>
      </c>
      <c r="B836" s="491">
        <v>275395</v>
      </c>
      <c r="C836" s="514"/>
      <c r="D836" s="491"/>
    </row>
    <row r="837" spans="1:4" x14ac:dyDescent="0.2">
      <c r="A837" s="514">
        <v>43537</v>
      </c>
      <c r="B837" s="491">
        <v>316802.46999999997</v>
      </c>
      <c r="C837" s="514"/>
      <c r="D837" s="491"/>
    </row>
    <row r="838" spans="1:4" x14ac:dyDescent="0.2">
      <c r="A838" s="514">
        <v>43538</v>
      </c>
      <c r="B838" s="491">
        <v>297067.40000000002</v>
      </c>
      <c r="C838" s="514"/>
      <c r="D838" s="491"/>
    </row>
    <row r="839" spans="1:4" x14ac:dyDescent="0.2">
      <c r="A839" s="514">
        <v>43539</v>
      </c>
      <c r="B839" s="491">
        <v>300574.83</v>
      </c>
      <c r="C839" s="514"/>
      <c r="D839" s="491"/>
    </row>
    <row r="840" spans="1:4" x14ac:dyDescent="0.2">
      <c r="A840" s="514">
        <v>43542</v>
      </c>
      <c r="B840" s="491">
        <v>264695.24</v>
      </c>
      <c r="C840" s="514"/>
      <c r="D840" s="491"/>
    </row>
    <row r="841" spans="1:4" x14ac:dyDescent="0.2">
      <c r="A841" s="514">
        <v>43543</v>
      </c>
      <c r="B841" s="491">
        <v>264695</v>
      </c>
      <c r="C841" s="514"/>
      <c r="D841" s="491"/>
    </row>
    <row r="842" spans="1:4" x14ac:dyDescent="0.2">
      <c r="A842" s="514">
        <v>43544</v>
      </c>
      <c r="B842" s="491">
        <v>264695</v>
      </c>
      <c r="C842" s="514"/>
      <c r="D842" s="491"/>
    </row>
    <row r="843" spans="1:4" x14ac:dyDescent="0.2">
      <c r="A843" s="514">
        <v>43545</v>
      </c>
      <c r="B843" s="491">
        <v>282838.67</v>
      </c>
      <c r="C843" s="514"/>
      <c r="D843" s="491"/>
    </row>
    <row r="844" spans="1:4" x14ac:dyDescent="0.2">
      <c r="A844" s="514">
        <v>43546</v>
      </c>
      <c r="B844" s="491">
        <v>282839</v>
      </c>
      <c r="C844" s="514"/>
      <c r="D844" s="491"/>
    </row>
    <row r="845" spans="1:4" x14ac:dyDescent="0.2">
      <c r="A845" s="514">
        <v>43549</v>
      </c>
      <c r="B845" s="549">
        <v>333807.26</v>
      </c>
      <c r="C845" s="514"/>
      <c r="D845" s="491"/>
    </row>
    <row r="846" spans="1:4" x14ac:dyDescent="0.2">
      <c r="A846" s="514">
        <v>43550</v>
      </c>
      <c r="B846" s="491">
        <v>332295.96000000002</v>
      </c>
      <c r="C846" s="514"/>
      <c r="D846" s="491"/>
    </row>
    <row r="847" spans="1:4" x14ac:dyDescent="0.2">
      <c r="A847" s="514">
        <v>43551</v>
      </c>
      <c r="B847" s="491">
        <v>325401.01</v>
      </c>
      <c r="C847" s="514"/>
      <c r="D847" s="491"/>
    </row>
    <row r="848" spans="1:4" x14ac:dyDescent="0.2">
      <c r="A848" s="514">
        <v>43552</v>
      </c>
      <c r="B848" s="491">
        <v>328793.55</v>
      </c>
      <c r="C848" s="514"/>
      <c r="D848" s="491"/>
    </row>
    <row r="849" spans="1:4" x14ac:dyDescent="0.2">
      <c r="A849" s="514">
        <v>43553</v>
      </c>
      <c r="B849" s="491">
        <v>329088.55</v>
      </c>
      <c r="C849" s="514"/>
      <c r="D849" s="491"/>
    </row>
    <row r="850" spans="1:4" x14ac:dyDescent="0.2">
      <c r="A850" s="514">
        <v>43556</v>
      </c>
      <c r="B850" s="491">
        <v>328488.55</v>
      </c>
      <c r="C850" s="514"/>
      <c r="D850" s="491"/>
    </row>
    <row r="851" spans="1:4" x14ac:dyDescent="0.2">
      <c r="A851" s="514">
        <v>43557</v>
      </c>
      <c r="B851" s="491">
        <v>292528.71999999997</v>
      </c>
      <c r="C851" s="514"/>
      <c r="D851" s="491"/>
    </row>
    <row r="852" spans="1:4" x14ac:dyDescent="0.2">
      <c r="A852" s="514">
        <v>43558</v>
      </c>
      <c r="B852" s="491">
        <v>294672.43</v>
      </c>
      <c r="C852" s="514"/>
      <c r="D852" s="491"/>
    </row>
    <row r="853" spans="1:4" x14ac:dyDescent="0.2">
      <c r="A853" s="514">
        <v>43559</v>
      </c>
      <c r="B853" s="491">
        <v>292850.33</v>
      </c>
      <c r="C853" s="514"/>
      <c r="D853" s="491"/>
    </row>
    <row r="854" spans="1:4" x14ac:dyDescent="0.2">
      <c r="A854" s="514">
        <v>43560</v>
      </c>
      <c r="B854" s="491">
        <v>284702.78999999998</v>
      </c>
      <c r="C854" s="514"/>
      <c r="D854" s="491"/>
    </row>
    <row r="855" spans="1:4" x14ac:dyDescent="0.2">
      <c r="A855" s="514">
        <v>43563</v>
      </c>
      <c r="B855" s="491">
        <v>284703</v>
      </c>
      <c r="C855" s="514"/>
      <c r="D855" s="491"/>
    </row>
    <row r="856" spans="1:4" x14ac:dyDescent="0.2">
      <c r="A856" s="514">
        <v>43564</v>
      </c>
      <c r="B856" s="491">
        <v>284775.52</v>
      </c>
      <c r="C856" s="514"/>
      <c r="D856" s="491"/>
    </row>
    <row r="857" spans="1:4" x14ac:dyDescent="0.2">
      <c r="A857" s="514">
        <v>43565</v>
      </c>
      <c r="B857" s="491">
        <v>284776</v>
      </c>
      <c r="C857" s="514"/>
      <c r="D857" s="491"/>
    </row>
    <row r="858" spans="1:4" x14ac:dyDescent="0.2">
      <c r="A858" s="514">
        <v>43566</v>
      </c>
      <c r="B858" s="491">
        <v>277335.02</v>
      </c>
      <c r="C858" s="514"/>
      <c r="D858" s="491"/>
    </row>
    <row r="859" spans="1:4" x14ac:dyDescent="0.2">
      <c r="A859" s="514">
        <v>43567</v>
      </c>
      <c r="B859" s="491">
        <v>277335</v>
      </c>
      <c r="C859" s="514"/>
      <c r="D859" s="491"/>
    </row>
    <row r="860" spans="1:4" x14ac:dyDescent="0.2">
      <c r="A860" s="514">
        <v>43570</v>
      </c>
      <c r="B860" s="491">
        <v>277462.90999999997</v>
      </c>
      <c r="C860" s="514"/>
      <c r="D860" s="491"/>
    </row>
    <row r="861" spans="1:4" x14ac:dyDescent="0.2">
      <c r="A861" s="514">
        <v>43571</v>
      </c>
      <c r="B861" s="491">
        <v>241180.07</v>
      </c>
      <c r="C861" s="514"/>
      <c r="D861" s="491"/>
    </row>
    <row r="862" spans="1:4" x14ac:dyDescent="0.2">
      <c r="A862" s="514">
        <v>43572</v>
      </c>
      <c r="B862" s="491">
        <v>257634.61</v>
      </c>
      <c r="C862" s="514"/>
      <c r="D862" s="491"/>
    </row>
    <row r="863" spans="1:4" x14ac:dyDescent="0.2">
      <c r="A863" s="514">
        <v>43573</v>
      </c>
      <c r="B863" s="491">
        <v>241154.55</v>
      </c>
      <c r="C863" s="514"/>
      <c r="D863" s="491"/>
    </row>
    <row r="864" spans="1:4" x14ac:dyDescent="0.2">
      <c r="A864" s="514">
        <v>43574</v>
      </c>
      <c r="B864" s="491">
        <v>243162.78</v>
      </c>
      <c r="C864" s="514"/>
      <c r="D864" s="491"/>
    </row>
    <row r="865" spans="1:4" x14ac:dyDescent="0.2">
      <c r="A865" s="514">
        <v>43577</v>
      </c>
      <c r="B865" s="491">
        <v>243003.93</v>
      </c>
      <c r="C865" s="514"/>
      <c r="D865" s="491"/>
    </row>
    <row r="866" spans="1:4" x14ac:dyDescent="0.2">
      <c r="A866" s="514">
        <v>43578</v>
      </c>
      <c r="B866" s="491">
        <v>243004</v>
      </c>
      <c r="C866" s="514"/>
      <c r="D866" s="491"/>
    </row>
    <row r="867" spans="1:4" x14ac:dyDescent="0.2">
      <c r="A867" s="514">
        <v>43579</v>
      </c>
      <c r="B867" s="491">
        <v>243060.55</v>
      </c>
      <c r="C867" s="514"/>
      <c r="D867" s="491"/>
    </row>
    <row r="868" spans="1:4" x14ac:dyDescent="0.2">
      <c r="A868" s="514">
        <v>43580</v>
      </c>
      <c r="B868" s="491">
        <v>245074.5</v>
      </c>
      <c r="C868" s="514"/>
      <c r="D868" s="491"/>
    </row>
    <row r="869" spans="1:4" x14ac:dyDescent="0.2">
      <c r="A869" s="514">
        <v>43581</v>
      </c>
      <c r="B869" s="491">
        <v>274493.84000000003</v>
      </c>
      <c r="C869" s="514"/>
      <c r="D869" s="491"/>
    </row>
    <row r="870" spans="1:4" x14ac:dyDescent="0.2">
      <c r="A870" s="514">
        <v>43584</v>
      </c>
      <c r="B870" s="491">
        <v>274494</v>
      </c>
      <c r="C870" s="514"/>
      <c r="D870" s="491"/>
    </row>
    <row r="871" spans="1:4" x14ac:dyDescent="0.2">
      <c r="A871" s="514">
        <v>43585</v>
      </c>
      <c r="B871" s="491">
        <v>268536.75</v>
      </c>
      <c r="C871" s="514"/>
      <c r="D871" s="491"/>
    </row>
    <row r="872" spans="1:4" x14ac:dyDescent="0.2">
      <c r="A872" s="514">
        <v>43586</v>
      </c>
      <c r="B872" s="491">
        <v>249086.1</v>
      </c>
      <c r="C872" s="514"/>
      <c r="D872" s="491"/>
    </row>
    <row r="873" spans="1:4" x14ac:dyDescent="0.2">
      <c r="A873" s="514">
        <v>43587</v>
      </c>
      <c r="B873" s="491">
        <v>253347.36</v>
      </c>
      <c r="C873" s="514"/>
      <c r="D873" s="491"/>
    </row>
    <row r="874" spans="1:4" x14ac:dyDescent="0.2">
      <c r="A874" s="514">
        <v>43588</v>
      </c>
      <c r="B874" s="491">
        <v>253347</v>
      </c>
      <c r="C874" s="514"/>
      <c r="D874" s="491"/>
    </row>
    <row r="875" spans="1:4" x14ac:dyDescent="0.2">
      <c r="A875" s="514">
        <v>43591</v>
      </c>
      <c r="B875" s="491">
        <v>253347</v>
      </c>
      <c r="C875" s="514"/>
      <c r="D875" s="491"/>
    </row>
    <row r="876" spans="1:4" x14ac:dyDescent="0.2">
      <c r="A876" s="514">
        <v>43592</v>
      </c>
      <c r="B876" s="491">
        <v>253347</v>
      </c>
      <c r="C876" s="514"/>
      <c r="D876" s="491"/>
    </row>
    <row r="877" spans="1:4" x14ac:dyDescent="0.2">
      <c r="A877" s="514">
        <v>43593</v>
      </c>
      <c r="B877" s="491">
        <v>253347</v>
      </c>
      <c r="C877" s="514"/>
      <c r="D877" s="491"/>
    </row>
    <row r="878" spans="1:4" x14ac:dyDescent="0.2">
      <c r="A878" s="514">
        <v>43594</v>
      </c>
      <c r="B878" s="491">
        <v>256363.47</v>
      </c>
      <c r="C878" s="514"/>
      <c r="D878" s="491"/>
    </row>
    <row r="879" spans="1:4" x14ac:dyDescent="0.2">
      <c r="A879" s="514">
        <v>43595</v>
      </c>
      <c r="B879" s="491">
        <v>256363</v>
      </c>
      <c r="C879" s="514"/>
      <c r="D879" s="491"/>
    </row>
    <row r="880" spans="1:4" x14ac:dyDescent="0.2">
      <c r="A880" s="514">
        <v>43598</v>
      </c>
      <c r="B880" s="491">
        <v>256363</v>
      </c>
      <c r="C880" s="514"/>
      <c r="D880" s="491"/>
    </row>
    <row r="881" spans="1:4" x14ac:dyDescent="0.2">
      <c r="A881" s="514">
        <v>43599</v>
      </c>
      <c r="B881" s="491">
        <v>220671.47</v>
      </c>
      <c r="C881" s="514"/>
      <c r="D881" s="491"/>
    </row>
    <row r="882" spans="1:4" x14ac:dyDescent="0.2">
      <c r="A882" s="514">
        <v>43600</v>
      </c>
      <c r="B882" s="491">
        <v>248680.89</v>
      </c>
      <c r="C882" s="514"/>
      <c r="D882" s="491"/>
    </row>
    <row r="883" spans="1:4" x14ac:dyDescent="0.2">
      <c r="A883" s="514">
        <v>43601</v>
      </c>
      <c r="B883" s="491">
        <v>254567.98</v>
      </c>
      <c r="C883" s="514"/>
      <c r="D883" s="491"/>
    </row>
    <row r="884" spans="1:4" x14ac:dyDescent="0.2">
      <c r="A884" s="514">
        <v>43602</v>
      </c>
      <c r="B884" s="491">
        <v>310563.12</v>
      </c>
      <c r="C884" s="514"/>
      <c r="D884" s="491"/>
    </row>
    <row r="885" spans="1:4" x14ac:dyDescent="0.2">
      <c r="A885" s="514">
        <v>43605</v>
      </c>
      <c r="B885" s="491">
        <v>310000.12</v>
      </c>
      <c r="C885" s="514"/>
      <c r="D885" s="491"/>
    </row>
    <row r="886" spans="1:4" x14ac:dyDescent="0.2">
      <c r="A886" s="514">
        <v>43606</v>
      </c>
      <c r="B886" s="491">
        <v>310000.12</v>
      </c>
      <c r="C886" s="514"/>
      <c r="D886" s="491"/>
    </row>
    <row r="887" spans="1:4" x14ac:dyDescent="0.2">
      <c r="A887" s="514">
        <v>43607</v>
      </c>
      <c r="B887" s="491">
        <v>310000.12</v>
      </c>
      <c r="C887" s="514"/>
      <c r="D887" s="491"/>
    </row>
    <row r="888" spans="1:4" x14ac:dyDescent="0.2">
      <c r="A888" s="514">
        <v>43608</v>
      </c>
      <c r="B888" s="491">
        <v>300109.28999999998</v>
      </c>
      <c r="C888" s="514"/>
      <c r="D888" s="491"/>
    </row>
    <row r="889" spans="1:4" x14ac:dyDescent="0.2">
      <c r="A889" s="514">
        <v>43609</v>
      </c>
      <c r="B889" s="491">
        <v>297396.90999999997</v>
      </c>
      <c r="C889" s="514"/>
      <c r="D889" s="491"/>
    </row>
    <row r="890" spans="1:4" x14ac:dyDescent="0.2">
      <c r="A890" s="514">
        <v>43612</v>
      </c>
      <c r="B890" s="491">
        <v>297397</v>
      </c>
      <c r="C890" s="514"/>
      <c r="D890" s="491"/>
    </row>
    <row r="891" spans="1:4" x14ac:dyDescent="0.2">
      <c r="A891" s="514">
        <v>43613</v>
      </c>
      <c r="B891" s="491">
        <v>309520.18</v>
      </c>
      <c r="C891" s="514"/>
      <c r="D891" s="491"/>
    </row>
    <row r="892" spans="1:4" x14ac:dyDescent="0.2">
      <c r="A892" s="514">
        <v>43614</v>
      </c>
      <c r="B892" s="491">
        <v>309520</v>
      </c>
      <c r="C892" s="514"/>
      <c r="D892" s="491"/>
    </row>
    <row r="893" spans="1:4" x14ac:dyDescent="0.2">
      <c r="A893" s="514">
        <v>43615</v>
      </c>
      <c r="B893" s="491">
        <v>306153.90000000002</v>
      </c>
      <c r="C893" s="514"/>
      <c r="D893" s="491"/>
    </row>
    <row r="894" spans="1:4" x14ac:dyDescent="0.2">
      <c r="A894" s="514">
        <v>43616</v>
      </c>
      <c r="B894" s="491">
        <v>307621.78000000003</v>
      </c>
      <c r="C894" s="514"/>
      <c r="D894" s="491"/>
    </row>
    <row r="895" spans="1:4" x14ac:dyDescent="0.2">
      <c r="A895" s="514">
        <v>43619</v>
      </c>
      <c r="B895" s="491">
        <v>307288.12</v>
      </c>
      <c r="C895" s="514"/>
      <c r="D895" s="491"/>
    </row>
    <row r="896" spans="1:4" x14ac:dyDescent="0.2">
      <c r="A896" s="514">
        <v>43620</v>
      </c>
      <c r="B896" s="491">
        <v>307288</v>
      </c>
      <c r="C896" s="514"/>
      <c r="D896" s="491"/>
    </row>
    <row r="897" spans="1:4" x14ac:dyDescent="0.2">
      <c r="A897" s="514">
        <v>43621</v>
      </c>
      <c r="B897" s="491">
        <v>307288</v>
      </c>
      <c r="C897" s="514"/>
      <c r="D897" s="491"/>
    </row>
    <row r="898" spans="1:4" x14ac:dyDescent="0.2">
      <c r="A898" s="514">
        <v>43622</v>
      </c>
      <c r="B898" s="491">
        <v>296580.19</v>
      </c>
      <c r="C898" s="514"/>
      <c r="D898" s="491"/>
    </row>
    <row r="899" spans="1:4" x14ac:dyDescent="0.2">
      <c r="A899" s="514">
        <v>43623</v>
      </c>
      <c r="B899" s="491">
        <v>295981.95</v>
      </c>
      <c r="C899" s="514"/>
      <c r="D899" s="491"/>
    </row>
    <row r="900" spans="1:4" x14ac:dyDescent="0.2">
      <c r="A900" s="514">
        <v>43626</v>
      </c>
      <c r="B900" s="491">
        <v>260513.06</v>
      </c>
      <c r="C900" s="514"/>
      <c r="D900" s="491"/>
    </row>
    <row r="901" spans="1:4" x14ac:dyDescent="0.2">
      <c r="A901" s="514">
        <v>43627</v>
      </c>
      <c r="B901" s="491">
        <v>260513</v>
      </c>
      <c r="C901" s="514"/>
      <c r="D901" s="491"/>
    </row>
    <row r="902" spans="1:4" x14ac:dyDescent="0.2">
      <c r="A902" s="514">
        <v>43628</v>
      </c>
      <c r="B902" s="491">
        <v>260513</v>
      </c>
      <c r="C902" s="514"/>
      <c r="D902" s="491"/>
    </row>
    <row r="903" spans="1:4" x14ac:dyDescent="0.2">
      <c r="A903" s="514">
        <v>43629</v>
      </c>
      <c r="B903" s="491">
        <v>255966.98</v>
      </c>
      <c r="C903" s="514"/>
      <c r="D903" s="491"/>
    </row>
    <row r="904" spans="1:4" x14ac:dyDescent="0.2">
      <c r="A904" s="514">
        <v>43630</v>
      </c>
      <c r="B904" s="491">
        <v>257507.94</v>
      </c>
      <c r="C904" s="514"/>
      <c r="D904" s="491"/>
    </row>
    <row r="905" spans="1:4" x14ac:dyDescent="0.2">
      <c r="A905" s="514">
        <v>43633</v>
      </c>
      <c r="B905" s="491">
        <v>257508</v>
      </c>
      <c r="C905" s="514"/>
      <c r="D905" s="491"/>
    </row>
    <row r="906" spans="1:4" x14ac:dyDescent="0.2">
      <c r="A906" s="514">
        <v>43634</v>
      </c>
      <c r="B906" s="491">
        <v>257508</v>
      </c>
      <c r="C906" s="514"/>
      <c r="D906" s="491"/>
    </row>
    <row r="907" spans="1:4" x14ac:dyDescent="0.2">
      <c r="A907" s="514">
        <v>43635</v>
      </c>
      <c r="B907" s="491">
        <v>257508</v>
      </c>
      <c r="C907" s="514"/>
      <c r="D907" s="491"/>
    </row>
    <row r="908" spans="1:4" x14ac:dyDescent="0.2">
      <c r="A908" s="514">
        <v>43636</v>
      </c>
      <c r="B908" s="491">
        <v>245601.94</v>
      </c>
      <c r="C908" s="514"/>
      <c r="D908" s="491"/>
    </row>
    <row r="909" spans="1:4" x14ac:dyDescent="0.2">
      <c r="A909" s="514">
        <v>43637</v>
      </c>
      <c r="B909" s="491">
        <v>245768.94</v>
      </c>
      <c r="C909" s="514"/>
      <c r="D909" s="491"/>
    </row>
    <row r="910" spans="1:4" x14ac:dyDescent="0.2">
      <c r="A910" s="514">
        <v>43640</v>
      </c>
      <c r="B910" s="491">
        <v>245769</v>
      </c>
      <c r="C910" s="514"/>
      <c r="D910" s="491"/>
    </row>
    <row r="911" spans="1:4" x14ac:dyDescent="0.2">
      <c r="A911" s="514">
        <v>43641</v>
      </c>
      <c r="B911" s="491">
        <v>209143.06</v>
      </c>
      <c r="C911" s="514"/>
      <c r="D911" s="491"/>
    </row>
    <row r="912" spans="1:4" x14ac:dyDescent="0.2">
      <c r="A912" s="514">
        <v>43642</v>
      </c>
      <c r="B912" s="491">
        <v>216087.16</v>
      </c>
      <c r="C912" s="514"/>
      <c r="D912" s="491"/>
    </row>
    <row r="913" spans="1:4" x14ac:dyDescent="0.2">
      <c r="A913" s="514">
        <v>43643</v>
      </c>
      <c r="B913" s="491">
        <v>218399.34</v>
      </c>
      <c r="C913" s="514"/>
      <c r="D913" s="491"/>
    </row>
    <row r="914" spans="1:4" x14ac:dyDescent="0.2">
      <c r="A914" s="514">
        <v>43644</v>
      </c>
      <c r="B914" s="491">
        <v>246675.15</v>
      </c>
      <c r="C914" s="514"/>
      <c r="D914" s="491"/>
    </row>
    <row r="915" spans="1:4" x14ac:dyDescent="0.2">
      <c r="A915" s="514">
        <v>43647</v>
      </c>
      <c r="B915" s="491">
        <v>246675</v>
      </c>
      <c r="C915" s="514"/>
      <c r="D915" s="491"/>
    </row>
    <row r="916" spans="1:4" x14ac:dyDescent="0.2">
      <c r="A916" s="514">
        <v>43648</v>
      </c>
      <c r="B916" s="491">
        <v>248377.32</v>
      </c>
      <c r="C916" s="514"/>
      <c r="D916" s="491"/>
    </row>
    <row r="917" spans="1:4" x14ac:dyDescent="0.2">
      <c r="A917" s="514">
        <v>43649</v>
      </c>
      <c r="B917" s="491">
        <v>277944.71000000002</v>
      </c>
      <c r="C917" s="514"/>
      <c r="D917" s="491"/>
    </row>
    <row r="918" spans="1:4" x14ac:dyDescent="0.2">
      <c r="A918" s="514">
        <v>43650</v>
      </c>
      <c r="B918" s="491">
        <v>277945</v>
      </c>
      <c r="C918" s="514"/>
      <c r="D918" s="491"/>
    </row>
    <row r="919" spans="1:4" x14ac:dyDescent="0.2">
      <c r="A919" s="514">
        <v>43651</v>
      </c>
      <c r="B919" s="491">
        <v>278046.71000000002</v>
      </c>
      <c r="C919" s="514"/>
      <c r="D919" s="491"/>
    </row>
    <row r="920" spans="1:4" x14ac:dyDescent="0.2">
      <c r="A920" s="514">
        <v>43654</v>
      </c>
      <c r="B920" s="491">
        <v>282590.19</v>
      </c>
      <c r="C920" s="514"/>
      <c r="D920" s="491"/>
    </row>
    <row r="921" spans="1:4" x14ac:dyDescent="0.2">
      <c r="A921" s="514">
        <v>43655</v>
      </c>
      <c r="B921" s="491">
        <v>247195.73</v>
      </c>
      <c r="C921" s="514"/>
      <c r="D921" s="491"/>
    </row>
    <row r="922" spans="1:4" x14ac:dyDescent="0.2">
      <c r="A922" s="514">
        <v>43656</v>
      </c>
      <c r="B922" s="491">
        <v>247195.73</v>
      </c>
      <c r="C922" s="514"/>
      <c r="D922" s="491"/>
    </row>
    <row r="923" spans="1:4" x14ac:dyDescent="0.2">
      <c r="A923" s="514">
        <v>43657</v>
      </c>
      <c r="B923" s="491">
        <v>235813.1</v>
      </c>
      <c r="C923" s="514"/>
      <c r="D923" s="491"/>
    </row>
    <row r="924" spans="1:4" x14ac:dyDescent="0.2">
      <c r="A924" s="514">
        <v>43658</v>
      </c>
      <c r="B924" s="491">
        <v>237210.07</v>
      </c>
      <c r="C924" s="514"/>
      <c r="D924" s="491"/>
    </row>
    <row r="925" spans="1:4" x14ac:dyDescent="0.2">
      <c r="A925" s="514">
        <v>43661</v>
      </c>
      <c r="B925" s="491">
        <v>237490.39</v>
      </c>
      <c r="C925" s="514"/>
      <c r="D925" s="491"/>
    </row>
    <row r="926" spans="1:4" x14ac:dyDescent="0.2">
      <c r="A926" s="514">
        <v>43662</v>
      </c>
      <c r="B926" s="491">
        <v>237490</v>
      </c>
      <c r="C926" s="514"/>
      <c r="D926" s="491"/>
    </row>
    <row r="927" spans="1:4" x14ac:dyDescent="0.2">
      <c r="A927" s="514">
        <v>43663</v>
      </c>
      <c r="B927" s="491">
        <v>237490.39</v>
      </c>
      <c r="C927" s="514"/>
      <c r="D927" s="491"/>
    </row>
    <row r="928" spans="1:4" x14ac:dyDescent="0.2">
      <c r="A928" s="514">
        <v>43664</v>
      </c>
      <c r="B928" s="491">
        <v>232593.57</v>
      </c>
      <c r="C928" s="514"/>
      <c r="D928" s="491"/>
    </row>
    <row r="929" spans="1:4" x14ac:dyDescent="0.2">
      <c r="A929" s="514">
        <v>43665</v>
      </c>
      <c r="B929" s="491">
        <v>232923.06</v>
      </c>
      <c r="C929" s="514"/>
      <c r="D929" s="491"/>
    </row>
    <row r="930" spans="1:4" x14ac:dyDescent="0.2">
      <c r="A930" s="514">
        <v>43668</v>
      </c>
      <c r="B930" s="491">
        <v>196798.51</v>
      </c>
      <c r="C930" s="514"/>
      <c r="D930" s="491"/>
    </row>
    <row r="931" spans="1:4" x14ac:dyDescent="0.2">
      <c r="A931" s="514">
        <v>43669</v>
      </c>
      <c r="B931" s="491">
        <v>199629.38</v>
      </c>
      <c r="C931" s="514"/>
      <c r="D931" s="491"/>
    </row>
    <row r="932" spans="1:4" x14ac:dyDescent="0.2">
      <c r="A932" s="514">
        <v>43670</v>
      </c>
      <c r="B932" s="491">
        <v>199629</v>
      </c>
      <c r="C932" s="514"/>
      <c r="D932" s="491"/>
    </row>
    <row r="933" spans="1:4" x14ac:dyDescent="0.2">
      <c r="A933" s="514">
        <v>43671</v>
      </c>
      <c r="B933" s="491">
        <v>195151.45</v>
      </c>
      <c r="C933" s="514"/>
      <c r="D933" s="491"/>
    </row>
    <row r="934" spans="1:4" x14ac:dyDescent="0.2">
      <c r="A934" s="514">
        <v>43672</v>
      </c>
      <c r="B934" s="491">
        <v>228843.78</v>
      </c>
      <c r="C934" s="514"/>
      <c r="D934" s="491"/>
    </row>
    <row r="935" spans="1:4" x14ac:dyDescent="0.2">
      <c r="A935" s="514">
        <v>43675</v>
      </c>
      <c r="B935" s="491">
        <v>228844</v>
      </c>
      <c r="C935" s="514"/>
      <c r="D935" s="491"/>
    </row>
    <row r="936" spans="1:4" x14ac:dyDescent="0.2">
      <c r="A936" s="514">
        <v>43676</v>
      </c>
      <c r="B936" s="491">
        <v>228844</v>
      </c>
      <c r="C936" s="514"/>
      <c r="D936" s="491"/>
    </row>
    <row r="937" spans="1:4" x14ac:dyDescent="0.2">
      <c r="A937" s="514">
        <v>43677</v>
      </c>
      <c r="B937" s="491">
        <v>229051.78</v>
      </c>
      <c r="C937" s="514"/>
      <c r="D937" s="491"/>
    </row>
    <row r="938" spans="1:4" x14ac:dyDescent="0.2">
      <c r="A938" s="514">
        <v>43678</v>
      </c>
      <c r="B938" s="491">
        <v>234767.17</v>
      </c>
      <c r="C938" s="514"/>
      <c r="D938" s="491"/>
    </row>
    <row r="939" spans="1:4" x14ac:dyDescent="0.2">
      <c r="A939" s="514">
        <v>43679</v>
      </c>
      <c r="B939" s="491">
        <v>236117.76000000001</v>
      </c>
      <c r="C939" s="514"/>
      <c r="D939" s="491"/>
    </row>
    <row r="940" spans="1:4" x14ac:dyDescent="0.2">
      <c r="A940" s="514">
        <v>43682</v>
      </c>
      <c r="B940" s="491">
        <v>236118</v>
      </c>
      <c r="C940" s="514"/>
      <c r="D940" s="491"/>
    </row>
    <row r="941" spans="1:4" x14ac:dyDescent="0.2">
      <c r="A941" s="514">
        <v>43683</v>
      </c>
      <c r="B941" s="491">
        <v>208888.5</v>
      </c>
      <c r="C941" s="514"/>
      <c r="D941" s="491"/>
    </row>
    <row r="942" spans="1:4" x14ac:dyDescent="0.2">
      <c r="A942" s="514">
        <v>43684</v>
      </c>
      <c r="B942" s="491">
        <v>208792.5</v>
      </c>
      <c r="C942" s="514"/>
      <c r="D942" s="491"/>
    </row>
    <row r="943" spans="1:4" x14ac:dyDescent="0.2">
      <c r="A943" s="514">
        <v>43685</v>
      </c>
      <c r="B943" s="491">
        <v>203219.37</v>
      </c>
      <c r="C943" s="514"/>
      <c r="D943" s="491"/>
    </row>
    <row r="944" spans="1:4" x14ac:dyDescent="0.2">
      <c r="A944" s="514">
        <v>43686</v>
      </c>
      <c r="B944" s="491">
        <v>205639.37</v>
      </c>
      <c r="C944" s="514"/>
      <c r="D944" s="491"/>
    </row>
    <row r="945" spans="1:4" x14ac:dyDescent="0.2">
      <c r="A945" s="514">
        <v>43689</v>
      </c>
      <c r="B945" s="491">
        <v>205639.37</v>
      </c>
      <c r="C945" s="514"/>
      <c r="D945" s="491"/>
    </row>
    <row r="946" spans="1:4" x14ac:dyDescent="0.2">
      <c r="A946" s="514">
        <v>43690</v>
      </c>
      <c r="B946" s="491">
        <v>232145.73</v>
      </c>
      <c r="C946" s="514"/>
      <c r="D946" s="491"/>
    </row>
    <row r="947" spans="1:4" x14ac:dyDescent="0.2">
      <c r="A947" s="514">
        <v>43691</v>
      </c>
      <c r="B947" s="491">
        <v>233325.32</v>
      </c>
      <c r="C947" s="514"/>
      <c r="D947" s="491"/>
    </row>
    <row r="948" spans="1:4" x14ac:dyDescent="0.2">
      <c r="A948" s="514">
        <v>43692</v>
      </c>
      <c r="B948" s="491">
        <v>225375.98</v>
      </c>
      <c r="C948" s="514"/>
      <c r="D948" s="491"/>
    </row>
    <row r="949" spans="1:4" x14ac:dyDescent="0.2">
      <c r="A949" s="514">
        <v>43693</v>
      </c>
      <c r="B949" s="491">
        <v>225424.1</v>
      </c>
      <c r="C949" s="514"/>
      <c r="D949" s="491"/>
    </row>
    <row r="950" spans="1:4" x14ac:dyDescent="0.2">
      <c r="A950" s="514">
        <v>43696</v>
      </c>
      <c r="B950" s="491">
        <v>187365.06</v>
      </c>
      <c r="C950" s="514"/>
      <c r="D950" s="491"/>
    </row>
    <row r="951" spans="1:4" x14ac:dyDescent="0.2">
      <c r="A951" s="514">
        <v>43697</v>
      </c>
      <c r="B951" s="491">
        <v>187365</v>
      </c>
      <c r="C951" s="514"/>
      <c r="D951" s="491"/>
    </row>
    <row r="952" spans="1:4" x14ac:dyDescent="0.2">
      <c r="A952" s="514">
        <v>43698</v>
      </c>
      <c r="B952" s="491">
        <v>187365</v>
      </c>
      <c r="C952" s="514"/>
      <c r="D952" s="491"/>
    </row>
    <row r="953" spans="1:4" x14ac:dyDescent="0.2">
      <c r="A953" s="514">
        <v>43699</v>
      </c>
      <c r="B953" s="549">
        <v>172667.6</v>
      </c>
      <c r="C953" s="514"/>
      <c r="D953" s="491"/>
    </row>
    <row r="954" spans="1:4" x14ac:dyDescent="0.2">
      <c r="A954" s="514">
        <v>43700</v>
      </c>
      <c r="B954" s="491">
        <v>172668</v>
      </c>
      <c r="C954" s="514"/>
      <c r="D954" s="491"/>
    </row>
    <row r="955" spans="1:4" x14ac:dyDescent="0.2">
      <c r="A955" s="514">
        <v>43703</v>
      </c>
      <c r="B955" s="491">
        <v>236616.35</v>
      </c>
      <c r="C955" s="514"/>
      <c r="D955" s="491"/>
    </row>
    <row r="956" spans="1:4" x14ac:dyDescent="0.2">
      <c r="A956" s="514">
        <v>43704</v>
      </c>
      <c r="B956" s="491">
        <v>237913.62</v>
      </c>
      <c r="C956" s="514"/>
      <c r="D956" s="491"/>
    </row>
    <row r="957" spans="1:4" x14ac:dyDescent="0.2">
      <c r="A957" s="514">
        <v>43705</v>
      </c>
      <c r="B957" s="491">
        <v>237914</v>
      </c>
      <c r="C957" s="514"/>
      <c r="D957" s="491"/>
    </row>
    <row r="958" spans="1:4" x14ac:dyDescent="0.2">
      <c r="A958" s="514">
        <v>43706</v>
      </c>
      <c r="B958" s="491">
        <v>244708.19</v>
      </c>
      <c r="C958" s="514"/>
      <c r="D958" s="491"/>
    </row>
    <row r="959" spans="1:4" x14ac:dyDescent="0.2">
      <c r="A959" s="514">
        <v>43707</v>
      </c>
      <c r="B959" s="491">
        <v>249899.19</v>
      </c>
      <c r="C959" s="514"/>
      <c r="D959" s="491"/>
    </row>
    <row r="960" spans="1:4" x14ac:dyDescent="0.2">
      <c r="A960" s="514">
        <v>43710</v>
      </c>
      <c r="B960" s="491">
        <v>249899</v>
      </c>
      <c r="C960" s="514"/>
      <c r="D960" s="491"/>
    </row>
    <row r="961" spans="1:4" x14ac:dyDescent="0.2">
      <c r="A961" s="514">
        <v>43711</v>
      </c>
      <c r="B961" s="491">
        <v>215930.73</v>
      </c>
      <c r="C961" s="514"/>
      <c r="D961" s="491"/>
    </row>
    <row r="962" spans="1:4" x14ac:dyDescent="0.2">
      <c r="A962" s="514">
        <v>43712</v>
      </c>
      <c r="B962" s="491">
        <v>215931</v>
      </c>
      <c r="C962" s="514"/>
      <c r="D962" s="491"/>
    </row>
    <row r="963" spans="1:4" x14ac:dyDescent="0.2">
      <c r="A963" s="514">
        <v>43713</v>
      </c>
      <c r="B963" s="491">
        <v>205664.34</v>
      </c>
      <c r="C963" s="514"/>
      <c r="D963" s="491"/>
    </row>
    <row r="964" spans="1:4" x14ac:dyDescent="0.2">
      <c r="A964" s="514">
        <v>43714</v>
      </c>
      <c r="B964" s="491">
        <v>205830.34</v>
      </c>
      <c r="C964" s="514"/>
      <c r="D964" s="491"/>
    </row>
    <row r="965" spans="1:4" x14ac:dyDescent="0.2">
      <c r="A965" s="514">
        <v>43717</v>
      </c>
      <c r="B965" s="491">
        <v>205830</v>
      </c>
      <c r="C965" s="514"/>
      <c r="D965" s="491"/>
    </row>
    <row r="966" spans="1:4" x14ac:dyDescent="0.2">
      <c r="A966" s="514">
        <v>43718</v>
      </c>
      <c r="B966" s="491">
        <v>205830</v>
      </c>
      <c r="C966" s="514"/>
      <c r="D966" s="491"/>
    </row>
    <row r="967" spans="1:4" x14ac:dyDescent="0.2">
      <c r="A967" s="514">
        <v>43719</v>
      </c>
      <c r="B967" s="491">
        <v>205830</v>
      </c>
      <c r="C967" s="514"/>
      <c r="D967" s="491"/>
    </row>
    <row r="968" spans="1:4" x14ac:dyDescent="0.2">
      <c r="A968" s="514">
        <v>43720</v>
      </c>
      <c r="B968" s="491">
        <v>207654.61</v>
      </c>
      <c r="C968" s="514"/>
      <c r="D968" s="491"/>
    </row>
    <row r="969" spans="1:4" x14ac:dyDescent="0.2">
      <c r="A969" s="514">
        <v>43721</v>
      </c>
      <c r="B969" s="491">
        <v>207743.24</v>
      </c>
      <c r="C969" s="514"/>
      <c r="D969" s="491"/>
    </row>
    <row r="970" spans="1:4" x14ac:dyDescent="0.2">
      <c r="A970" s="514">
        <v>43724</v>
      </c>
      <c r="B970" s="491">
        <v>207845.42</v>
      </c>
      <c r="C970" s="514"/>
      <c r="D970" s="491"/>
    </row>
    <row r="971" spans="1:4" x14ac:dyDescent="0.2">
      <c r="A971" s="514">
        <v>43725</v>
      </c>
      <c r="B971" s="491">
        <v>173840.8</v>
      </c>
      <c r="C971" s="514"/>
      <c r="D971" s="491"/>
    </row>
    <row r="972" spans="1:4" x14ac:dyDescent="0.2">
      <c r="A972" s="514">
        <v>43726</v>
      </c>
      <c r="B972" s="491">
        <v>212383.95</v>
      </c>
      <c r="C972" s="514"/>
      <c r="D972" s="491"/>
    </row>
    <row r="973" spans="1:4" x14ac:dyDescent="0.2">
      <c r="A973" s="514">
        <v>43727</v>
      </c>
      <c r="B973" s="491">
        <v>205191.98</v>
      </c>
      <c r="C973" s="514"/>
      <c r="D973" s="491"/>
    </row>
    <row r="974" spans="1:4" x14ac:dyDescent="0.2">
      <c r="A974" s="514">
        <v>43728</v>
      </c>
      <c r="B974" s="491">
        <v>205884.98</v>
      </c>
      <c r="C974" s="514"/>
      <c r="D974" s="491"/>
    </row>
    <row r="975" spans="1:4" x14ac:dyDescent="0.2">
      <c r="A975" s="514">
        <v>43731</v>
      </c>
      <c r="B975" s="491">
        <v>205884.98</v>
      </c>
      <c r="C975" s="514"/>
      <c r="D975" s="491"/>
    </row>
    <row r="976" spans="1:4" x14ac:dyDescent="0.2">
      <c r="A976" s="514">
        <v>43732</v>
      </c>
      <c r="B976" s="491">
        <v>205884.98</v>
      </c>
      <c r="C976" s="514"/>
      <c r="D976" s="491"/>
    </row>
    <row r="977" spans="1:4" x14ac:dyDescent="0.2">
      <c r="A977" s="514">
        <v>43733</v>
      </c>
      <c r="B977" s="491">
        <v>231641.34</v>
      </c>
      <c r="C977" s="514"/>
      <c r="D977" s="491"/>
    </row>
    <row r="978" spans="1:4" x14ac:dyDescent="0.2">
      <c r="A978" s="514">
        <v>43734</v>
      </c>
      <c r="B978" s="491">
        <v>236338.62</v>
      </c>
      <c r="C978" s="514"/>
      <c r="D978" s="491"/>
    </row>
    <row r="979" spans="1:4" x14ac:dyDescent="0.2">
      <c r="A979" s="514">
        <v>43735</v>
      </c>
      <c r="B979" s="491">
        <v>269514.5</v>
      </c>
      <c r="C979" s="514"/>
      <c r="D979" s="491"/>
    </row>
    <row r="980" spans="1:4" x14ac:dyDescent="0.2">
      <c r="A980" s="514">
        <v>43738</v>
      </c>
      <c r="B980" s="491">
        <v>287654.26</v>
      </c>
      <c r="C980" s="514"/>
      <c r="D980" s="491"/>
    </row>
    <row r="981" spans="1:4" x14ac:dyDescent="0.2">
      <c r="A981" s="514">
        <v>43739</v>
      </c>
      <c r="B981" s="491">
        <v>254047.41</v>
      </c>
      <c r="C981" s="514"/>
      <c r="D981" s="491"/>
    </row>
    <row r="982" spans="1:4" x14ac:dyDescent="0.2">
      <c r="A982" s="514">
        <v>43740</v>
      </c>
      <c r="B982" s="491">
        <v>254047</v>
      </c>
      <c r="C982" s="514"/>
      <c r="D982" s="491"/>
    </row>
    <row r="983" spans="1:4" x14ac:dyDescent="0.2">
      <c r="A983" s="514">
        <v>43741</v>
      </c>
      <c r="B983" s="491">
        <v>244596.04</v>
      </c>
      <c r="C983" s="514"/>
      <c r="D983" s="491"/>
    </row>
    <row r="984" spans="1:4" x14ac:dyDescent="0.2">
      <c r="A984" s="514">
        <v>43742</v>
      </c>
      <c r="B984" s="491">
        <v>244881.04</v>
      </c>
      <c r="C984" s="514"/>
      <c r="D984" s="491"/>
    </row>
    <row r="985" spans="1:4" x14ac:dyDescent="0.2">
      <c r="A985" s="514">
        <v>43745</v>
      </c>
      <c r="B985" s="491">
        <v>244881</v>
      </c>
      <c r="C985" s="514"/>
      <c r="D985" s="491"/>
    </row>
    <row r="986" spans="1:4" x14ac:dyDescent="0.2">
      <c r="A986" s="514">
        <v>43746</v>
      </c>
      <c r="B986" s="491">
        <v>244881</v>
      </c>
      <c r="C986" s="514"/>
      <c r="D986" s="491"/>
    </row>
    <row r="987" spans="1:4" x14ac:dyDescent="0.2">
      <c r="A987" s="514">
        <v>43747</v>
      </c>
      <c r="B987" s="491">
        <v>244881</v>
      </c>
      <c r="C987" s="514"/>
      <c r="D987" s="491"/>
    </row>
    <row r="988" spans="1:4" x14ac:dyDescent="0.2">
      <c r="A988" s="514">
        <v>43748</v>
      </c>
      <c r="B988" s="491">
        <v>247845.59</v>
      </c>
      <c r="C988" s="514"/>
      <c r="D988" s="491"/>
    </row>
    <row r="989" spans="1:4" x14ac:dyDescent="0.2">
      <c r="A989" s="514">
        <v>43749</v>
      </c>
      <c r="B989" s="491">
        <v>247846</v>
      </c>
      <c r="C989" s="514"/>
      <c r="D989" s="491"/>
    </row>
    <row r="990" spans="1:4" x14ac:dyDescent="0.2">
      <c r="A990" s="514">
        <v>43752</v>
      </c>
      <c r="B990" s="491">
        <v>247846</v>
      </c>
      <c r="C990" s="514"/>
      <c r="D990" s="491"/>
    </row>
    <row r="991" spans="1:4" x14ac:dyDescent="0.2">
      <c r="A991" s="514">
        <v>43753</v>
      </c>
      <c r="B991" s="491">
        <v>183161.53</v>
      </c>
      <c r="C991" s="514"/>
      <c r="D991" s="491"/>
    </row>
    <row r="992" spans="1:4" x14ac:dyDescent="0.2">
      <c r="A992" s="514">
        <v>43754</v>
      </c>
      <c r="B992" s="491">
        <v>185786.19</v>
      </c>
      <c r="C992" s="514"/>
      <c r="D992" s="491"/>
    </row>
    <row r="993" spans="1:4" x14ac:dyDescent="0.2">
      <c r="A993" s="514">
        <v>43755</v>
      </c>
      <c r="B993" s="491">
        <v>160581.73000000001</v>
      </c>
      <c r="C993" s="514"/>
      <c r="D993" s="491"/>
    </row>
    <row r="994" spans="1:4" x14ac:dyDescent="0.2">
      <c r="A994" s="514">
        <v>43756</v>
      </c>
      <c r="B994" s="491">
        <v>160581.73000000001</v>
      </c>
      <c r="C994" s="514"/>
      <c r="D994" s="491"/>
    </row>
    <row r="995" spans="1:4" x14ac:dyDescent="0.2">
      <c r="A995" s="514">
        <v>43759</v>
      </c>
      <c r="B995" s="491">
        <v>160581.73000000001</v>
      </c>
      <c r="C995" s="514"/>
      <c r="D995" s="491"/>
    </row>
    <row r="996" spans="1:4" x14ac:dyDescent="0.2">
      <c r="A996" s="514">
        <v>43760</v>
      </c>
      <c r="B996" s="491">
        <v>160581.73000000001</v>
      </c>
      <c r="C996" s="514"/>
      <c r="D996" s="491"/>
    </row>
    <row r="997" spans="1:4" x14ac:dyDescent="0.2">
      <c r="A997" s="514">
        <v>43761</v>
      </c>
      <c r="B997" s="491">
        <v>171996.42</v>
      </c>
      <c r="C997" s="514"/>
      <c r="D997" s="491"/>
    </row>
    <row r="998" spans="1:4" x14ac:dyDescent="0.2">
      <c r="A998" s="514">
        <v>43762</v>
      </c>
      <c r="B998" s="491">
        <v>167352.24</v>
      </c>
      <c r="C998" s="514"/>
      <c r="D998" s="491"/>
    </row>
    <row r="999" spans="1:4" x14ac:dyDescent="0.2">
      <c r="A999" s="514">
        <v>43763</v>
      </c>
      <c r="B999" s="491">
        <v>166766.24</v>
      </c>
      <c r="C999" s="514"/>
      <c r="D999" s="491"/>
    </row>
    <row r="1000" spans="1:4" x14ac:dyDescent="0.2">
      <c r="A1000" s="514">
        <v>43766</v>
      </c>
      <c r="B1000" s="549">
        <v>129051.26</v>
      </c>
      <c r="C1000" s="514"/>
      <c r="D1000" s="491"/>
    </row>
    <row r="1001" spans="1:4" x14ac:dyDescent="0.2">
      <c r="A1001" s="514">
        <v>43767</v>
      </c>
      <c r="B1001" s="491">
        <v>132306.64000000001</v>
      </c>
      <c r="C1001" s="514"/>
      <c r="D1001" s="491"/>
    </row>
    <row r="1002" spans="1:4" x14ac:dyDescent="0.2">
      <c r="A1002" s="514">
        <v>43768</v>
      </c>
      <c r="B1002" s="491">
        <v>181475.08</v>
      </c>
      <c r="C1002" s="514"/>
      <c r="D1002" s="491"/>
    </row>
    <row r="1003" spans="1:4" x14ac:dyDescent="0.2">
      <c r="A1003" s="514">
        <v>43769</v>
      </c>
      <c r="B1003" s="491">
        <v>169335.94</v>
      </c>
      <c r="C1003" s="514"/>
      <c r="D1003" s="491"/>
    </row>
    <row r="1004" spans="1:4" x14ac:dyDescent="0.2">
      <c r="A1004" s="514">
        <v>43770</v>
      </c>
      <c r="B1004" s="491">
        <v>171521.13</v>
      </c>
      <c r="C1004" s="514"/>
      <c r="D1004" s="491"/>
    </row>
    <row r="1005" spans="1:4" x14ac:dyDescent="0.2">
      <c r="A1005" s="514">
        <v>43773</v>
      </c>
      <c r="B1005" s="491">
        <v>171521</v>
      </c>
      <c r="C1005" s="514"/>
      <c r="D1005" s="491"/>
    </row>
    <row r="1006" spans="1:4" x14ac:dyDescent="0.2">
      <c r="A1006" s="514">
        <v>43774</v>
      </c>
      <c r="B1006" s="491">
        <v>171521</v>
      </c>
      <c r="C1006" s="514"/>
      <c r="D1006" s="491"/>
    </row>
    <row r="1007" spans="1:4" x14ac:dyDescent="0.2">
      <c r="A1007" s="514">
        <v>43775</v>
      </c>
      <c r="B1007" s="491">
        <v>201934.13</v>
      </c>
      <c r="C1007" s="514"/>
      <c r="D1007" s="491"/>
    </row>
    <row r="1008" spans="1:4" x14ac:dyDescent="0.2">
      <c r="A1008" s="514">
        <v>43776</v>
      </c>
      <c r="B1008" s="491">
        <v>198457.3</v>
      </c>
      <c r="C1008" s="514"/>
      <c r="D1008" s="491"/>
    </row>
    <row r="1009" spans="1:4" x14ac:dyDescent="0.2">
      <c r="A1009" s="514">
        <v>43777</v>
      </c>
      <c r="B1009" s="491">
        <v>198457</v>
      </c>
      <c r="C1009" s="514"/>
      <c r="D1009" s="491"/>
    </row>
    <row r="1010" spans="1:4" x14ac:dyDescent="0.2">
      <c r="A1010" s="514">
        <v>43780</v>
      </c>
      <c r="B1010" s="491">
        <v>164046.53</v>
      </c>
      <c r="C1010" s="514"/>
      <c r="D1010" s="491"/>
    </row>
    <row r="1011" spans="1:4" x14ac:dyDescent="0.2">
      <c r="A1011" s="514">
        <v>43781</v>
      </c>
      <c r="B1011" s="491">
        <v>164047</v>
      </c>
      <c r="C1011" s="514"/>
      <c r="D1011" s="491"/>
    </row>
    <row r="1012" spans="1:4" x14ac:dyDescent="0.2">
      <c r="A1012" s="514">
        <v>43782</v>
      </c>
      <c r="B1012" s="491">
        <v>198779.19</v>
      </c>
      <c r="C1012" s="514"/>
      <c r="D1012" s="491"/>
    </row>
    <row r="1013" spans="1:4" x14ac:dyDescent="0.2">
      <c r="A1013" s="514">
        <v>43783</v>
      </c>
      <c r="B1013" s="491">
        <v>188221.13</v>
      </c>
      <c r="C1013" s="514"/>
      <c r="D1013" s="491"/>
    </row>
    <row r="1014" spans="1:4" x14ac:dyDescent="0.2">
      <c r="A1014" s="514">
        <v>43784</v>
      </c>
      <c r="B1014" s="491">
        <v>190279.89</v>
      </c>
      <c r="C1014" s="514"/>
      <c r="D1014" s="491"/>
    </row>
    <row r="1015" spans="1:4" x14ac:dyDescent="0.2">
      <c r="A1015" s="514">
        <v>43787</v>
      </c>
      <c r="B1015" s="491">
        <v>190179.89</v>
      </c>
      <c r="C1015" s="514"/>
      <c r="D1015" s="491"/>
    </row>
    <row r="1016" spans="1:4" x14ac:dyDescent="0.2">
      <c r="A1016" s="514">
        <v>43788</v>
      </c>
      <c r="B1016" s="491">
        <v>190180</v>
      </c>
      <c r="C1016" s="514"/>
      <c r="D1016" s="491"/>
    </row>
    <row r="1017" spans="1:4" x14ac:dyDescent="0.2">
      <c r="A1017" s="514">
        <v>43789</v>
      </c>
      <c r="B1017" s="491">
        <v>190180</v>
      </c>
      <c r="C1017" s="514"/>
      <c r="D1017" s="491"/>
    </row>
    <row r="1018" spans="1:4" x14ac:dyDescent="0.2">
      <c r="A1018" s="514">
        <v>43790</v>
      </c>
      <c r="B1018" s="491">
        <v>188919.3</v>
      </c>
      <c r="C1018" s="514"/>
      <c r="D1018" s="491"/>
    </row>
    <row r="1019" spans="1:4" x14ac:dyDescent="0.2">
      <c r="A1019" s="514">
        <v>43791</v>
      </c>
      <c r="B1019" s="491">
        <v>188919</v>
      </c>
      <c r="C1019" s="514"/>
      <c r="D1019" s="491"/>
    </row>
    <row r="1020" spans="1:4" x14ac:dyDescent="0.2">
      <c r="A1020" s="514">
        <v>43794</v>
      </c>
      <c r="B1020" s="491">
        <v>153349.64000000001</v>
      </c>
      <c r="C1020" s="514"/>
      <c r="D1020" s="491"/>
    </row>
    <row r="1021" spans="1:4" x14ac:dyDescent="0.2">
      <c r="A1021" s="514">
        <v>43795</v>
      </c>
      <c r="B1021" s="491">
        <v>153226.64000000001</v>
      </c>
      <c r="C1021" s="514"/>
      <c r="D1021" s="491"/>
    </row>
    <row r="1022" spans="1:4" x14ac:dyDescent="0.2">
      <c r="A1022" s="514">
        <v>43796</v>
      </c>
      <c r="B1022" s="491">
        <v>154369.64000000001</v>
      </c>
      <c r="C1022" s="514"/>
      <c r="D1022" s="491"/>
    </row>
    <row r="1023" spans="1:4" x14ac:dyDescent="0.2">
      <c r="A1023" s="514">
        <v>43797</v>
      </c>
      <c r="B1023" s="491">
        <v>154370</v>
      </c>
      <c r="C1023" s="514"/>
      <c r="D1023" s="491"/>
    </row>
    <row r="1024" spans="1:4" x14ac:dyDescent="0.2">
      <c r="A1024" s="514">
        <v>43798</v>
      </c>
      <c r="B1024" s="491">
        <v>237011.17</v>
      </c>
      <c r="C1024" s="514"/>
      <c r="D1024" s="491"/>
    </row>
    <row r="1025" spans="1:4" x14ac:dyDescent="0.2">
      <c r="A1025" s="514">
        <v>43801</v>
      </c>
      <c r="B1025" s="491">
        <v>237011</v>
      </c>
      <c r="C1025" s="514"/>
      <c r="D1025" s="491"/>
    </row>
    <row r="1026" spans="1:4" x14ac:dyDescent="0.2">
      <c r="A1026" s="514">
        <v>43802</v>
      </c>
      <c r="B1026" s="491">
        <v>237011</v>
      </c>
      <c r="C1026" s="514"/>
      <c r="D1026" s="491"/>
    </row>
    <row r="1027" spans="1:4" x14ac:dyDescent="0.2">
      <c r="A1027" s="514">
        <v>43803</v>
      </c>
      <c r="B1027" s="491">
        <v>237011</v>
      </c>
      <c r="C1027" s="514"/>
      <c r="D1027" s="491"/>
    </row>
    <row r="1028" spans="1:4" x14ac:dyDescent="0.2">
      <c r="A1028" s="514">
        <v>43804</v>
      </c>
      <c r="B1028" s="491">
        <v>229967.75</v>
      </c>
      <c r="C1028" s="514"/>
      <c r="D1028" s="491"/>
    </row>
    <row r="1029" spans="1:4" x14ac:dyDescent="0.2">
      <c r="A1029" s="514">
        <v>43805</v>
      </c>
      <c r="B1029" s="491">
        <v>229968</v>
      </c>
      <c r="C1029" s="514"/>
      <c r="D1029" s="491"/>
    </row>
    <row r="1030" spans="1:4" x14ac:dyDescent="0.2">
      <c r="A1030" s="514">
        <v>43808</v>
      </c>
      <c r="B1030" s="491">
        <v>193352.99</v>
      </c>
      <c r="C1030" s="514"/>
      <c r="D1030" s="491"/>
    </row>
    <row r="1031" spans="1:4" x14ac:dyDescent="0.2">
      <c r="A1031" s="514">
        <v>43809</v>
      </c>
      <c r="B1031" s="491">
        <v>193629.99</v>
      </c>
      <c r="C1031" s="514"/>
      <c r="D1031" s="491"/>
    </row>
    <row r="1032" spans="1:4" x14ac:dyDescent="0.2">
      <c r="A1032" s="514">
        <v>43810</v>
      </c>
      <c r="B1032" s="491">
        <v>193630</v>
      </c>
      <c r="C1032" s="514"/>
      <c r="D1032" s="491"/>
    </row>
    <row r="1033" spans="1:4" x14ac:dyDescent="0.2">
      <c r="A1033" s="514">
        <v>43811</v>
      </c>
      <c r="B1033" s="491">
        <v>193945</v>
      </c>
      <c r="C1033" s="514"/>
      <c r="D1033" s="491"/>
    </row>
    <row r="1034" spans="1:4" x14ac:dyDescent="0.2">
      <c r="A1034" s="514">
        <v>43812</v>
      </c>
      <c r="B1034" s="491">
        <v>196370.92</v>
      </c>
      <c r="C1034" s="514"/>
      <c r="D1034" s="491"/>
    </row>
    <row r="1035" spans="1:4" x14ac:dyDescent="0.2">
      <c r="A1035" s="514">
        <v>43815</v>
      </c>
      <c r="B1035" s="491">
        <v>196370.92</v>
      </c>
      <c r="C1035" s="514"/>
      <c r="D1035" s="491"/>
    </row>
    <row r="1036" spans="1:4" x14ac:dyDescent="0.2">
      <c r="A1036" s="514">
        <v>43816</v>
      </c>
      <c r="B1036" s="491">
        <v>196370.92</v>
      </c>
      <c r="C1036" s="514"/>
      <c r="D1036" s="491"/>
    </row>
    <row r="1037" spans="1:4" x14ac:dyDescent="0.2">
      <c r="A1037" s="514">
        <v>43817</v>
      </c>
      <c r="B1037" s="491">
        <v>196370.92</v>
      </c>
      <c r="C1037" s="514"/>
      <c r="D1037" s="491"/>
    </row>
    <row r="1038" spans="1:4" x14ac:dyDescent="0.2">
      <c r="A1038" s="514">
        <v>43818</v>
      </c>
      <c r="B1038" s="491">
        <v>194997.56</v>
      </c>
      <c r="C1038" s="514"/>
      <c r="D1038" s="491"/>
    </row>
    <row r="1039" spans="1:4" x14ac:dyDescent="0.2">
      <c r="A1039" s="514">
        <v>43819</v>
      </c>
      <c r="B1039" s="491">
        <v>194998</v>
      </c>
      <c r="C1039" s="514"/>
      <c r="D1039" s="491"/>
    </row>
    <row r="1040" spans="1:4" x14ac:dyDescent="0.2">
      <c r="A1040" s="514">
        <v>43822</v>
      </c>
      <c r="B1040" s="491">
        <v>158280.26999999999</v>
      </c>
      <c r="C1040" s="514"/>
      <c r="D1040" s="491"/>
    </row>
    <row r="1041" spans="1:4" x14ac:dyDescent="0.2">
      <c r="A1041" s="514">
        <v>43823</v>
      </c>
      <c r="B1041" s="491">
        <v>163840.26999999999</v>
      </c>
      <c r="C1041" s="514"/>
      <c r="D1041" s="491"/>
    </row>
    <row r="1042" spans="1:4" x14ac:dyDescent="0.2">
      <c r="A1042" s="514">
        <v>43824</v>
      </c>
      <c r="B1042" s="491">
        <v>163840</v>
      </c>
      <c r="C1042" s="514"/>
      <c r="D1042" s="491"/>
    </row>
    <row r="1043" spans="1:4" x14ac:dyDescent="0.2">
      <c r="A1043" s="514">
        <v>43825</v>
      </c>
      <c r="B1043" s="491">
        <v>213174.46</v>
      </c>
      <c r="C1043" s="514"/>
      <c r="D1043" s="491"/>
    </row>
    <row r="1044" spans="1:4" x14ac:dyDescent="0.2">
      <c r="A1044" s="514">
        <v>43826</v>
      </c>
      <c r="B1044" s="491">
        <v>212851.46</v>
      </c>
      <c r="C1044" s="514"/>
      <c r="D1044" s="491"/>
    </row>
    <row r="1045" spans="1:4" x14ac:dyDescent="0.2">
      <c r="A1045" s="514">
        <v>43829</v>
      </c>
      <c r="B1045" s="491">
        <v>212221.74</v>
      </c>
      <c r="C1045" s="514"/>
      <c r="D1045" s="491"/>
    </row>
    <row r="1046" spans="1:4" x14ac:dyDescent="0.2">
      <c r="A1046" s="514">
        <v>43830</v>
      </c>
      <c r="B1046" s="491">
        <v>189055.83</v>
      </c>
      <c r="C1046" s="514"/>
      <c r="D1046" s="491"/>
    </row>
    <row r="1047" spans="1:4" ht="15" x14ac:dyDescent="0.25">
      <c r="A1047" s="743">
        <v>43831</v>
      </c>
      <c r="B1047" s="491">
        <v>189056</v>
      </c>
      <c r="C1047" s="514"/>
      <c r="D1047" s="491"/>
    </row>
    <row r="1048" spans="1:4" ht="15" x14ac:dyDescent="0.25">
      <c r="A1048" s="743">
        <v>43832</v>
      </c>
      <c r="B1048" s="491">
        <v>206403.28</v>
      </c>
      <c r="C1048" s="514"/>
      <c r="D1048" s="491"/>
    </row>
    <row r="1049" spans="1:4" ht="15" x14ac:dyDescent="0.25">
      <c r="A1049" s="743">
        <v>43833</v>
      </c>
      <c r="B1049" s="491">
        <v>206217.28</v>
      </c>
      <c r="C1049" s="514"/>
      <c r="D1049" s="491"/>
    </row>
    <row r="1050" spans="1:4" ht="15" x14ac:dyDescent="0.25">
      <c r="A1050" s="743">
        <v>43836</v>
      </c>
      <c r="B1050" s="491">
        <v>206129.28</v>
      </c>
      <c r="C1050" s="514"/>
      <c r="D1050" s="491"/>
    </row>
    <row r="1051" spans="1:4" ht="15" x14ac:dyDescent="0.25">
      <c r="A1051" s="743">
        <v>43837</v>
      </c>
      <c r="B1051" s="491">
        <v>172858.39</v>
      </c>
      <c r="C1051" s="514"/>
      <c r="D1051" s="491"/>
    </row>
    <row r="1052" spans="1:4" ht="15" x14ac:dyDescent="0.25">
      <c r="A1052" s="743">
        <v>43838</v>
      </c>
      <c r="B1052" s="491">
        <v>172585</v>
      </c>
      <c r="C1052" s="514"/>
      <c r="D1052" s="491"/>
    </row>
    <row r="1053" spans="1:4" ht="15" x14ac:dyDescent="0.25">
      <c r="A1053" s="743">
        <v>43839</v>
      </c>
      <c r="B1053" s="491">
        <v>184752.38</v>
      </c>
      <c r="C1053" s="514"/>
      <c r="D1053" s="491"/>
    </row>
    <row r="1054" spans="1:4" ht="15" x14ac:dyDescent="0.25">
      <c r="A1054" s="743">
        <v>43840</v>
      </c>
      <c r="B1054" s="491">
        <v>199849.93</v>
      </c>
      <c r="C1054" s="514"/>
      <c r="D1054" s="491"/>
    </row>
    <row r="1055" spans="1:4" ht="15" x14ac:dyDescent="0.25">
      <c r="A1055" s="743">
        <v>43843</v>
      </c>
      <c r="B1055" s="491">
        <v>199850</v>
      </c>
      <c r="C1055" s="514"/>
      <c r="D1055" s="491"/>
    </row>
    <row r="1056" spans="1:4" ht="15" x14ac:dyDescent="0.25">
      <c r="A1056" s="743">
        <v>43844</v>
      </c>
      <c r="B1056" s="491">
        <v>199850</v>
      </c>
      <c r="C1056" s="514"/>
      <c r="D1056" s="491"/>
    </row>
    <row r="1057" spans="1:4" ht="15" x14ac:dyDescent="0.25">
      <c r="A1057" s="743">
        <v>43845</v>
      </c>
      <c r="B1057" s="491">
        <v>199942.09</v>
      </c>
      <c r="C1057" s="514"/>
      <c r="D1057" s="491"/>
    </row>
    <row r="1058" spans="1:4" ht="15" x14ac:dyDescent="0.25">
      <c r="A1058" s="743">
        <v>43846</v>
      </c>
      <c r="B1058" s="491">
        <v>197586.14</v>
      </c>
      <c r="C1058" s="514"/>
      <c r="D1058" s="491"/>
    </row>
    <row r="1059" spans="1:4" ht="15" x14ac:dyDescent="0.25">
      <c r="A1059" s="743">
        <v>43847</v>
      </c>
      <c r="B1059" s="491">
        <v>197586</v>
      </c>
      <c r="C1059" s="514"/>
      <c r="D1059" s="491"/>
    </row>
    <row r="1060" spans="1:4" ht="15" x14ac:dyDescent="0.25">
      <c r="A1060" s="743">
        <v>43850</v>
      </c>
      <c r="B1060" s="491">
        <v>197586</v>
      </c>
      <c r="C1060" s="514"/>
      <c r="D1060" s="491"/>
    </row>
    <row r="1061" spans="1:4" ht="15" x14ac:dyDescent="0.25">
      <c r="A1061" s="743">
        <v>43851</v>
      </c>
      <c r="B1061" s="491">
        <v>160213.23000000001</v>
      </c>
      <c r="C1061" s="514"/>
      <c r="D1061" s="695"/>
    </row>
    <row r="1062" spans="1:4" ht="15" x14ac:dyDescent="0.25">
      <c r="A1062" s="743">
        <v>43852</v>
      </c>
      <c r="B1062" s="491">
        <v>160213</v>
      </c>
      <c r="C1062" s="514"/>
      <c r="D1062" s="491"/>
    </row>
    <row r="1063" spans="1:4" ht="15" x14ac:dyDescent="0.25">
      <c r="A1063" s="743">
        <v>43853</v>
      </c>
      <c r="B1063" s="491">
        <v>178835.97</v>
      </c>
      <c r="C1063" s="514"/>
      <c r="D1063" s="491"/>
    </row>
    <row r="1064" spans="1:4" ht="15" x14ac:dyDescent="0.25">
      <c r="A1064" s="743">
        <v>43854</v>
      </c>
      <c r="B1064" s="491">
        <v>177774.06</v>
      </c>
      <c r="C1064" s="514"/>
      <c r="D1064" s="491"/>
    </row>
    <row r="1065" spans="1:4" ht="15" x14ac:dyDescent="0.25">
      <c r="A1065" s="743">
        <v>43857</v>
      </c>
      <c r="B1065" s="491">
        <v>177774</v>
      </c>
      <c r="C1065" s="514"/>
      <c r="D1065" s="491"/>
    </row>
    <row r="1066" spans="1:4" ht="15" x14ac:dyDescent="0.25">
      <c r="A1066" s="743">
        <v>43858</v>
      </c>
      <c r="B1066" s="491">
        <v>177774</v>
      </c>
      <c r="C1066" s="514"/>
      <c r="D1066" s="491"/>
    </row>
    <row r="1067" spans="1:4" ht="15" x14ac:dyDescent="0.25">
      <c r="A1067" s="743">
        <v>43859</v>
      </c>
      <c r="B1067" s="491">
        <v>253459.84</v>
      </c>
      <c r="C1067" s="514"/>
      <c r="D1067" s="491"/>
    </row>
    <row r="1068" spans="1:4" ht="15" x14ac:dyDescent="0.25">
      <c r="A1068" s="743">
        <v>43860</v>
      </c>
      <c r="B1068" s="491">
        <v>235320.22</v>
      </c>
      <c r="C1068" s="514"/>
      <c r="D1068" s="491"/>
    </row>
    <row r="1069" spans="1:4" ht="15" x14ac:dyDescent="0.25">
      <c r="A1069" s="743">
        <v>43861</v>
      </c>
      <c r="B1069" s="491">
        <v>235320</v>
      </c>
      <c r="C1069" s="514"/>
      <c r="D1069" s="491"/>
    </row>
    <row r="1070" spans="1:4" ht="15" x14ac:dyDescent="0.25">
      <c r="A1070" s="743">
        <v>43864</v>
      </c>
      <c r="B1070" s="491">
        <v>198483.96</v>
      </c>
      <c r="C1070" s="514"/>
      <c r="D1070" s="491"/>
    </row>
    <row r="1071" spans="1:4" ht="15" x14ac:dyDescent="0.25">
      <c r="A1071" s="743">
        <v>43865</v>
      </c>
      <c r="B1071" s="491">
        <v>212819.68</v>
      </c>
      <c r="C1071" s="514"/>
      <c r="D1071" s="491"/>
    </row>
    <row r="1072" spans="1:4" ht="15" x14ac:dyDescent="0.25">
      <c r="A1072" s="743">
        <v>43866</v>
      </c>
      <c r="B1072" s="491">
        <v>212820</v>
      </c>
      <c r="C1072" s="514"/>
      <c r="D1072" s="491"/>
    </row>
    <row r="1073" spans="1:4" ht="15" x14ac:dyDescent="0.25">
      <c r="A1073" s="743">
        <v>43867</v>
      </c>
      <c r="B1073" s="491">
        <v>212584.24</v>
      </c>
      <c r="C1073" s="514"/>
      <c r="D1073" s="491"/>
    </row>
    <row r="1074" spans="1:4" ht="15" x14ac:dyDescent="0.25">
      <c r="A1074" s="743">
        <v>43868</v>
      </c>
      <c r="B1074" s="491">
        <v>270092.23</v>
      </c>
      <c r="C1074" s="514"/>
      <c r="D1074" s="491"/>
    </row>
    <row r="1075" spans="1:4" ht="15" x14ac:dyDescent="0.25">
      <c r="A1075" s="743">
        <v>43871</v>
      </c>
      <c r="B1075" s="491">
        <v>270092</v>
      </c>
      <c r="C1075" s="514"/>
      <c r="D1075" s="491"/>
    </row>
    <row r="1076" spans="1:4" ht="15" x14ac:dyDescent="0.25">
      <c r="A1076" s="743">
        <v>43872</v>
      </c>
      <c r="B1076" s="491">
        <v>273133.13</v>
      </c>
      <c r="C1076" s="514"/>
      <c r="D1076" s="491"/>
    </row>
    <row r="1077" spans="1:4" ht="15" x14ac:dyDescent="0.25">
      <c r="A1077" s="743">
        <v>43873</v>
      </c>
      <c r="B1077" s="491">
        <v>273133</v>
      </c>
      <c r="C1077" s="514"/>
      <c r="D1077" s="491"/>
    </row>
    <row r="1078" spans="1:4" ht="15" x14ac:dyDescent="0.25">
      <c r="A1078" s="743">
        <v>43874</v>
      </c>
      <c r="B1078" s="491">
        <v>280484.09000000003</v>
      </c>
      <c r="C1078" s="514"/>
      <c r="D1078" s="491"/>
    </row>
    <row r="1079" spans="1:4" ht="15" x14ac:dyDescent="0.25">
      <c r="A1079" s="743">
        <v>43875</v>
      </c>
      <c r="B1079" s="491">
        <v>279225.67</v>
      </c>
      <c r="C1079" s="514"/>
      <c r="D1079" s="491"/>
    </row>
    <row r="1080" spans="1:4" ht="15" x14ac:dyDescent="0.25">
      <c r="A1080" s="743">
        <v>43878</v>
      </c>
      <c r="B1080" s="491">
        <v>279226</v>
      </c>
      <c r="C1080" s="514"/>
      <c r="D1080" s="491"/>
    </row>
    <row r="1081" spans="1:4" ht="15" x14ac:dyDescent="0.25">
      <c r="A1081" s="743">
        <v>43879</v>
      </c>
      <c r="B1081" s="491">
        <v>241740.68</v>
      </c>
      <c r="C1081" s="514"/>
      <c r="D1081" s="491"/>
    </row>
    <row r="1082" spans="1:4" ht="15" x14ac:dyDescent="0.25">
      <c r="A1082" s="743">
        <v>43880</v>
      </c>
      <c r="B1082" s="491">
        <v>268478</v>
      </c>
      <c r="C1082" s="514"/>
      <c r="D1082" s="491"/>
    </row>
    <row r="1083" spans="1:4" ht="15" x14ac:dyDescent="0.25">
      <c r="A1083" s="743">
        <v>43881</v>
      </c>
      <c r="B1083" s="491">
        <v>258524.93</v>
      </c>
      <c r="C1083" s="514"/>
      <c r="D1083" s="491"/>
    </row>
    <row r="1084" spans="1:4" ht="15" x14ac:dyDescent="0.25">
      <c r="A1084" s="743">
        <v>43882</v>
      </c>
      <c r="B1084" s="491">
        <v>277316.53000000003</v>
      </c>
      <c r="C1084" s="514"/>
      <c r="D1084" s="491"/>
    </row>
    <row r="1085" spans="1:4" ht="15" x14ac:dyDescent="0.25">
      <c r="A1085" s="743">
        <v>43885</v>
      </c>
      <c r="B1085" s="491">
        <v>277317</v>
      </c>
      <c r="C1085" s="514"/>
      <c r="D1085" s="491"/>
    </row>
    <row r="1086" spans="1:4" ht="15" x14ac:dyDescent="0.25">
      <c r="A1086" s="743">
        <v>43886</v>
      </c>
      <c r="B1086" s="491">
        <v>279881.78999999998</v>
      </c>
      <c r="C1086" s="514"/>
      <c r="D1086" s="491"/>
    </row>
    <row r="1087" spans="1:4" ht="15" x14ac:dyDescent="0.25">
      <c r="A1087" s="743">
        <v>43887</v>
      </c>
      <c r="B1087" s="491">
        <v>279882</v>
      </c>
      <c r="C1087" s="514"/>
      <c r="D1087" s="491"/>
    </row>
    <row r="1088" spans="1:4" ht="15" x14ac:dyDescent="0.25">
      <c r="A1088" s="743">
        <v>43888</v>
      </c>
      <c r="B1088" s="491">
        <v>270773.33</v>
      </c>
      <c r="C1088" s="514"/>
      <c r="D1088" s="491"/>
    </row>
    <row r="1089" spans="1:4" ht="15" x14ac:dyDescent="0.25">
      <c r="A1089" s="743">
        <v>43889</v>
      </c>
      <c r="B1089" s="491">
        <v>306133.57</v>
      </c>
      <c r="C1089" s="514"/>
      <c r="D1089" s="695"/>
    </row>
    <row r="1090" spans="1:4" ht="15" x14ac:dyDescent="0.25">
      <c r="A1090" s="743">
        <v>43892</v>
      </c>
      <c r="B1090" s="491">
        <v>267343.68</v>
      </c>
      <c r="C1090" s="514"/>
      <c r="D1090" s="695"/>
    </row>
    <row r="1091" spans="1:4" ht="15" x14ac:dyDescent="0.25">
      <c r="A1091" s="743">
        <v>43893</v>
      </c>
      <c r="B1091" s="491">
        <v>267157.68</v>
      </c>
      <c r="C1091" s="514"/>
      <c r="D1091" s="695"/>
    </row>
    <row r="1092" spans="1:4" ht="15" x14ac:dyDescent="0.25">
      <c r="A1092" s="743">
        <v>43894</v>
      </c>
      <c r="B1092" s="491">
        <v>267157.68</v>
      </c>
      <c r="C1092" s="514"/>
      <c r="D1092" s="695"/>
    </row>
    <row r="1093" spans="1:4" ht="15" x14ac:dyDescent="0.25">
      <c r="A1093" s="743">
        <v>43895</v>
      </c>
      <c r="B1093" s="491">
        <v>264690.95</v>
      </c>
      <c r="C1093" s="514"/>
      <c r="D1093" s="695"/>
    </row>
    <row r="1094" spans="1:4" ht="15" x14ac:dyDescent="0.25">
      <c r="A1094" s="743">
        <v>43896</v>
      </c>
      <c r="B1094" s="491">
        <v>264495.03999999998</v>
      </c>
      <c r="C1094" s="514"/>
      <c r="D1094" s="695"/>
    </row>
    <row r="1095" spans="1:4" ht="15" x14ac:dyDescent="0.25">
      <c r="A1095" s="743">
        <v>43899</v>
      </c>
      <c r="B1095" s="491">
        <v>264495.03999999998</v>
      </c>
      <c r="C1095" s="514"/>
      <c r="D1095" s="695"/>
    </row>
    <row r="1096" spans="1:4" ht="15" x14ac:dyDescent="0.25">
      <c r="A1096" s="743">
        <v>43900</v>
      </c>
      <c r="B1096" s="491">
        <v>267283.63</v>
      </c>
      <c r="C1096" s="514"/>
      <c r="D1096" s="695"/>
    </row>
    <row r="1097" spans="1:4" ht="15" x14ac:dyDescent="0.25">
      <c r="A1097" s="743">
        <v>43901</v>
      </c>
      <c r="B1097" s="491">
        <v>267283.63</v>
      </c>
      <c r="C1097" s="514"/>
      <c r="D1097" s="695"/>
    </row>
    <row r="1098" spans="1:4" ht="15" x14ac:dyDescent="0.25">
      <c r="A1098" s="743">
        <v>43902</v>
      </c>
      <c r="B1098" s="491">
        <v>259537.69</v>
      </c>
      <c r="C1098" s="514"/>
      <c r="D1098" s="695"/>
    </row>
    <row r="1099" spans="1:4" ht="15" x14ac:dyDescent="0.25">
      <c r="A1099" s="743">
        <v>43903</v>
      </c>
      <c r="B1099" s="491">
        <v>259645.65</v>
      </c>
      <c r="C1099" s="514"/>
      <c r="D1099" s="695"/>
    </row>
    <row r="1100" spans="1:4" ht="15" x14ac:dyDescent="0.25">
      <c r="A1100" s="743">
        <v>43906</v>
      </c>
      <c r="B1100" s="491">
        <v>279221.03000000003</v>
      </c>
      <c r="C1100" s="514"/>
      <c r="D1100" s="695"/>
    </row>
    <row r="1101" spans="1:4" ht="15" x14ac:dyDescent="0.25">
      <c r="A1101" s="743">
        <v>43907</v>
      </c>
      <c r="B1101" s="491">
        <v>232150.36</v>
      </c>
      <c r="C1101" s="514"/>
      <c r="D1101" s="695"/>
    </row>
    <row r="1102" spans="1:4" ht="15" x14ac:dyDescent="0.25">
      <c r="A1102" s="743">
        <v>43908</v>
      </c>
      <c r="B1102" s="491">
        <v>274274.51</v>
      </c>
      <c r="C1102" s="514"/>
      <c r="D1102" s="695"/>
    </row>
    <row r="1103" spans="1:4" ht="15" x14ac:dyDescent="0.25">
      <c r="A1103" s="743">
        <v>43909</v>
      </c>
      <c r="B1103" s="491">
        <v>276629.48</v>
      </c>
      <c r="C1103" s="514"/>
      <c r="D1103" s="695"/>
    </row>
    <row r="1104" spans="1:4" ht="15" x14ac:dyDescent="0.25">
      <c r="A1104" s="743">
        <v>43910</v>
      </c>
      <c r="B1104" s="491">
        <v>276629.48</v>
      </c>
      <c r="C1104" s="514"/>
      <c r="D1104" s="695"/>
    </row>
    <row r="1105" spans="1:4" ht="15" x14ac:dyDescent="0.25">
      <c r="A1105" s="743">
        <v>43913</v>
      </c>
      <c r="B1105" s="491">
        <v>292626.55</v>
      </c>
      <c r="C1105" s="514"/>
      <c r="D1105" s="695"/>
    </row>
    <row r="1106" spans="1:4" ht="15" x14ac:dyDescent="0.25">
      <c r="A1106" s="743">
        <v>43914</v>
      </c>
      <c r="B1106" s="491">
        <v>292626.55</v>
      </c>
      <c r="C1106" s="514"/>
      <c r="D1106" s="695"/>
    </row>
    <row r="1107" spans="1:4" ht="15" x14ac:dyDescent="0.25">
      <c r="A1107" s="743">
        <v>43915</v>
      </c>
      <c r="B1107" s="491">
        <v>292626.55</v>
      </c>
      <c r="C1107" s="514"/>
      <c r="D1107" s="695"/>
    </row>
    <row r="1108" spans="1:4" ht="15" x14ac:dyDescent="0.25">
      <c r="A1108" s="743">
        <v>43916</v>
      </c>
      <c r="B1108" s="491">
        <v>292626.55</v>
      </c>
      <c r="C1108" s="514"/>
      <c r="D1108" s="695"/>
    </row>
    <row r="1109" spans="1:4" ht="15" x14ac:dyDescent="0.25">
      <c r="A1109" s="743">
        <v>43917</v>
      </c>
      <c r="B1109" s="491">
        <v>292582.55</v>
      </c>
      <c r="C1109" s="514"/>
      <c r="D1109" s="695"/>
    </row>
    <row r="1110" spans="1:4" ht="15" x14ac:dyDescent="0.25">
      <c r="A1110" s="743">
        <v>43920</v>
      </c>
      <c r="B1110" s="491">
        <v>292582.55</v>
      </c>
      <c r="C1110" s="514"/>
      <c r="D1110" s="695"/>
    </row>
    <row r="1111" spans="1:4" ht="15" x14ac:dyDescent="0.25">
      <c r="A1111" s="743">
        <v>43921</v>
      </c>
      <c r="B1111" s="491">
        <v>292582.55</v>
      </c>
      <c r="C1111" s="514"/>
      <c r="D1111" s="695"/>
    </row>
    <row r="1112" spans="1:4" ht="15" x14ac:dyDescent="0.25">
      <c r="A1112" s="743">
        <v>43922</v>
      </c>
      <c r="B1112" s="491">
        <v>256343.91</v>
      </c>
      <c r="C1112" s="514"/>
      <c r="D1112" s="695"/>
    </row>
    <row r="1113" spans="1:4" ht="15" x14ac:dyDescent="0.25">
      <c r="A1113" s="743">
        <v>43923</v>
      </c>
      <c r="B1113" s="491">
        <v>260066.55</v>
      </c>
      <c r="C1113" s="514"/>
      <c r="D1113" s="695"/>
    </row>
    <row r="1114" spans="1:4" ht="15" x14ac:dyDescent="0.25">
      <c r="A1114" s="743">
        <v>43924</v>
      </c>
      <c r="B1114" s="491">
        <v>259418.64</v>
      </c>
      <c r="C1114" s="514"/>
      <c r="D1114" s="695"/>
    </row>
    <row r="1115" spans="1:4" ht="15" x14ac:dyDescent="0.25">
      <c r="A1115" s="743">
        <v>43927</v>
      </c>
      <c r="B1115" s="491">
        <v>259418.64</v>
      </c>
      <c r="C1115" s="514"/>
      <c r="D1115" s="695"/>
    </row>
    <row r="1116" spans="1:4" ht="15" x14ac:dyDescent="0.25">
      <c r="A1116" s="743">
        <v>43928</v>
      </c>
      <c r="B1116" s="491">
        <v>259418.64</v>
      </c>
      <c r="C1116" s="514"/>
      <c r="D1116" s="695"/>
    </row>
    <row r="1117" spans="1:4" ht="15" x14ac:dyDescent="0.25">
      <c r="A1117" s="743">
        <v>43929</v>
      </c>
      <c r="B1117" s="491">
        <v>259418.64</v>
      </c>
      <c r="C1117" s="514"/>
      <c r="D1117" s="695"/>
    </row>
    <row r="1118" spans="1:4" ht="15" x14ac:dyDescent="0.25">
      <c r="A1118" s="743">
        <v>43930</v>
      </c>
      <c r="B1118" s="491">
        <v>256056.32000000001</v>
      </c>
      <c r="C1118" s="514"/>
      <c r="D1118" s="695"/>
    </row>
    <row r="1119" spans="1:4" ht="15" x14ac:dyDescent="0.25">
      <c r="A1119" s="743">
        <v>43931</v>
      </c>
      <c r="B1119" s="491">
        <v>256056.32000000001</v>
      </c>
      <c r="C1119" s="514"/>
      <c r="D1119" s="695"/>
    </row>
    <row r="1120" spans="1:4" ht="15" x14ac:dyDescent="0.25">
      <c r="A1120" s="743">
        <v>43934</v>
      </c>
      <c r="B1120" s="491">
        <v>256056.32000000001</v>
      </c>
      <c r="C1120" s="514"/>
      <c r="D1120" s="695"/>
    </row>
    <row r="1121" spans="1:4" ht="15" x14ac:dyDescent="0.25">
      <c r="A1121" s="743">
        <v>43935</v>
      </c>
      <c r="B1121" s="491">
        <v>256056.32000000001</v>
      </c>
      <c r="C1121" s="514"/>
      <c r="D1121" s="695"/>
    </row>
    <row r="1122" spans="1:4" ht="15" x14ac:dyDescent="0.25">
      <c r="A1122" s="743">
        <v>43936</v>
      </c>
      <c r="B1122" s="491">
        <v>222877.12</v>
      </c>
      <c r="C1122" s="514"/>
      <c r="D1122" s="695"/>
    </row>
    <row r="1123" spans="1:4" ht="15" x14ac:dyDescent="0.25">
      <c r="A1123" s="743">
        <v>43937</v>
      </c>
      <c r="B1123" s="491">
        <v>222877.12</v>
      </c>
      <c r="C1123" s="514"/>
      <c r="D1123" s="695"/>
    </row>
    <row r="1124" spans="1:4" ht="15" x14ac:dyDescent="0.25">
      <c r="A1124" s="743">
        <v>43938</v>
      </c>
      <c r="B1124" s="491">
        <v>222415.21</v>
      </c>
      <c r="C1124" s="514"/>
      <c r="D1124" s="695"/>
    </row>
    <row r="1125" spans="1:4" ht="15" x14ac:dyDescent="0.25">
      <c r="A1125" s="743">
        <v>43941</v>
      </c>
      <c r="B1125" s="491">
        <v>222415.21</v>
      </c>
      <c r="C1125" s="514"/>
      <c r="D1125" s="695"/>
    </row>
    <row r="1126" spans="1:4" ht="15" x14ac:dyDescent="0.25">
      <c r="A1126" s="743">
        <v>43942</v>
      </c>
      <c r="B1126" s="491">
        <v>222415.21</v>
      </c>
      <c r="C1126" s="514"/>
      <c r="D1126" s="695"/>
    </row>
    <row r="1127" spans="1:4" ht="15" x14ac:dyDescent="0.25">
      <c r="A1127" s="743">
        <v>43943</v>
      </c>
      <c r="B1127" s="491">
        <v>222415.21</v>
      </c>
      <c r="C1127" s="514"/>
      <c r="D1127" s="695"/>
    </row>
    <row r="1128" spans="1:4" ht="15" x14ac:dyDescent="0.25">
      <c r="A1128" s="743">
        <v>43944</v>
      </c>
      <c r="B1128" s="491">
        <v>185658.71</v>
      </c>
      <c r="C1128" s="514"/>
      <c r="D1128" s="695"/>
    </row>
    <row r="1129" spans="1:4" ht="15" x14ac:dyDescent="0.25">
      <c r="A1129" s="743">
        <v>43945</v>
      </c>
      <c r="B1129" s="491">
        <v>185658.71</v>
      </c>
      <c r="C1129" s="514"/>
      <c r="D1129" s="695"/>
    </row>
    <row r="1130" spans="1:4" ht="15" x14ac:dyDescent="0.25">
      <c r="A1130" s="743">
        <v>43948</v>
      </c>
      <c r="B1130" s="491">
        <v>185614.71</v>
      </c>
      <c r="C1130" s="514"/>
      <c r="D1130" s="695"/>
    </row>
    <row r="1131" spans="1:4" ht="15" x14ac:dyDescent="0.25">
      <c r="A1131" s="743">
        <v>43949</v>
      </c>
      <c r="B1131" s="549">
        <v>152434.01999999999</v>
      </c>
      <c r="C1131" s="514"/>
      <c r="D1131" s="549"/>
    </row>
    <row r="1132" spans="1:4" ht="15" x14ac:dyDescent="0.25">
      <c r="A1132" s="743">
        <v>43950</v>
      </c>
      <c r="B1132" s="491">
        <v>152434.01999999999</v>
      </c>
      <c r="C1132" s="514"/>
      <c r="D1132" s="695"/>
    </row>
    <row r="1133" spans="1:4" ht="15" x14ac:dyDescent="0.25">
      <c r="A1133" s="743">
        <v>43951</v>
      </c>
      <c r="B1133" s="491">
        <v>173230.55</v>
      </c>
      <c r="C1133" s="514"/>
      <c r="D1133" s="695"/>
    </row>
    <row r="1134" spans="1:4" ht="15" x14ac:dyDescent="0.25">
      <c r="A1134" s="743">
        <v>43952</v>
      </c>
      <c r="B1134" s="491">
        <f>C1134+D1134</f>
        <v>173492.71000000002</v>
      </c>
      <c r="C1134" s="746">
        <v>172768.64000000001</v>
      </c>
      <c r="D1134" s="747">
        <v>724.07</v>
      </c>
    </row>
    <row r="1135" spans="1:4" ht="15" x14ac:dyDescent="0.25">
      <c r="A1135" s="743">
        <v>43955</v>
      </c>
      <c r="B1135" s="491">
        <f t="shared" ref="B1135:B1198" si="5">C1135+D1135</f>
        <v>173306.64</v>
      </c>
      <c r="C1135" s="746">
        <v>172582.64</v>
      </c>
      <c r="D1135" s="747">
        <v>724</v>
      </c>
    </row>
    <row r="1136" spans="1:4" ht="15" x14ac:dyDescent="0.25">
      <c r="A1136" s="743">
        <v>43956</v>
      </c>
      <c r="B1136" s="491">
        <f t="shared" si="5"/>
        <v>173307</v>
      </c>
      <c r="C1136" s="746">
        <v>172583</v>
      </c>
      <c r="D1136" s="747">
        <f>D1135</f>
        <v>724</v>
      </c>
    </row>
    <row r="1137" spans="1:4" ht="15" x14ac:dyDescent="0.25">
      <c r="A1137" s="743">
        <v>43957</v>
      </c>
      <c r="B1137" s="491">
        <f t="shared" si="5"/>
        <v>173307</v>
      </c>
      <c r="C1137" s="746">
        <v>172583</v>
      </c>
      <c r="D1137" s="747">
        <f t="shared" ref="D1137:D1179" si="6">D1136</f>
        <v>724</v>
      </c>
    </row>
    <row r="1138" spans="1:4" ht="15" x14ac:dyDescent="0.25">
      <c r="A1138" s="743">
        <v>43958</v>
      </c>
      <c r="B1138" s="491">
        <f t="shared" si="5"/>
        <v>173307</v>
      </c>
      <c r="C1138" s="746">
        <v>172583</v>
      </c>
      <c r="D1138" s="747">
        <f t="shared" si="6"/>
        <v>724</v>
      </c>
    </row>
    <row r="1139" spans="1:4" ht="15" x14ac:dyDescent="0.25">
      <c r="A1139" s="743">
        <v>43959</v>
      </c>
      <c r="B1139" s="491">
        <f t="shared" si="5"/>
        <v>385709.68000000005</v>
      </c>
      <c r="C1139" s="746">
        <v>187582.64</v>
      </c>
      <c r="D1139" s="747">
        <v>198127.04</v>
      </c>
    </row>
    <row r="1140" spans="1:4" ht="15" x14ac:dyDescent="0.25">
      <c r="A1140" s="743">
        <v>43962</v>
      </c>
      <c r="B1140" s="491">
        <f t="shared" si="5"/>
        <v>385710.04000000004</v>
      </c>
      <c r="C1140" s="746">
        <v>187583</v>
      </c>
      <c r="D1140" s="747">
        <f t="shared" si="6"/>
        <v>198127.04</v>
      </c>
    </row>
    <row r="1141" spans="1:4" ht="15" x14ac:dyDescent="0.25">
      <c r="A1141" s="743">
        <v>43963</v>
      </c>
      <c r="B1141" s="549">
        <f t="shared" si="5"/>
        <v>385904.98</v>
      </c>
      <c r="C1141" s="746">
        <v>187777.94</v>
      </c>
      <c r="D1141" s="747">
        <f t="shared" si="6"/>
        <v>198127.04</v>
      </c>
    </row>
    <row r="1142" spans="1:4" ht="15" x14ac:dyDescent="0.25">
      <c r="A1142" s="743">
        <v>43964</v>
      </c>
      <c r="B1142" s="491">
        <f t="shared" si="5"/>
        <v>362979.35</v>
      </c>
      <c r="C1142" s="746">
        <v>187778</v>
      </c>
      <c r="D1142" s="747">
        <v>175201.35</v>
      </c>
    </row>
    <row r="1143" spans="1:4" ht="15" x14ac:dyDescent="0.25">
      <c r="A1143" s="743">
        <v>43965</v>
      </c>
      <c r="B1143" s="491">
        <f t="shared" si="5"/>
        <v>362979.35</v>
      </c>
      <c r="C1143" s="746">
        <v>187778</v>
      </c>
      <c r="D1143" s="747">
        <f t="shared" si="6"/>
        <v>175201.35</v>
      </c>
    </row>
    <row r="1144" spans="1:4" ht="15" x14ac:dyDescent="0.25">
      <c r="A1144" s="743">
        <v>43966</v>
      </c>
      <c r="B1144" s="491">
        <f t="shared" si="5"/>
        <v>362624.73</v>
      </c>
      <c r="C1144" s="746">
        <v>187400</v>
      </c>
      <c r="D1144" s="747">
        <v>175224.73</v>
      </c>
    </row>
    <row r="1145" spans="1:4" ht="15" x14ac:dyDescent="0.25">
      <c r="A1145" s="743">
        <v>43969</v>
      </c>
      <c r="B1145" s="491">
        <f t="shared" si="5"/>
        <v>362070.03</v>
      </c>
      <c r="C1145" s="746">
        <v>187400</v>
      </c>
      <c r="D1145" s="747">
        <v>174670.03</v>
      </c>
    </row>
    <row r="1146" spans="1:4" ht="15" x14ac:dyDescent="0.25">
      <c r="A1146" s="743">
        <v>43970</v>
      </c>
      <c r="B1146" s="491">
        <f t="shared" si="5"/>
        <v>352214.86</v>
      </c>
      <c r="C1146" s="746">
        <v>187400</v>
      </c>
      <c r="D1146" s="747">
        <v>164814.85999999999</v>
      </c>
    </row>
    <row r="1147" spans="1:4" ht="15" x14ac:dyDescent="0.25">
      <c r="A1147" s="743">
        <v>43971</v>
      </c>
      <c r="B1147" s="491">
        <f t="shared" si="5"/>
        <v>352214.86</v>
      </c>
      <c r="C1147" s="746">
        <v>187400</v>
      </c>
      <c r="D1147" s="747">
        <f t="shared" si="6"/>
        <v>164814.85999999999</v>
      </c>
    </row>
    <row r="1148" spans="1:4" ht="15" x14ac:dyDescent="0.25">
      <c r="A1148" s="743">
        <v>43972</v>
      </c>
      <c r="B1148" s="491">
        <f t="shared" si="5"/>
        <v>337570.28</v>
      </c>
      <c r="C1148" s="746">
        <v>178152.54</v>
      </c>
      <c r="D1148" s="747">
        <v>159417.74</v>
      </c>
    </row>
    <row r="1149" spans="1:4" ht="15" x14ac:dyDescent="0.25">
      <c r="A1149" s="743">
        <v>43973</v>
      </c>
      <c r="B1149" s="491">
        <f t="shared" si="5"/>
        <v>337570.28</v>
      </c>
      <c r="C1149" s="746">
        <v>178152.54</v>
      </c>
      <c r="D1149" s="747">
        <f t="shared" si="6"/>
        <v>159417.74</v>
      </c>
    </row>
    <row r="1150" spans="1:4" x14ac:dyDescent="0.2">
      <c r="A1150" s="514">
        <v>43976</v>
      </c>
      <c r="B1150" s="491">
        <f t="shared" si="5"/>
        <v>337570.28</v>
      </c>
      <c r="C1150" s="746">
        <v>178152.54</v>
      </c>
      <c r="D1150" s="747">
        <f t="shared" si="6"/>
        <v>159417.74</v>
      </c>
    </row>
    <row r="1151" spans="1:4" x14ac:dyDescent="0.2">
      <c r="A1151" s="514">
        <v>43977</v>
      </c>
      <c r="B1151" s="491">
        <f t="shared" si="5"/>
        <v>337570.28</v>
      </c>
      <c r="C1151" s="746">
        <v>178152.54</v>
      </c>
      <c r="D1151" s="747">
        <f t="shared" si="6"/>
        <v>159417.74</v>
      </c>
    </row>
    <row r="1152" spans="1:4" x14ac:dyDescent="0.2">
      <c r="A1152" s="514">
        <v>43978</v>
      </c>
      <c r="B1152" s="491">
        <f t="shared" si="5"/>
        <v>314828.33999999997</v>
      </c>
      <c r="C1152" s="746">
        <v>178108.54</v>
      </c>
      <c r="D1152" s="747">
        <v>136719.79999999999</v>
      </c>
    </row>
    <row r="1153" spans="1:4" x14ac:dyDescent="0.2">
      <c r="A1153" s="514">
        <v>43979</v>
      </c>
      <c r="B1153" s="491">
        <f t="shared" si="5"/>
        <v>314642.31</v>
      </c>
      <c r="C1153" s="746">
        <v>177922.51</v>
      </c>
      <c r="D1153" s="747">
        <f t="shared" si="6"/>
        <v>136719.79999999999</v>
      </c>
    </row>
    <row r="1154" spans="1:4" x14ac:dyDescent="0.2">
      <c r="A1154" s="514">
        <v>43980</v>
      </c>
      <c r="B1154" s="491">
        <f t="shared" si="5"/>
        <v>314180.40000000002</v>
      </c>
      <c r="C1154" s="746">
        <v>177460.6</v>
      </c>
      <c r="D1154" s="747">
        <f t="shared" si="6"/>
        <v>136719.79999999999</v>
      </c>
    </row>
    <row r="1155" spans="1:4" x14ac:dyDescent="0.2">
      <c r="A1155" s="514">
        <v>43983</v>
      </c>
      <c r="B1155" s="491">
        <f t="shared" si="5"/>
        <v>336211.19</v>
      </c>
      <c r="C1155" s="746">
        <v>201698.93</v>
      </c>
      <c r="D1155" s="747">
        <v>134512.26</v>
      </c>
    </row>
    <row r="1156" spans="1:4" x14ac:dyDescent="0.2">
      <c r="A1156" s="514">
        <v>43984</v>
      </c>
      <c r="B1156" s="491">
        <f t="shared" si="5"/>
        <v>327639.93</v>
      </c>
      <c r="C1156" s="746">
        <v>201512.93</v>
      </c>
      <c r="D1156" s="747">
        <v>126127</v>
      </c>
    </row>
    <row r="1157" spans="1:4" x14ac:dyDescent="0.2">
      <c r="A1157" s="514">
        <v>43985</v>
      </c>
      <c r="B1157" s="491">
        <f t="shared" si="5"/>
        <v>327640</v>
      </c>
      <c r="C1157" s="746">
        <v>201513</v>
      </c>
      <c r="D1157" s="747">
        <f t="shared" si="6"/>
        <v>126127</v>
      </c>
    </row>
    <row r="1158" spans="1:4" x14ac:dyDescent="0.2">
      <c r="A1158" s="514">
        <v>43986</v>
      </c>
      <c r="B1158" s="491">
        <f t="shared" si="5"/>
        <v>332166.29000000004</v>
      </c>
      <c r="C1158" s="746">
        <v>206039.29</v>
      </c>
      <c r="D1158" s="747">
        <f t="shared" si="6"/>
        <v>126127</v>
      </c>
    </row>
    <row r="1159" spans="1:4" x14ac:dyDescent="0.2">
      <c r="A1159" s="514">
        <v>43987</v>
      </c>
      <c r="B1159" s="491">
        <f t="shared" si="5"/>
        <v>332166.29000000004</v>
      </c>
      <c r="C1159" s="746">
        <f>C1158</f>
        <v>206039.29</v>
      </c>
      <c r="D1159" s="747">
        <f t="shared" si="6"/>
        <v>126127</v>
      </c>
    </row>
    <row r="1160" spans="1:4" x14ac:dyDescent="0.2">
      <c r="A1160" s="514">
        <v>43990</v>
      </c>
      <c r="B1160" s="491">
        <f t="shared" si="5"/>
        <v>378580.41000000003</v>
      </c>
      <c r="C1160" s="746">
        <v>252453.41</v>
      </c>
      <c r="D1160" s="747">
        <f t="shared" si="6"/>
        <v>126127</v>
      </c>
    </row>
    <row r="1161" spans="1:4" x14ac:dyDescent="0.2">
      <c r="A1161" s="514">
        <v>43991</v>
      </c>
      <c r="B1161" s="491">
        <f t="shared" si="5"/>
        <v>378580.41000000003</v>
      </c>
      <c r="C1161" s="746">
        <f t="shared" ref="C1161:C1175" si="7">C1160</f>
        <v>252453.41</v>
      </c>
      <c r="D1161" s="747">
        <f t="shared" si="6"/>
        <v>126127</v>
      </c>
    </row>
    <row r="1162" spans="1:4" x14ac:dyDescent="0.2">
      <c r="A1162" s="514">
        <v>43992</v>
      </c>
      <c r="B1162" s="491">
        <f t="shared" si="5"/>
        <v>355599.42</v>
      </c>
      <c r="C1162" s="746">
        <f t="shared" si="7"/>
        <v>252453.41</v>
      </c>
      <c r="D1162" s="747">
        <v>103146.01</v>
      </c>
    </row>
    <row r="1163" spans="1:4" x14ac:dyDescent="0.2">
      <c r="A1163" s="514">
        <v>43993</v>
      </c>
      <c r="B1163" s="491">
        <f t="shared" si="5"/>
        <v>348512.49</v>
      </c>
      <c r="C1163" s="746">
        <v>255461.07</v>
      </c>
      <c r="D1163" s="747">
        <v>93051.42</v>
      </c>
    </row>
    <row r="1164" spans="1:4" x14ac:dyDescent="0.2">
      <c r="A1164" s="514">
        <v>43994</v>
      </c>
      <c r="B1164" s="491">
        <f t="shared" si="5"/>
        <v>351663.19</v>
      </c>
      <c r="C1164" s="746">
        <v>258611.77</v>
      </c>
      <c r="D1164" s="747">
        <f t="shared" si="6"/>
        <v>93051.42</v>
      </c>
    </row>
    <row r="1165" spans="1:4" x14ac:dyDescent="0.2">
      <c r="A1165" s="514">
        <v>43997</v>
      </c>
      <c r="B1165" s="491">
        <f t="shared" si="5"/>
        <v>351097.70999999996</v>
      </c>
      <c r="C1165" s="746">
        <f t="shared" si="7"/>
        <v>258611.77</v>
      </c>
      <c r="D1165" s="747">
        <v>92485.94</v>
      </c>
    </row>
    <row r="1166" spans="1:4" x14ac:dyDescent="0.2">
      <c r="A1166" s="514">
        <v>43998</v>
      </c>
      <c r="B1166" s="491">
        <f t="shared" si="5"/>
        <v>351097.70999999996</v>
      </c>
      <c r="C1166" s="746">
        <f t="shared" si="7"/>
        <v>258611.77</v>
      </c>
      <c r="D1166" s="747">
        <f t="shared" si="6"/>
        <v>92485.94</v>
      </c>
    </row>
    <row r="1167" spans="1:4" x14ac:dyDescent="0.2">
      <c r="A1167" s="514">
        <v>43999</v>
      </c>
      <c r="B1167" s="491">
        <f t="shared" si="5"/>
        <v>342735.58</v>
      </c>
      <c r="C1167" s="746">
        <v>250249.64</v>
      </c>
      <c r="D1167" s="747">
        <f t="shared" si="6"/>
        <v>92485.94</v>
      </c>
    </row>
    <row r="1168" spans="1:4" x14ac:dyDescent="0.2">
      <c r="A1168" s="514">
        <v>44000</v>
      </c>
      <c r="B1168" s="491">
        <f t="shared" si="5"/>
        <v>344495.52</v>
      </c>
      <c r="C1168" s="746">
        <v>252009.58</v>
      </c>
      <c r="D1168" s="747">
        <f t="shared" si="6"/>
        <v>92485.94</v>
      </c>
    </row>
    <row r="1169" spans="1:4" x14ac:dyDescent="0.2">
      <c r="A1169" s="514">
        <v>44001</v>
      </c>
      <c r="B1169" s="491">
        <f t="shared" si="5"/>
        <v>344495.52</v>
      </c>
      <c r="C1169" s="746">
        <f t="shared" si="7"/>
        <v>252009.58</v>
      </c>
      <c r="D1169" s="747">
        <f t="shared" si="6"/>
        <v>92485.94</v>
      </c>
    </row>
    <row r="1170" spans="1:4" x14ac:dyDescent="0.2">
      <c r="A1170" s="514">
        <v>44004</v>
      </c>
      <c r="B1170" s="491">
        <f t="shared" si="5"/>
        <v>344495.52</v>
      </c>
      <c r="C1170" s="746">
        <f t="shared" si="7"/>
        <v>252009.58</v>
      </c>
      <c r="D1170" s="747">
        <f t="shared" si="6"/>
        <v>92485.94</v>
      </c>
    </row>
    <row r="1171" spans="1:4" x14ac:dyDescent="0.2">
      <c r="A1171" s="514">
        <v>44005</v>
      </c>
      <c r="B1171" s="491">
        <f t="shared" si="5"/>
        <v>334324.15000000002</v>
      </c>
      <c r="C1171" s="746">
        <v>241838.21</v>
      </c>
      <c r="D1171" s="747">
        <f t="shared" si="6"/>
        <v>92485.94</v>
      </c>
    </row>
    <row r="1172" spans="1:4" x14ac:dyDescent="0.2">
      <c r="A1172" s="514">
        <v>44006</v>
      </c>
      <c r="B1172" s="491">
        <f t="shared" si="5"/>
        <v>342928.85</v>
      </c>
      <c r="C1172" s="746">
        <v>275398.59999999998</v>
      </c>
      <c r="D1172" s="747">
        <v>67530.25</v>
      </c>
    </row>
    <row r="1173" spans="1:4" x14ac:dyDescent="0.2">
      <c r="A1173" s="514">
        <v>44007</v>
      </c>
      <c r="B1173" s="491">
        <f t="shared" si="5"/>
        <v>325375.87</v>
      </c>
      <c r="C1173" s="746">
        <v>268709.96999999997</v>
      </c>
      <c r="D1173" s="747">
        <v>56665.9</v>
      </c>
    </row>
    <row r="1174" spans="1:4" x14ac:dyDescent="0.2">
      <c r="A1174" s="514">
        <v>44008</v>
      </c>
      <c r="B1174" s="491">
        <f t="shared" si="5"/>
        <v>324225.81</v>
      </c>
      <c r="C1174" s="746">
        <v>268257.68</v>
      </c>
      <c r="D1174" s="747">
        <v>55968.13</v>
      </c>
    </row>
    <row r="1175" spans="1:4" x14ac:dyDescent="0.2">
      <c r="A1175" s="514">
        <v>44011</v>
      </c>
      <c r="B1175" s="491">
        <f t="shared" si="5"/>
        <v>324225.81</v>
      </c>
      <c r="C1175" s="746">
        <f t="shared" si="7"/>
        <v>268257.68</v>
      </c>
      <c r="D1175" s="747">
        <f t="shared" si="6"/>
        <v>55968.13</v>
      </c>
    </row>
    <row r="1176" spans="1:4" x14ac:dyDescent="0.2">
      <c r="A1176" s="514">
        <v>44012</v>
      </c>
      <c r="B1176" s="491">
        <f t="shared" si="5"/>
        <v>332737.41000000003</v>
      </c>
      <c r="C1176" s="746">
        <v>276769.28000000003</v>
      </c>
      <c r="D1176" s="747">
        <f t="shared" si="6"/>
        <v>55968.13</v>
      </c>
    </row>
    <row r="1177" spans="1:4" x14ac:dyDescent="0.2">
      <c r="A1177" s="514">
        <v>44013</v>
      </c>
      <c r="B1177" s="491">
        <f t="shared" si="5"/>
        <v>348287.12</v>
      </c>
      <c r="C1177" s="746">
        <v>292318.99</v>
      </c>
      <c r="D1177" s="747">
        <f t="shared" si="6"/>
        <v>55968.13</v>
      </c>
    </row>
    <row r="1178" spans="1:4" x14ac:dyDescent="0.2">
      <c r="A1178" s="514">
        <v>44014</v>
      </c>
      <c r="B1178" s="491">
        <f t="shared" si="5"/>
        <v>351754.67</v>
      </c>
      <c r="C1178" s="746">
        <v>295786.53999999998</v>
      </c>
      <c r="D1178" s="747">
        <f t="shared" si="6"/>
        <v>55968.13</v>
      </c>
    </row>
    <row r="1179" spans="1:4" x14ac:dyDescent="0.2">
      <c r="A1179" s="514">
        <v>44015</v>
      </c>
      <c r="B1179" s="491">
        <f t="shared" si="5"/>
        <v>352041.67</v>
      </c>
      <c r="C1179" s="746">
        <v>296073.53999999998</v>
      </c>
      <c r="D1179" s="747">
        <f t="shared" si="6"/>
        <v>55968.13</v>
      </c>
    </row>
    <row r="1180" spans="1:4" x14ac:dyDescent="0.2">
      <c r="A1180" s="514">
        <v>44018</v>
      </c>
      <c r="B1180" s="491">
        <f t="shared" si="5"/>
        <v>352042</v>
      </c>
      <c r="C1180" s="746">
        <v>296074</v>
      </c>
      <c r="D1180" s="747">
        <v>55968</v>
      </c>
    </row>
    <row r="1181" spans="1:4" x14ac:dyDescent="0.2">
      <c r="A1181" s="514">
        <v>44019</v>
      </c>
      <c r="B1181" s="491">
        <f t="shared" si="5"/>
        <v>352042</v>
      </c>
      <c r="C1181" s="746">
        <v>296074</v>
      </c>
      <c r="D1181" s="747">
        <v>55968</v>
      </c>
    </row>
    <row r="1182" spans="1:4" x14ac:dyDescent="0.2">
      <c r="A1182" s="514">
        <v>44020</v>
      </c>
      <c r="B1182" s="491">
        <f t="shared" si="5"/>
        <v>326415.09999999998</v>
      </c>
      <c r="C1182" s="746">
        <v>296074</v>
      </c>
      <c r="D1182" s="747">
        <v>30341.1</v>
      </c>
    </row>
    <row r="1183" spans="1:4" x14ac:dyDescent="0.2">
      <c r="A1183" s="514">
        <v>44021</v>
      </c>
      <c r="B1183" s="491">
        <f t="shared" si="5"/>
        <v>312231.88999999996</v>
      </c>
      <c r="C1183" s="746">
        <v>293240.15999999997</v>
      </c>
      <c r="D1183" s="747">
        <v>18991.73</v>
      </c>
    </row>
    <row r="1184" spans="1:4" x14ac:dyDescent="0.2">
      <c r="A1184" s="514">
        <v>44022</v>
      </c>
      <c r="B1184" s="491">
        <f t="shared" si="5"/>
        <v>311779.87</v>
      </c>
      <c r="C1184" s="746">
        <v>292787.87</v>
      </c>
      <c r="D1184" s="747">
        <v>18992</v>
      </c>
    </row>
    <row r="1185" spans="1:4" x14ac:dyDescent="0.2">
      <c r="A1185" s="514">
        <v>44025</v>
      </c>
      <c r="B1185" s="491">
        <f t="shared" si="5"/>
        <v>311474.96999999997</v>
      </c>
      <c r="C1185" s="746">
        <v>293190.87</v>
      </c>
      <c r="D1185" s="747">
        <v>18284.099999999999</v>
      </c>
    </row>
    <row r="1186" spans="1:4" x14ac:dyDescent="0.2">
      <c r="A1186" s="514">
        <v>44026</v>
      </c>
      <c r="B1186" s="491">
        <f t="shared" si="5"/>
        <v>315477.69</v>
      </c>
      <c r="C1186" s="746">
        <v>297193.59000000003</v>
      </c>
      <c r="D1186" s="747">
        <v>18284.099999999999</v>
      </c>
    </row>
    <row r="1187" spans="1:4" x14ac:dyDescent="0.2">
      <c r="A1187" s="514">
        <v>44027</v>
      </c>
      <c r="B1187" s="491">
        <f t="shared" si="5"/>
        <v>315594.98</v>
      </c>
      <c r="C1187" s="746">
        <v>297310.88</v>
      </c>
      <c r="D1187" s="747">
        <v>18284.099999999999</v>
      </c>
    </row>
    <row r="1188" spans="1:4" x14ac:dyDescent="0.2">
      <c r="A1188" s="514">
        <v>44028</v>
      </c>
      <c r="B1188" s="491">
        <f t="shared" si="5"/>
        <v>318211.11</v>
      </c>
      <c r="C1188" s="746">
        <v>299927.01</v>
      </c>
      <c r="D1188" s="747">
        <v>18284.099999999999</v>
      </c>
    </row>
    <row r="1189" spans="1:4" x14ac:dyDescent="0.2">
      <c r="A1189" s="514">
        <v>44029</v>
      </c>
      <c r="B1189" s="491">
        <f t="shared" si="5"/>
        <v>318211.09999999998</v>
      </c>
      <c r="C1189" s="746">
        <v>299927</v>
      </c>
      <c r="D1189" s="747">
        <v>18284.099999999999</v>
      </c>
    </row>
    <row r="1190" spans="1:4" x14ac:dyDescent="0.2">
      <c r="A1190" s="514">
        <v>44032</v>
      </c>
      <c r="B1190" s="491">
        <f t="shared" si="5"/>
        <v>339655.69</v>
      </c>
      <c r="C1190" s="746">
        <v>304374.55</v>
      </c>
      <c r="D1190" s="747">
        <v>35281.14</v>
      </c>
    </row>
    <row r="1191" spans="1:4" x14ac:dyDescent="0.2">
      <c r="A1191" s="514">
        <v>44033</v>
      </c>
      <c r="B1191" s="491">
        <f t="shared" si="5"/>
        <v>328838.90999999997</v>
      </c>
      <c r="C1191" s="746">
        <v>293557.90999999997</v>
      </c>
      <c r="D1191" s="747">
        <v>35281</v>
      </c>
    </row>
    <row r="1192" spans="1:4" x14ac:dyDescent="0.2">
      <c r="A1192" s="514">
        <v>44034</v>
      </c>
      <c r="B1192" s="491">
        <f t="shared" si="5"/>
        <v>315049.81</v>
      </c>
      <c r="C1192" s="746">
        <v>305336.09999999998</v>
      </c>
      <c r="D1192" s="747">
        <v>9713.7099999999991</v>
      </c>
    </row>
    <row r="1193" spans="1:4" x14ac:dyDescent="0.2">
      <c r="A1193" s="514">
        <v>44035</v>
      </c>
      <c r="B1193" s="491">
        <f t="shared" si="5"/>
        <v>308750.14999999997</v>
      </c>
      <c r="C1193" s="746">
        <v>307782.98</v>
      </c>
      <c r="D1193" s="747">
        <v>967.17</v>
      </c>
    </row>
    <row r="1194" spans="1:4" x14ac:dyDescent="0.2">
      <c r="A1194" s="514">
        <v>44036</v>
      </c>
      <c r="B1194" s="491">
        <f t="shared" si="5"/>
        <v>309653.73</v>
      </c>
      <c r="C1194" s="746">
        <v>309453.73</v>
      </c>
      <c r="D1194" s="747">
        <v>200</v>
      </c>
    </row>
    <row r="1195" spans="1:4" x14ac:dyDescent="0.2">
      <c r="A1195" s="514">
        <v>44039</v>
      </c>
      <c r="B1195" s="491">
        <f t="shared" si="5"/>
        <v>300292.32</v>
      </c>
      <c r="C1195" s="746">
        <v>300092.32</v>
      </c>
      <c r="D1195" s="747">
        <v>200</v>
      </c>
    </row>
    <row r="1196" spans="1:4" x14ac:dyDescent="0.2">
      <c r="A1196" s="514">
        <v>44040</v>
      </c>
      <c r="B1196" s="491">
        <f t="shared" si="5"/>
        <v>300248.32000000001</v>
      </c>
      <c r="C1196" s="746">
        <v>300048.32</v>
      </c>
      <c r="D1196" s="747">
        <v>200</v>
      </c>
    </row>
    <row r="1197" spans="1:4" x14ac:dyDescent="0.2">
      <c r="A1197" s="514">
        <v>44041</v>
      </c>
      <c r="B1197" s="491">
        <f t="shared" si="5"/>
        <v>298885.23</v>
      </c>
      <c r="C1197" s="746">
        <v>298685.23</v>
      </c>
      <c r="D1197" s="747">
        <v>200</v>
      </c>
    </row>
    <row r="1198" spans="1:4" x14ac:dyDescent="0.2">
      <c r="A1198" s="514">
        <v>44042</v>
      </c>
      <c r="B1198" s="491">
        <f t="shared" si="5"/>
        <v>298918.89</v>
      </c>
      <c r="C1198" s="746">
        <v>298718.89</v>
      </c>
      <c r="D1198" s="747">
        <v>200</v>
      </c>
    </row>
    <row r="1199" spans="1:4" x14ac:dyDescent="0.2">
      <c r="A1199" s="514">
        <v>44043</v>
      </c>
      <c r="B1199" s="491">
        <f t="shared" ref="B1199:B1262" si="8">C1199+D1199</f>
        <v>298919</v>
      </c>
      <c r="C1199" s="746">
        <v>298719</v>
      </c>
      <c r="D1199" s="747">
        <v>200</v>
      </c>
    </row>
    <row r="1200" spans="1:4" x14ac:dyDescent="0.2">
      <c r="A1200" s="514">
        <v>44046</v>
      </c>
      <c r="B1200" s="491">
        <f t="shared" si="8"/>
        <v>262470.13</v>
      </c>
      <c r="C1200" s="746">
        <v>262270.13</v>
      </c>
      <c r="D1200" s="747">
        <v>200</v>
      </c>
    </row>
    <row r="1201" spans="1:4" x14ac:dyDescent="0.2">
      <c r="A1201" s="514">
        <v>44047</v>
      </c>
      <c r="B1201" s="491">
        <f t="shared" si="8"/>
        <v>254560.85</v>
      </c>
      <c r="C1201" s="746">
        <v>254360.85</v>
      </c>
      <c r="D1201" s="747">
        <v>200</v>
      </c>
    </row>
    <row r="1202" spans="1:4" x14ac:dyDescent="0.2">
      <c r="A1202" s="514">
        <v>44048</v>
      </c>
      <c r="B1202" s="491">
        <f t="shared" si="8"/>
        <v>254561</v>
      </c>
      <c r="C1202" s="746">
        <v>254361</v>
      </c>
      <c r="D1202" s="747">
        <v>200</v>
      </c>
    </row>
    <row r="1203" spans="1:4" x14ac:dyDescent="0.2">
      <c r="A1203" s="514">
        <v>44049</v>
      </c>
      <c r="B1203" s="491">
        <f t="shared" si="8"/>
        <v>256783.26</v>
      </c>
      <c r="C1203" s="746">
        <v>256583.26</v>
      </c>
      <c r="D1203" s="747">
        <v>200</v>
      </c>
    </row>
    <row r="1204" spans="1:4" x14ac:dyDescent="0.2">
      <c r="A1204" s="514">
        <v>44050</v>
      </c>
      <c r="B1204" s="491">
        <f t="shared" si="8"/>
        <v>256330.97</v>
      </c>
      <c r="C1204" s="746">
        <v>256130.97</v>
      </c>
      <c r="D1204" s="747">
        <v>200</v>
      </c>
    </row>
    <row r="1205" spans="1:4" x14ac:dyDescent="0.2">
      <c r="A1205" s="514">
        <v>44053</v>
      </c>
      <c r="B1205" s="491">
        <f t="shared" si="8"/>
        <v>256331</v>
      </c>
      <c r="C1205" s="746">
        <v>256131</v>
      </c>
      <c r="D1205" s="747">
        <v>200</v>
      </c>
    </row>
    <row r="1206" spans="1:4" x14ac:dyDescent="0.2">
      <c r="A1206" s="514">
        <v>44054</v>
      </c>
      <c r="B1206" s="491">
        <f t="shared" si="8"/>
        <v>256331</v>
      </c>
      <c r="C1206" s="746">
        <v>256131</v>
      </c>
      <c r="D1206" s="747">
        <v>200</v>
      </c>
    </row>
    <row r="1207" spans="1:4" x14ac:dyDescent="0.2">
      <c r="A1207" s="514">
        <v>44055</v>
      </c>
      <c r="B1207" s="491">
        <f t="shared" si="8"/>
        <v>256420.97</v>
      </c>
      <c r="C1207" s="746">
        <v>256220.97</v>
      </c>
      <c r="D1207" s="747">
        <v>200</v>
      </c>
    </row>
    <row r="1208" spans="1:4" x14ac:dyDescent="0.2">
      <c r="A1208" s="514">
        <v>44056</v>
      </c>
      <c r="B1208" s="491">
        <f t="shared" si="8"/>
        <v>256421</v>
      </c>
      <c r="C1208" s="746">
        <v>256221</v>
      </c>
      <c r="D1208" s="747">
        <v>200</v>
      </c>
    </row>
    <row r="1209" spans="1:4" x14ac:dyDescent="0.2">
      <c r="A1209" s="514">
        <v>44057</v>
      </c>
      <c r="B1209" s="491">
        <f t="shared" si="8"/>
        <v>296838.09999999998</v>
      </c>
      <c r="C1209" s="746">
        <v>296638.09999999998</v>
      </c>
      <c r="D1209" s="747">
        <v>200</v>
      </c>
    </row>
    <row r="1210" spans="1:4" x14ac:dyDescent="0.2">
      <c r="A1210" s="514">
        <v>44060</v>
      </c>
      <c r="B1210" s="491">
        <f t="shared" si="8"/>
        <v>261012.14</v>
      </c>
      <c r="C1210" s="746">
        <v>260812.14</v>
      </c>
      <c r="D1210" s="747">
        <v>200</v>
      </c>
    </row>
    <row r="1211" spans="1:4" x14ac:dyDescent="0.2">
      <c r="A1211" s="514">
        <v>44061</v>
      </c>
      <c r="B1211" s="491">
        <f t="shared" si="8"/>
        <v>345553.24</v>
      </c>
      <c r="C1211" s="746">
        <v>345353.24</v>
      </c>
      <c r="D1211" s="747">
        <v>200</v>
      </c>
    </row>
    <row r="1212" spans="1:4" x14ac:dyDescent="0.2">
      <c r="A1212" s="514">
        <v>44062</v>
      </c>
      <c r="B1212" s="491">
        <f t="shared" si="8"/>
        <v>345720.24</v>
      </c>
      <c r="C1212" s="746">
        <v>345520.24</v>
      </c>
      <c r="D1212" s="747">
        <v>200</v>
      </c>
    </row>
    <row r="1213" spans="1:4" x14ac:dyDescent="0.2">
      <c r="A1213" s="514">
        <v>44063</v>
      </c>
      <c r="B1213" s="491">
        <f t="shared" si="8"/>
        <v>343380.65</v>
      </c>
      <c r="C1213" s="746">
        <v>343180.65</v>
      </c>
      <c r="D1213" s="747">
        <v>200</v>
      </c>
    </row>
    <row r="1214" spans="1:4" x14ac:dyDescent="0.2">
      <c r="A1214" s="514">
        <v>44064</v>
      </c>
      <c r="B1214" s="491">
        <f t="shared" si="8"/>
        <v>342938.36</v>
      </c>
      <c r="C1214" s="746">
        <v>342738.36</v>
      </c>
      <c r="D1214" s="747">
        <v>200</v>
      </c>
    </row>
    <row r="1215" spans="1:4" x14ac:dyDescent="0.2">
      <c r="A1215" s="514">
        <v>44067</v>
      </c>
      <c r="B1215" s="491">
        <f t="shared" si="8"/>
        <v>342938</v>
      </c>
      <c r="C1215" s="746">
        <v>342738</v>
      </c>
      <c r="D1215" s="747">
        <v>200</v>
      </c>
    </row>
    <row r="1216" spans="1:4" x14ac:dyDescent="0.2">
      <c r="A1216" s="514">
        <v>44068</v>
      </c>
      <c r="B1216" s="491">
        <f t="shared" si="8"/>
        <v>340515.33</v>
      </c>
      <c r="C1216" s="746">
        <v>340315.33</v>
      </c>
      <c r="D1216" s="747">
        <v>200</v>
      </c>
    </row>
    <row r="1217" spans="1:4" x14ac:dyDescent="0.2">
      <c r="A1217" s="514">
        <v>44069</v>
      </c>
      <c r="B1217" s="491">
        <f t="shared" si="8"/>
        <v>359946.57</v>
      </c>
      <c r="C1217" s="746">
        <v>359746.57</v>
      </c>
      <c r="D1217" s="747">
        <v>200</v>
      </c>
    </row>
    <row r="1218" spans="1:4" x14ac:dyDescent="0.2">
      <c r="A1218" s="514">
        <v>44070</v>
      </c>
      <c r="B1218" s="491">
        <f t="shared" si="8"/>
        <v>359946.57</v>
      </c>
      <c r="C1218" s="746">
        <v>359746.57</v>
      </c>
      <c r="D1218" s="747">
        <v>200</v>
      </c>
    </row>
    <row r="1219" spans="1:4" x14ac:dyDescent="0.2">
      <c r="A1219" s="514">
        <v>44071</v>
      </c>
      <c r="B1219" s="491">
        <f t="shared" si="8"/>
        <v>359946.57</v>
      </c>
      <c r="C1219" s="746">
        <v>359746.57</v>
      </c>
      <c r="D1219" s="747">
        <v>200</v>
      </c>
    </row>
    <row r="1220" spans="1:4" x14ac:dyDescent="0.2">
      <c r="A1220" s="514">
        <v>44074</v>
      </c>
      <c r="B1220" s="491">
        <f t="shared" si="8"/>
        <v>359946.57</v>
      </c>
      <c r="C1220" s="746">
        <v>359746.57</v>
      </c>
      <c r="D1220" s="747">
        <v>200</v>
      </c>
    </row>
    <row r="1221" spans="1:4" x14ac:dyDescent="0.2">
      <c r="A1221" s="514">
        <v>44075</v>
      </c>
      <c r="B1221" s="491">
        <f t="shared" si="8"/>
        <v>347126.06</v>
      </c>
      <c r="C1221" s="746">
        <v>346926.06</v>
      </c>
      <c r="D1221" s="747">
        <v>200</v>
      </c>
    </row>
    <row r="1222" spans="1:4" x14ac:dyDescent="0.2">
      <c r="A1222" s="514">
        <v>44076</v>
      </c>
      <c r="B1222" s="491">
        <f t="shared" si="8"/>
        <v>347075.06</v>
      </c>
      <c r="C1222" s="746">
        <v>346875.06</v>
      </c>
      <c r="D1222" s="747">
        <v>200</v>
      </c>
    </row>
    <row r="1223" spans="1:4" x14ac:dyDescent="0.2">
      <c r="A1223" s="514">
        <v>44077</v>
      </c>
      <c r="B1223" s="491">
        <f t="shared" si="8"/>
        <v>350416.44</v>
      </c>
      <c r="C1223" s="746">
        <v>350216.44</v>
      </c>
      <c r="D1223" s="747">
        <v>200</v>
      </c>
    </row>
    <row r="1224" spans="1:4" x14ac:dyDescent="0.2">
      <c r="A1224" s="514">
        <v>44078</v>
      </c>
      <c r="B1224" s="491">
        <f t="shared" si="8"/>
        <v>343258.81</v>
      </c>
      <c r="C1224" s="746">
        <v>343058.81</v>
      </c>
      <c r="D1224" s="747">
        <v>200</v>
      </c>
    </row>
    <row r="1225" spans="1:4" x14ac:dyDescent="0.2">
      <c r="A1225" s="514">
        <v>44081</v>
      </c>
      <c r="B1225" s="491">
        <f t="shared" si="8"/>
        <v>343258.81</v>
      </c>
      <c r="C1225" s="746">
        <v>343058.81</v>
      </c>
      <c r="D1225" s="747">
        <v>200</v>
      </c>
    </row>
    <row r="1226" spans="1:4" x14ac:dyDescent="0.2">
      <c r="A1226" s="514">
        <v>44082</v>
      </c>
      <c r="B1226" s="491">
        <f t="shared" si="8"/>
        <v>343258.81</v>
      </c>
      <c r="C1226" s="746">
        <v>343058.81</v>
      </c>
      <c r="D1226" s="747">
        <v>200</v>
      </c>
    </row>
    <row r="1227" spans="1:4" x14ac:dyDescent="0.2">
      <c r="A1227" s="514">
        <v>44083</v>
      </c>
      <c r="B1227" s="491">
        <f t="shared" si="8"/>
        <v>343258.81</v>
      </c>
      <c r="C1227" s="746">
        <v>343058.81</v>
      </c>
      <c r="D1227" s="747">
        <v>200</v>
      </c>
    </row>
    <row r="1228" spans="1:4" x14ac:dyDescent="0.2">
      <c r="A1228" s="514">
        <v>44084</v>
      </c>
      <c r="B1228" s="491">
        <f t="shared" si="8"/>
        <v>351420.85</v>
      </c>
      <c r="C1228" s="746">
        <v>351220.85</v>
      </c>
      <c r="D1228" s="747">
        <v>200</v>
      </c>
    </row>
    <row r="1229" spans="1:4" x14ac:dyDescent="0.2">
      <c r="A1229" s="514">
        <v>44085</v>
      </c>
      <c r="B1229" s="491">
        <f t="shared" si="8"/>
        <v>351420.85</v>
      </c>
      <c r="C1229" s="746">
        <v>351220.85</v>
      </c>
      <c r="D1229" s="747">
        <v>200</v>
      </c>
    </row>
    <row r="1230" spans="1:4" x14ac:dyDescent="0.2">
      <c r="A1230" s="514">
        <v>44088</v>
      </c>
      <c r="B1230" s="491">
        <f t="shared" si="8"/>
        <v>319295.21000000002</v>
      </c>
      <c r="C1230" s="746">
        <v>319095.21000000002</v>
      </c>
      <c r="D1230" s="747">
        <v>200</v>
      </c>
    </row>
    <row r="1231" spans="1:4" x14ac:dyDescent="0.2">
      <c r="A1231" s="514">
        <v>44089</v>
      </c>
      <c r="B1231" s="491">
        <f t="shared" si="8"/>
        <v>319390.87</v>
      </c>
      <c r="C1231" s="746">
        <v>319190.87</v>
      </c>
      <c r="D1231" s="747">
        <v>200</v>
      </c>
    </row>
    <row r="1232" spans="1:4" x14ac:dyDescent="0.2">
      <c r="A1232" s="514">
        <v>44090</v>
      </c>
      <c r="B1232" s="491">
        <f t="shared" si="8"/>
        <v>318221.31</v>
      </c>
      <c r="C1232" s="746">
        <v>318021.31</v>
      </c>
      <c r="D1232" s="747">
        <v>200</v>
      </c>
    </row>
    <row r="1233" spans="1:4" x14ac:dyDescent="0.2">
      <c r="A1233" s="514">
        <v>44091</v>
      </c>
      <c r="B1233" s="491">
        <f t="shared" si="8"/>
        <v>321494.34000000003</v>
      </c>
      <c r="C1233" s="746">
        <v>321294.34000000003</v>
      </c>
      <c r="D1233" s="747">
        <v>200</v>
      </c>
    </row>
    <row r="1234" spans="1:4" x14ac:dyDescent="0.2">
      <c r="A1234" s="514">
        <v>44092</v>
      </c>
      <c r="B1234" s="491">
        <f t="shared" si="8"/>
        <v>321052.05</v>
      </c>
      <c r="C1234" s="746">
        <v>320852.05</v>
      </c>
      <c r="D1234" s="747">
        <v>200</v>
      </c>
    </row>
    <row r="1235" spans="1:4" x14ac:dyDescent="0.2">
      <c r="A1235" s="514">
        <v>44095</v>
      </c>
      <c r="B1235" s="491">
        <f t="shared" si="8"/>
        <v>321052</v>
      </c>
      <c r="C1235" s="746">
        <v>320852</v>
      </c>
      <c r="D1235" s="747">
        <v>200</v>
      </c>
    </row>
    <row r="1236" spans="1:4" x14ac:dyDescent="0.2">
      <c r="A1236" s="514">
        <v>44096</v>
      </c>
      <c r="B1236" s="491">
        <f t="shared" si="8"/>
        <v>347075.9</v>
      </c>
      <c r="C1236" s="746">
        <v>346875.9</v>
      </c>
      <c r="D1236" s="747">
        <v>200</v>
      </c>
    </row>
    <row r="1237" spans="1:4" x14ac:dyDescent="0.2">
      <c r="A1237" s="514">
        <v>44097</v>
      </c>
      <c r="B1237" s="491">
        <f t="shared" si="8"/>
        <v>348950.3</v>
      </c>
      <c r="C1237" s="746">
        <v>348750.3</v>
      </c>
      <c r="D1237" s="747">
        <v>200</v>
      </c>
    </row>
    <row r="1238" spans="1:4" x14ac:dyDescent="0.2">
      <c r="A1238" s="514">
        <v>44098</v>
      </c>
      <c r="B1238" s="491">
        <f t="shared" si="8"/>
        <v>354130.18</v>
      </c>
      <c r="C1238" s="746">
        <v>353930.18</v>
      </c>
      <c r="D1238" s="747">
        <v>200</v>
      </c>
    </row>
    <row r="1239" spans="1:4" x14ac:dyDescent="0.2">
      <c r="A1239" s="514">
        <v>44099</v>
      </c>
      <c r="B1239" s="491">
        <f t="shared" si="8"/>
        <v>354086.18</v>
      </c>
      <c r="C1239" s="746">
        <v>353886.18</v>
      </c>
      <c r="D1239" s="747">
        <v>200</v>
      </c>
    </row>
    <row r="1240" spans="1:4" x14ac:dyDescent="0.2">
      <c r="A1240" s="514">
        <v>44102</v>
      </c>
      <c r="B1240" s="491">
        <f t="shared" si="8"/>
        <v>348608</v>
      </c>
      <c r="C1240" s="746">
        <v>348408</v>
      </c>
      <c r="D1240" s="747">
        <v>200</v>
      </c>
    </row>
    <row r="1241" spans="1:4" x14ac:dyDescent="0.2">
      <c r="A1241" s="514">
        <v>44103</v>
      </c>
      <c r="B1241" s="491">
        <f t="shared" si="8"/>
        <v>313591.89</v>
      </c>
      <c r="C1241" s="746">
        <v>313391.89</v>
      </c>
      <c r="D1241" s="747">
        <v>200</v>
      </c>
    </row>
    <row r="1242" spans="1:4" x14ac:dyDescent="0.2">
      <c r="A1242" s="514">
        <v>44104</v>
      </c>
      <c r="B1242" s="491">
        <f t="shared" si="8"/>
        <v>348489.68</v>
      </c>
      <c r="C1242" s="746">
        <v>348289.68</v>
      </c>
      <c r="D1242" s="747">
        <v>200</v>
      </c>
    </row>
    <row r="1243" spans="1:4" x14ac:dyDescent="0.2">
      <c r="A1243" s="514">
        <v>44105</v>
      </c>
      <c r="B1243" s="491">
        <f t="shared" si="8"/>
        <v>346634.44</v>
      </c>
      <c r="C1243" s="746">
        <v>346434.44</v>
      </c>
      <c r="D1243" s="747">
        <v>200</v>
      </c>
    </row>
    <row r="1244" spans="1:4" x14ac:dyDescent="0.2">
      <c r="A1244" s="514">
        <v>44106</v>
      </c>
      <c r="B1244" s="491">
        <f t="shared" si="8"/>
        <v>346390.75</v>
      </c>
      <c r="C1244" s="746">
        <v>346190.75</v>
      </c>
      <c r="D1244" s="747">
        <v>200</v>
      </c>
    </row>
    <row r="1245" spans="1:4" x14ac:dyDescent="0.2">
      <c r="A1245" s="514">
        <v>44109</v>
      </c>
      <c r="B1245" s="491">
        <f t="shared" si="8"/>
        <v>346313.83</v>
      </c>
      <c r="C1245" s="746">
        <v>346113.83</v>
      </c>
      <c r="D1245" s="747">
        <v>200</v>
      </c>
    </row>
    <row r="1246" spans="1:4" x14ac:dyDescent="0.2">
      <c r="A1246" s="514">
        <v>44110</v>
      </c>
      <c r="B1246" s="491">
        <f t="shared" si="8"/>
        <v>346084.99</v>
      </c>
      <c r="C1246" s="746">
        <v>345884.99</v>
      </c>
      <c r="D1246" s="747">
        <v>200</v>
      </c>
    </row>
    <row r="1247" spans="1:4" x14ac:dyDescent="0.2">
      <c r="A1247" s="514">
        <v>44111</v>
      </c>
      <c r="B1247" s="491">
        <f t="shared" si="8"/>
        <v>346085</v>
      </c>
      <c r="C1247" s="746">
        <v>345885</v>
      </c>
      <c r="D1247" s="747">
        <v>200</v>
      </c>
    </row>
    <row r="1248" spans="1:4" x14ac:dyDescent="0.2">
      <c r="A1248" s="514">
        <v>44112</v>
      </c>
      <c r="B1248" s="491">
        <f t="shared" si="8"/>
        <v>380839.99</v>
      </c>
      <c r="C1248" s="746">
        <v>380639.99</v>
      </c>
      <c r="D1248" s="747">
        <v>200</v>
      </c>
    </row>
    <row r="1249" spans="1:4" x14ac:dyDescent="0.2">
      <c r="A1249" s="514">
        <v>44113</v>
      </c>
      <c r="B1249" s="491">
        <f t="shared" si="8"/>
        <v>380840</v>
      </c>
      <c r="C1249" s="746">
        <v>380640</v>
      </c>
      <c r="D1249" s="747">
        <v>200</v>
      </c>
    </row>
    <row r="1250" spans="1:4" x14ac:dyDescent="0.2">
      <c r="A1250" s="514">
        <v>44116</v>
      </c>
      <c r="B1250" s="491">
        <f t="shared" si="8"/>
        <v>380840</v>
      </c>
      <c r="C1250" s="746">
        <v>380640</v>
      </c>
      <c r="D1250" s="747">
        <v>200</v>
      </c>
    </row>
    <row r="1251" spans="1:4" x14ac:dyDescent="0.2">
      <c r="A1251" s="514">
        <v>44117</v>
      </c>
      <c r="B1251" s="491">
        <f t="shared" si="8"/>
        <v>346182.3</v>
      </c>
      <c r="C1251" s="746">
        <v>345982.3</v>
      </c>
      <c r="D1251" s="747">
        <v>200</v>
      </c>
    </row>
    <row r="1252" spans="1:4" x14ac:dyDescent="0.2">
      <c r="A1252" s="514">
        <v>44118</v>
      </c>
      <c r="B1252" s="491">
        <f t="shared" si="8"/>
        <v>346103.46</v>
      </c>
      <c r="C1252" s="746">
        <v>345903.46</v>
      </c>
      <c r="D1252" s="747">
        <v>200</v>
      </c>
    </row>
    <row r="1253" spans="1:4" x14ac:dyDescent="0.2">
      <c r="A1253" s="514">
        <v>44119</v>
      </c>
      <c r="B1253" s="491">
        <f t="shared" si="8"/>
        <v>339569.88</v>
      </c>
      <c r="C1253" s="746">
        <v>339369.88</v>
      </c>
      <c r="D1253" s="747">
        <v>200</v>
      </c>
    </row>
    <row r="1254" spans="1:4" x14ac:dyDescent="0.2">
      <c r="A1254" s="514">
        <v>44120</v>
      </c>
      <c r="B1254" s="491">
        <f t="shared" si="8"/>
        <v>364967.49</v>
      </c>
      <c r="C1254" s="746">
        <v>364767.49</v>
      </c>
      <c r="D1254" s="747">
        <v>200</v>
      </c>
    </row>
    <row r="1255" spans="1:4" x14ac:dyDescent="0.2">
      <c r="A1255" s="514">
        <v>44123</v>
      </c>
      <c r="B1255" s="491">
        <f t="shared" si="8"/>
        <v>343525.33</v>
      </c>
      <c r="C1255" s="746">
        <v>343325.33</v>
      </c>
      <c r="D1255" s="747">
        <v>200</v>
      </c>
    </row>
    <row r="1256" spans="1:4" x14ac:dyDescent="0.2">
      <c r="A1256" s="514">
        <v>44124</v>
      </c>
      <c r="B1256" s="491">
        <f t="shared" si="8"/>
        <v>343525</v>
      </c>
      <c r="C1256" s="746">
        <v>343325</v>
      </c>
      <c r="D1256" s="747">
        <v>200</v>
      </c>
    </row>
    <row r="1257" spans="1:4" x14ac:dyDescent="0.2">
      <c r="A1257" s="514">
        <v>44125</v>
      </c>
      <c r="B1257" s="491">
        <f t="shared" si="8"/>
        <v>340413.21</v>
      </c>
      <c r="C1257" s="746">
        <v>340213.21</v>
      </c>
      <c r="D1257" s="747">
        <v>200</v>
      </c>
    </row>
    <row r="1258" spans="1:4" x14ac:dyDescent="0.2">
      <c r="A1258" s="514">
        <v>44126</v>
      </c>
      <c r="B1258" s="491">
        <f t="shared" si="8"/>
        <v>354245.2</v>
      </c>
      <c r="C1258" s="746">
        <v>354045.2</v>
      </c>
      <c r="D1258" s="747">
        <v>200</v>
      </c>
    </row>
    <row r="1259" spans="1:4" x14ac:dyDescent="0.2">
      <c r="A1259" s="514">
        <v>44127</v>
      </c>
      <c r="B1259" s="491">
        <f t="shared" si="8"/>
        <v>354086.35</v>
      </c>
      <c r="C1259" s="746">
        <v>353886.35</v>
      </c>
      <c r="D1259" s="747">
        <v>200</v>
      </c>
    </row>
    <row r="1260" spans="1:4" x14ac:dyDescent="0.2">
      <c r="A1260" s="514">
        <v>44130</v>
      </c>
      <c r="B1260" s="491">
        <f t="shared" si="8"/>
        <v>354086</v>
      </c>
      <c r="C1260" s="746">
        <v>353886</v>
      </c>
      <c r="D1260" s="747">
        <v>200</v>
      </c>
    </row>
    <row r="1261" spans="1:4" x14ac:dyDescent="0.2">
      <c r="A1261" s="514">
        <v>44131</v>
      </c>
      <c r="B1261" s="491">
        <f t="shared" si="8"/>
        <v>312941.49</v>
      </c>
      <c r="C1261" s="746">
        <v>312741.49</v>
      </c>
      <c r="D1261" s="747">
        <v>200</v>
      </c>
    </row>
    <row r="1262" spans="1:4" x14ac:dyDescent="0.2">
      <c r="A1262" s="514">
        <v>44132</v>
      </c>
      <c r="B1262" s="491">
        <f t="shared" si="8"/>
        <v>312941</v>
      </c>
      <c r="C1262" s="746">
        <v>312741</v>
      </c>
      <c r="D1262" s="747">
        <v>200</v>
      </c>
    </row>
    <row r="1263" spans="1:4" x14ac:dyDescent="0.2">
      <c r="A1263" s="514">
        <v>44133</v>
      </c>
      <c r="B1263" s="491">
        <f t="shared" ref="B1263:B1326" si="9">C1263+D1263</f>
        <v>312941</v>
      </c>
      <c r="C1263" s="746">
        <v>312741</v>
      </c>
      <c r="D1263" s="747">
        <v>200</v>
      </c>
    </row>
    <row r="1264" spans="1:4" x14ac:dyDescent="0.2">
      <c r="A1264" s="514">
        <v>44134</v>
      </c>
      <c r="B1264" s="491">
        <f t="shared" si="9"/>
        <v>336359.66</v>
      </c>
      <c r="C1264" s="746">
        <v>336159.66</v>
      </c>
      <c r="D1264" s="747">
        <v>200</v>
      </c>
    </row>
    <row r="1265" spans="1:4" x14ac:dyDescent="0.2">
      <c r="A1265" s="514">
        <v>44137</v>
      </c>
      <c r="B1265" s="491">
        <f t="shared" si="9"/>
        <v>336077.1</v>
      </c>
      <c r="C1265" s="746">
        <v>335877.1</v>
      </c>
      <c r="D1265" s="747">
        <v>200</v>
      </c>
    </row>
    <row r="1266" spans="1:4" x14ac:dyDescent="0.2">
      <c r="A1266" s="514">
        <v>44138</v>
      </c>
      <c r="B1266" s="491">
        <f t="shared" si="9"/>
        <v>336077</v>
      </c>
      <c r="C1266" s="746">
        <v>335877</v>
      </c>
      <c r="D1266" s="747">
        <v>200</v>
      </c>
    </row>
    <row r="1267" spans="1:4" x14ac:dyDescent="0.2">
      <c r="A1267" s="514">
        <v>44139</v>
      </c>
      <c r="B1267" s="491">
        <f t="shared" si="9"/>
        <v>328153.34999999998</v>
      </c>
      <c r="C1267" s="746">
        <v>327953.34999999998</v>
      </c>
      <c r="D1267" s="747">
        <v>200</v>
      </c>
    </row>
    <row r="1268" spans="1:4" x14ac:dyDescent="0.2">
      <c r="A1268" s="514">
        <v>44140</v>
      </c>
      <c r="B1268" s="491">
        <f t="shared" si="9"/>
        <v>328497.34999999998</v>
      </c>
      <c r="C1268" s="746">
        <v>328297.34999999998</v>
      </c>
      <c r="D1268" s="747">
        <v>200</v>
      </c>
    </row>
    <row r="1269" spans="1:4" x14ac:dyDescent="0.2">
      <c r="A1269" s="514">
        <v>44141</v>
      </c>
      <c r="B1269" s="491">
        <f t="shared" si="9"/>
        <v>327078.57</v>
      </c>
      <c r="C1269" s="746">
        <v>326878.57</v>
      </c>
      <c r="D1269" s="747">
        <v>200</v>
      </c>
    </row>
    <row r="1270" spans="1:4" x14ac:dyDescent="0.2">
      <c r="A1270" s="514">
        <v>44144</v>
      </c>
      <c r="B1270" s="491">
        <f t="shared" si="9"/>
        <v>293224.96000000002</v>
      </c>
      <c r="C1270" s="746">
        <v>293024.96000000002</v>
      </c>
      <c r="D1270" s="747">
        <v>200</v>
      </c>
    </row>
    <row r="1271" spans="1:4" x14ac:dyDescent="0.2">
      <c r="A1271" s="514">
        <v>44145</v>
      </c>
      <c r="B1271" s="491">
        <f t="shared" si="9"/>
        <v>297955.08</v>
      </c>
      <c r="C1271" s="746">
        <v>297755.08</v>
      </c>
      <c r="D1271" s="747">
        <v>200</v>
      </c>
    </row>
    <row r="1272" spans="1:4" x14ac:dyDescent="0.2">
      <c r="A1272" s="514">
        <v>44146</v>
      </c>
      <c r="B1272" s="491">
        <f t="shared" si="9"/>
        <v>297955</v>
      </c>
      <c r="C1272" s="746">
        <v>297755</v>
      </c>
      <c r="D1272" s="747">
        <v>200</v>
      </c>
    </row>
    <row r="1273" spans="1:4" x14ac:dyDescent="0.2">
      <c r="A1273" s="514">
        <v>44147</v>
      </c>
      <c r="B1273" s="491">
        <f t="shared" si="9"/>
        <v>301097.59000000003</v>
      </c>
      <c r="C1273" s="746">
        <v>300897.59000000003</v>
      </c>
      <c r="D1273" s="747">
        <v>200</v>
      </c>
    </row>
    <row r="1274" spans="1:4" x14ac:dyDescent="0.2">
      <c r="A1274" s="514">
        <v>44148</v>
      </c>
      <c r="B1274" s="491">
        <f t="shared" si="9"/>
        <v>300720.71000000002</v>
      </c>
      <c r="C1274" s="746">
        <v>300520.71000000002</v>
      </c>
      <c r="D1274" s="747">
        <v>200</v>
      </c>
    </row>
    <row r="1275" spans="1:4" x14ac:dyDescent="0.2">
      <c r="A1275" s="514">
        <v>44151</v>
      </c>
      <c r="B1275" s="491">
        <f t="shared" si="9"/>
        <v>300721</v>
      </c>
      <c r="C1275" s="746">
        <v>300521</v>
      </c>
      <c r="D1275" s="747">
        <v>200</v>
      </c>
    </row>
    <row r="1276" spans="1:4" x14ac:dyDescent="0.2">
      <c r="A1276" s="514">
        <v>44152</v>
      </c>
      <c r="B1276" s="491">
        <f t="shared" si="9"/>
        <v>300721</v>
      </c>
      <c r="C1276" s="746">
        <v>300521</v>
      </c>
      <c r="D1276" s="747">
        <v>200</v>
      </c>
    </row>
    <row r="1277" spans="1:4" x14ac:dyDescent="0.2">
      <c r="A1277" s="514">
        <v>44153</v>
      </c>
      <c r="B1277" s="491">
        <f t="shared" si="9"/>
        <v>298371.37</v>
      </c>
      <c r="C1277" s="746">
        <v>298171.37</v>
      </c>
      <c r="D1277" s="747">
        <v>200</v>
      </c>
    </row>
    <row r="1278" spans="1:4" x14ac:dyDescent="0.2">
      <c r="A1278" s="514">
        <v>44154</v>
      </c>
      <c r="B1278" s="491">
        <f t="shared" si="9"/>
        <v>298371</v>
      </c>
      <c r="C1278" s="746">
        <v>298171</v>
      </c>
      <c r="D1278" s="747">
        <v>200</v>
      </c>
    </row>
    <row r="1279" spans="1:4" x14ac:dyDescent="0.2">
      <c r="A1279" s="514">
        <v>44155</v>
      </c>
      <c r="B1279" s="491">
        <f t="shared" si="9"/>
        <v>297912.75</v>
      </c>
      <c r="C1279" s="746">
        <v>297712.75</v>
      </c>
      <c r="D1279" s="747">
        <v>200</v>
      </c>
    </row>
    <row r="1280" spans="1:4" x14ac:dyDescent="0.2">
      <c r="A1280" s="514">
        <v>44158</v>
      </c>
      <c r="B1280" s="491">
        <f t="shared" si="9"/>
        <v>260100.75</v>
      </c>
      <c r="C1280" s="746">
        <v>259900.75</v>
      </c>
      <c r="D1280" s="747">
        <v>200</v>
      </c>
    </row>
    <row r="1281" spans="1:4" x14ac:dyDescent="0.2">
      <c r="A1281" s="514">
        <v>44159</v>
      </c>
      <c r="B1281" s="491">
        <f t="shared" si="9"/>
        <v>260101</v>
      </c>
      <c r="C1281" s="746">
        <v>259901</v>
      </c>
      <c r="D1281" s="747">
        <v>200</v>
      </c>
    </row>
    <row r="1282" spans="1:4" x14ac:dyDescent="0.2">
      <c r="A1282" s="514">
        <v>44160</v>
      </c>
      <c r="B1282" s="491">
        <f t="shared" si="9"/>
        <v>259952.43</v>
      </c>
      <c r="C1282" s="746">
        <v>259752.43</v>
      </c>
      <c r="D1282" s="747">
        <v>200</v>
      </c>
    </row>
    <row r="1283" spans="1:4" x14ac:dyDescent="0.2">
      <c r="A1283" s="514">
        <v>44161</v>
      </c>
      <c r="B1283" s="491">
        <f t="shared" si="9"/>
        <v>259952</v>
      </c>
      <c r="C1283" s="746">
        <v>259752</v>
      </c>
      <c r="D1283" s="747">
        <v>200</v>
      </c>
    </row>
    <row r="1284" spans="1:4" x14ac:dyDescent="0.2">
      <c r="A1284" s="514">
        <v>44162</v>
      </c>
      <c r="B1284" s="491">
        <f t="shared" si="9"/>
        <v>261011.41</v>
      </c>
      <c r="C1284" s="746">
        <v>260811.41</v>
      </c>
      <c r="D1284" s="747">
        <v>200</v>
      </c>
    </row>
    <row r="1285" spans="1:4" x14ac:dyDescent="0.2">
      <c r="A1285" s="514">
        <v>44165</v>
      </c>
      <c r="B1285" s="491">
        <f t="shared" si="9"/>
        <v>256570.76</v>
      </c>
      <c r="C1285" s="746">
        <v>256370.76</v>
      </c>
      <c r="D1285" s="747">
        <v>200</v>
      </c>
    </row>
    <row r="1286" spans="1:4" x14ac:dyDescent="0.2">
      <c r="A1286" s="514">
        <v>44166</v>
      </c>
      <c r="B1286" s="491">
        <f t="shared" si="9"/>
        <v>256571</v>
      </c>
      <c r="C1286" s="746">
        <v>256371</v>
      </c>
      <c r="D1286" s="747">
        <v>200</v>
      </c>
    </row>
    <row r="1287" spans="1:4" x14ac:dyDescent="0.2">
      <c r="A1287" s="514">
        <v>44167</v>
      </c>
      <c r="B1287" s="491">
        <f t="shared" si="9"/>
        <v>343824.57</v>
      </c>
      <c r="C1287" s="746">
        <v>343624.57</v>
      </c>
      <c r="D1287" s="747">
        <v>200</v>
      </c>
    </row>
    <row r="1288" spans="1:4" x14ac:dyDescent="0.2">
      <c r="A1288" s="514">
        <v>44168</v>
      </c>
      <c r="B1288" s="491">
        <f t="shared" si="9"/>
        <v>348428.77</v>
      </c>
      <c r="C1288" s="746">
        <v>348228.77</v>
      </c>
      <c r="D1288" s="747">
        <v>200</v>
      </c>
    </row>
    <row r="1289" spans="1:4" x14ac:dyDescent="0.2">
      <c r="A1289" s="514">
        <v>44169</v>
      </c>
      <c r="B1289" s="491">
        <f t="shared" si="9"/>
        <v>348429</v>
      </c>
      <c r="C1289" s="746">
        <v>348229</v>
      </c>
      <c r="D1289" s="747">
        <v>200</v>
      </c>
    </row>
    <row r="1290" spans="1:4" x14ac:dyDescent="0.2">
      <c r="A1290" s="514">
        <v>44172</v>
      </c>
      <c r="B1290" s="491">
        <f t="shared" si="9"/>
        <v>313593.81</v>
      </c>
      <c r="C1290" s="746">
        <v>313393.81</v>
      </c>
      <c r="D1290" s="747">
        <v>200</v>
      </c>
    </row>
    <row r="1291" spans="1:4" x14ac:dyDescent="0.2">
      <c r="A1291" s="514">
        <v>44173</v>
      </c>
      <c r="B1291" s="491">
        <f t="shared" si="9"/>
        <v>320775.28999999998</v>
      </c>
      <c r="C1291" s="746">
        <v>320575.28999999998</v>
      </c>
      <c r="D1291" s="747">
        <v>200</v>
      </c>
    </row>
    <row r="1292" spans="1:4" x14ac:dyDescent="0.2">
      <c r="A1292" s="514">
        <v>44174</v>
      </c>
      <c r="B1292" s="491">
        <f t="shared" si="9"/>
        <v>321115.28999999998</v>
      </c>
      <c r="C1292" s="746">
        <v>320915.28999999998</v>
      </c>
      <c r="D1292" s="747">
        <v>200</v>
      </c>
    </row>
    <row r="1293" spans="1:4" x14ac:dyDescent="0.2">
      <c r="A1293" s="514">
        <v>44175</v>
      </c>
      <c r="B1293" s="491">
        <f t="shared" si="9"/>
        <v>314719.49</v>
      </c>
      <c r="C1293" s="746">
        <v>314519.49</v>
      </c>
      <c r="D1293" s="747">
        <v>200</v>
      </c>
    </row>
    <row r="1294" spans="1:4" x14ac:dyDescent="0.2">
      <c r="A1294" s="514">
        <v>44176</v>
      </c>
      <c r="B1294" s="491">
        <f t="shared" si="9"/>
        <v>317009.81</v>
      </c>
      <c r="C1294" s="746">
        <v>316809.81</v>
      </c>
      <c r="D1294" s="747">
        <v>200</v>
      </c>
    </row>
    <row r="1295" spans="1:4" x14ac:dyDescent="0.2">
      <c r="A1295" s="514">
        <v>44179</v>
      </c>
      <c r="B1295" s="491">
        <f t="shared" si="9"/>
        <v>316409.81</v>
      </c>
      <c r="C1295" s="746">
        <v>316209.81</v>
      </c>
      <c r="D1295" s="747">
        <v>200</v>
      </c>
    </row>
    <row r="1296" spans="1:4" x14ac:dyDescent="0.2">
      <c r="A1296" s="514">
        <v>44180</v>
      </c>
      <c r="B1296" s="491">
        <f t="shared" si="9"/>
        <v>316462.65000000002</v>
      </c>
      <c r="C1296" s="746">
        <v>316262.65000000002</v>
      </c>
      <c r="D1296" s="747">
        <v>200</v>
      </c>
    </row>
    <row r="1297" spans="1:4" x14ac:dyDescent="0.2">
      <c r="A1297" s="514">
        <v>44181</v>
      </c>
      <c r="B1297" s="491">
        <f t="shared" si="9"/>
        <v>337790.61</v>
      </c>
      <c r="C1297" s="746">
        <v>337590.61</v>
      </c>
      <c r="D1297" s="747">
        <v>200</v>
      </c>
    </row>
    <row r="1298" spans="1:4" x14ac:dyDescent="0.2">
      <c r="A1298" s="514">
        <v>44182</v>
      </c>
      <c r="B1298" s="491">
        <f t="shared" si="9"/>
        <v>337791</v>
      </c>
      <c r="C1298" s="746">
        <v>337591</v>
      </c>
      <c r="D1298" s="747">
        <v>200</v>
      </c>
    </row>
    <row r="1299" spans="1:4" x14ac:dyDescent="0.2">
      <c r="A1299" s="514">
        <v>44183</v>
      </c>
      <c r="B1299" s="491">
        <f t="shared" si="9"/>
        <v>337791</v>
      </c>
      <c r="C1299" s="746">
        <v>337591</v>
      </c>
      <c r="D1299" s="747">
        <v>200</v>
      </c>
    </row>
    <row r="1300" spans="1:4" x14ac:dyDescent="0.2">
      <c r="A1300" s="514">
        <v>44186</v>
      </c>
      <c r="B1300" s="491">
        <f t="shared" si="9"/>
        <v>304627.44</v>
      </c>
      <c r="C1300" s="746">
        <v>304427.44</v>
      </c>
      <c r="D1300" s="747">
        <v>200</v>
      </c>
    </row>
    <row r="1301" spans="1:4" x14ac:dyDescent="0.2">
      <c r="A1301" s="514">
        <v>44187</v>
      </c>
      <c r="B1301" s="491">
        <f t="shared" si="9"/>
        <v>304802.88</v>
      </c>
      <c r="C1301" s="746">
        <v>304602.88</v>
      </c>
      <c r="D1301" s="747">
        <v>200</v>
      </c>
    </row>
    <row r="1302" spans="1:4" x14ac:dyDescent="0.2">
      <c r="A1302" s="514">
        <v>44188</v>
      </c>
      <c r="B1302" s="491">
        <f t="shared" si="9"/>
        <v>304803</v>
      </c>
      <c r="C1302" s="746">
        <v>304603</v>
      </c>
      <c r="D1302" s="747">
        <v>200</v>
      </c>
    </row>
    <row r="1303" spans="1:4" x14ac:dyDescent="0.2">
      <c r="A1303" s="514">
        <v>44189</v>
      </c>
      <c r="B1303" s="491">
        <f t="shared" si="9"/>
        <v>338461.96</v>
      </c>
      <c r="C1303" s="746">
        <v>338261.96</v>
      </c>
      <c r="D1303" s="747">
        <v>200</v>
      </c>
    </row>
    <row r="1304" spans="1:4" x14ac:dyDescent="0.2">
      <c r="A1304" s="514">
        <v>44190</v>
      </c>
      <c r="B1304" s="491">
        <f t="shared" si="9"/>
        <v>338462</v>
      </c>
      <c r="C1304" s="746">
        <v>338262</v>
      </c>
      <c r="D1304" s="747">
        <v>200</v>
      </c>
    </row>
    <row r="1305" spans="1:4" x14ac:dyDescent="0.2">
      <c r="A1305" s="514">
        <v>44193</v>
      </c>
      <c r="B1305" s="491">
        <f t="shared" si="9"/>
        <v>373533.96</v>
      </c>
      <c r="C1305" s="746">
        <v>373333.96</v>
      </c>
      <c r="D1305" s="747">
        <v>200</v>
      </c>
    </row>
    <row r="1306" spans="1:4" x14ac:dyDescent="0.2">
      <c r="A1306" s="514">
        <v>44194</v>
      </c>
      <c r="B1306" s="491">
        <f t="shared" si="9"/>
        <v>373168.21</v>
      </c>
      <c r="C1306" s="746">
        <v>372968.21</v>
      </c>
      <c r="D1306" s="747">
        <v>200</v>
      </c>
    </row>
    <row r="1307" spans="1:4" x14ac:dyDescent="0.2">
      <c r="A1307" s="514">
        <v>44195</v>
      </c>
      <c r="B1307" s="491">
        <f t="shared" si="9"/>
        <v>375552.7</v>
      </c>
      <c r="C1307" s="746">
        <v>375352.7</v>
      </c>
      <c r="D1307" s="747">
        <v>200</v>
      </c>
    </row>
    <row r="1308" spans="1:4" x14ac:dyDescent="0.2">
      <c r="A1308" s="514">
        <v>44196</v>
      </c>
      <c r="B1308" s="491">
        <f t="shared" si="9"/>
        <v>397543.49</v>
      </c>
      <c r="C1308" s="746">
        <v>397343.49</v>
      </c>
      <c r="D1308" s="747">
        <v>200</v>
      </c>
    </row>
    <row r="1309" spans="1:4" x14ac:dyDescent="0.2">
      <c r="A1309" s="514">
        <v>44197</v>
      </c>
      <c r="B1309" s="491">
        <f t="shared" si="9"/>
        <v>397543</v>
      </c>
      <c r="C1309" s="746">
        <v>397343</v>
      </c>
      <c r="D1309" s="747">
        <v>200</v>
      </c>
    </row>
    <row r="1310" spans="1:4" x14ac:dyDescent="0.2">
      <c r="A1310" s="514">
        <v>44200</v>
      </c>
      <c r="B1310" s="491">
        <f t="shared" si="9"/>
        <v>380539.51</v>
      </c>
      <c r="C1310" s="746">
        <v>380339.51</v>
      </c>
      <c r="D1310" s="747">
        <v>200</v>
      </c>
    </row>
    <row r="1311" spans="1:4" x14ac:dyDescent="0.2">
      <c r="A1311" s="514">
        <v>44201</v>
      </c>
      <c r="B1311" s="491">
        <f t="shared" si="9"/>
        <v>349091.91</v>
      </c>
      <c r="C1311" s="746">
        <v>348891.91</v>
      </c>
      <c r="D1311" s="747">
        <v>200</v>
      </c>
    </row>
    <row r="1312" spans="1:4" x14ac:dyDescent="0.2">
      <c r="A1312" s="514">
        <v>44202</v>
      </c>
      <c r="B1312" s="491">
        <f t="shared" si="9"/>
        <v>349092</v>
      </c>
      <c r="C1312" s="746">
        <v>348892</v>
      </c>
      <c r="D1312" s="747">
        <v>200</v>
      </c>
    </row>
    <row r="1313" spans="1:4" x14ac:dyDescent="0.2">
      <c r="A1313" s="514">
        <v>44203</v>
      </c>
      <c r="B1313" s="491">
        <f t="shared" si="9"/>
        <v>409281.75</v>
      </c>
      <c r="C1313" s="746">
        <v>409081.75</v>
      </c>
      <c r="D1313" s="747">
        <v>200</v>
      </c>
    </row>
    <row r="1314" spans="1:4" x14ac:dyDescent="0.2">
      <c r="A1314" s="514">
        <v>44204</v>
      </c>
      <c r="B1314" s="491">
        <f t="shared" si="9"/>
        <v>408971.69</v>
      </c>
      <c r="C1314" s="746">
        <v>408771.69</v>
      </c>
      <c r="D1314" s="747">
        <v>200</v>
      </c>
    </row>
    <row r="1315" spans="1:4" x14ac:dyDescent="0.2">
      <c r="A1315" s="514">
        <v>44207</v>
      </c>
      <c r="B1315" s="491">
        <f t="shared" si="9"/>
        <v>408739.83</v>
      </c>
      <c r="C1315" s="746">
        <v>408539.83</v>
      </c>
      <c r="D1315" s="747">
        <v>200</v>
      </c>
    </row>
    <row r="1316" spans="1:4" x14ac:dyDescent="0.2">
      <c r="A1316" s="514">
        <v>44208</v>
      </c>
      <c r="B1316" s="491">
        <f t="shared" si="9"/>
        <v>401650.97</v>
      </c>
      <c r="C1316" s="746">
        <v>401450.97</v>
      </c>
      <c r="D1316" s="747">
        <v>200</v>
      </c>
    </row>
    <row r="1317" spans="1:4" x14ac:dyDescent="0.2">
      <c r="A1317" s="514">
        <v>44209</v>
      </c>
      <c r="B1317" s="491">
        <f t="shared" si="9"/>
        <v>413709.67</v>
      </c>
      <c r="C1317" s="746">
        <v>413509.67</v>
      </c>
      <c r="D1317" s="747">
        <v>200</v>
      </c>
    </row>
    <row r="1318" spans="1:4" x14ac:dyDescent="0.2">
      <c r="A1318" s="514">
        <v>44210</v>
      </c>
      <c r="B1318" s="491">
        <f t="shared" si="9"/>
        <v>412321.56</v>
      </c>
      <c r="C1318" s="746">
        <v>412121.56</v>
      </c>
      <c r="D1318" s="747">
        <v>200</v>
      </c>
    </row>
    <row r="1319" spans="1:4" x14ac:dyDescent="0.2">
      <c r="A1319" s="514">
        <v>44211</v>
      </c>
      <c r="B1319" s="491">
        <f t="shared" si="9"/>
        <v>412384.91</v>
      </c>
      <c r="C1319" s="746">
        <v>412184.91</v>
      </c>
      <c r="D1319" s="747">
        <v>200</v>
      </c>
    </row>
    <row r="1320" spans="1:4" x14ac:dyDescent="0.2">
      <c r="A1320" s="514">
        <v>44214</v>
      </c>
      <c r="B1320" s="491">
        <f t="shared" si="9"/>
        <v>412385</v>
      </c>
      <c r="C1320" s="746">
        <v>412185</v>
      </c>
      <c r="D1320" s="747">
        <v>200</v>
      </c>
    </row>
    <row r="1321" spans="1:4" x14ac:dyDescent="0.2">
      <c r="A1321" s="514">
        <v>44215</v>
      </c>
      <c r="B1321" s="491">
        <f t="shared" si="9"/>
        <v>417699.08</v>
      </c>
      <c r="C1321" s="746">
        <v>417499.08</v>
      </c>
      <c r="D1321" s="747">
        <v>200</v>
      </c>
    </row>
    <row r="1322" spans="1:4" x14ac:dyDescent="0.2">
      <c r="A1322" s="514">
        <v>44216</v>
      </c>
      <c r="B1322" s="549">
        <f t="shared" si="9"/>
        <v>417952.08</v>
      </c>
      <c r="C1322" s="746">
        <v>417752.08</v>
      </c>
      <c r="D1322" s="747">
        <v>200</v>
      </c>
    </row>
    <row r="1323" spans="1:4" x14ac:dyDescent="0.2">
      <c r="A1323" s="514">
        <v>44217</v>
      </c>
      <c r="B1323" s="491">
        <f t="shared" si="9"/>
        <v>402996.41</v>
      </c>
      <c r="C1323" s="746">
        <v>402796.41</v>
      </c>
      <c r="D1323" s="747">
        <v>200</v>
      </c>
    </row>
    <row r="1324" spans="1:4" x14ac:dyDescent="0.2">
      <c r="A1324" s="514">
        <v>44218</v>
      </c>
      <c r="B1324" s="491">
        <f t="shared" si="9"/>
        <v>402527.5</v>
      </c>
      <c r="C1324" s="746">
        <v>402327.5</v>
      </c>
      <c r="D1324" s="747">
        <v>200</v>
      </c>
    </row>
    <row r="1325" spans="1:4" x14ac:dyDescent="0.2">
      <c r="A1325" s="514">
        <v>44221</v>
      </c>
      <c r="B1325" s="491">
        <f t="shared" si="9"/>
        <v>402528</v>
      </c>
      <c r="C1325" s="746">
        <v>402328</v>
      </c>
      <c r="D1325" s="747">
        <v>200</v>
      </c>
    </row>
    <row r="1326" spans="1:4" x14ac:dyDescent="0.2">
      <c r="A1326" s="514">
        <v>44222</v>
      </c>
      <c r="B1326" s="491">
        <f t="shared" si="9"/>
        <v>399742.18</v>
      </c>
      <c r="C1326" s="746">
        <v>399542.18</v>
      </c>
      <c r="D1326" s="747">
        <v>200</v>
      </c>
    </row>
    <row r="1327" spans="1:4" x14ac:dyDescent="0.2">
      <c r="A1327" s="514">
        <v>44223</v>
      </c>
      <c r="B1327" s="491">
        <f t="shared" ref="B1327:B1390" si="10">C1327+D1327</f>
        <v>399886.18</v>
      </c>
      <c r="C1327" s="746">
        <v>399686.18</v>
      </c>
      <c r="D1327" s="747">
        <v>200</v>
      </c>
    </row>
    <row r="1328" spans="1:4" x14ac:dyDescent="0.2">
      <c r="A1328" s="514">
        <v>44224</v>
      </c>
      <c r="B1328" s="491">
        <f t="shared" si="10"/>
        <v>393628.47</v>
      </c>
      <c r="C1328" s="746">
        <v>393428.47</v>
      </c>
      <c r="D1328" s="747">
        <v>200</v>
      </c>
    </row>
    <row r="1329" spans="1:4" x14ac:dyDescent="0.2">
      <c r="A1329" s="514">
        <v>44225</v>
      </c>
      <c r="B1329" s="491">
        <f t="shared" si="10"/>
        <v>393628</v>
      </c>
      <c r="C1329" s="746">
        <v>393428</v>
      </c>
      <c r="D1329" s="747">
        <v>200</v>
      </c>
    </row>
    <row r="1330" spans="1:4" x14ac:dyDescent="0.2">
      <c r="A1330" s="514">
        <v>44228</v>
      </c>
      <c r="B1330" s="491">
        <f t="shared" si="10"/>
        <v>393628</v>
      </c>
      <c r="C1330" s="746">
        <v>393428</v>
      </c>
      <c r="D1330" s="747">
        <v>200</v>
      </c>
    </row>
    <row r="1331" spans="1:4" x14ac:dyDescent="0.2">
      <c r="A1331" s="514">
        <v>44229</v>
      </c>
      <c r="B1331" s="491">
        <f t="shared" si="10"/>
        <v>359326.4</v>
      </c>
      <c r="C1331" s="746">
        <v>359126.4</v>
      </c>
      <c r="D1331" s="747">
        <v>200</v>
      </c>
    </row>
    <row r="1332" spans="1:4" x14ac:dyDescent="0.2">
      <c r="A1332" s="514">
        <v>44230</v>
      </c>
      <c r="B1332" s="491">
        <f t="shared" si="10"/>
        <v>359521.7</v>
      </c>
      <c r="C1332" s="746">
        <v>359321.7</v>
      </c>
      <c r="D1332" s="747">
        <v>200</v>
      </c>
    </row>
    <row r="1333" spans="1:4" x14ac:dyDescent="0.2">
      <c r="A1333" s="514">
        <v>44231</v>
      </c>
      <c r="B1333" s="491">
        <f t="shared" si="10"/>
        <v>359522</v>
      </c>
      <c r="C1333" s="746">
        <v>359322</v>
      </c>
      <c r="D1333" s="747">
        <v>200</v>
      </c>
    </row>
    <row r="1334" spans="1:4" x14ac:dyDescent="0.2">
      <c r="A1334" s="514">
        <v>44232</v>
      </c>
      <c r="B1334" s="491">
        <f t="shared" si="10"/>
        <v>347055.28</v>
      </c>
      <c r="C1334" s="746">
        <v>346855.28</v>
      </c>
      <c r="D1334" s="747">
        <v>200</v>
      </c>
    </row>
    <row r="1335" spans="1:4" x14ac:dyDescent="0.2">
      <c r="A1335" s="514">
        <v>44235</v>
      </c>
      <c r="B1335" s="491">
        <f t="shared" si="10"/>
        <v>369629.13</v>
      </c>
      <c r="C1335" s="746">
        <v>369429.13</v>
      </c>
      <c r="D1335" s="747">
        <v>200</v>
      </c>
    </row>
    <row r="1336" spans="1:4" x14ac:dyDescent="0.2">
      <c r="A1336" s="514">
        <v>44236</v>
      </c>
      <c r="B1336" s="491">
        <f t="shared" si="10"/>
        <v>382278.77</v>
      </c>
      <c r="C1336" s="746">
        <v>382078.77</v>
      </c>
      <c r="D1336" s="747">
        <v>200</v>
      </c>
    </row>
    <row r="1337" spans="1:4" x14ac:dyDescent="0.2">
      <c r="A1337" s="514">
        <v>44237</v>
      </c>
      <c r="B1337" s="491">
        <f t="shared" si="10"/>
        <v>382279</v>
      </c>
      <c r="C1337" s="746">
        <v>382079</v>
      </c>
      <c r="D1337" s="747">
        <v>200</v>
      </c>
    </row>
    <row r="1338" spans="1:4" x14ac:dyDescent="0.2">
      <c r="A1338" s="514">
        <v>44238</v>
      </c>
      <c r="B1338" s="491">
        <f t="shared" si="10"/>
        <v>378310.6</v>
      </c>
      <c r="C1338" s="746">
        <v>378110.6</v>
      </c>
      <c r="D1338" s="747">
        <v>200</v>
      </c>
    </row>
    <row r="1339" spans="1:4" x14ac:dyDescent="0.2">
      <c r="A1339" s="514">
        <v>44239</v>
      </c>
      <c r="B1339" s="491">
        <f t="shared" si="10"/>
        <v>378369.91</v>
      </c>
      <c r="C1339" s="746">
        <v>378169.91</v>
      </c>
      <c r="D1339" s="747">
        <v>200</v>
      </c>
    </row>
    <row r="1340" spans="1:4" x14ac:dyDescent="0.2">
      <c r="A1340" s="514">
        <v>44242</v>
      </c>
      <c r="B1340" s="491">
        <f t="shared" si="10"/>
        <v>378370</v>
      </c>
      <c r="C1340" s="746">
        <v>378170</v>
      </c>
      <c r="D1340" s="747">
        <v>200</v>
      </c>
    </row>
    <row r="1341" spans="1:4" x14ac:dyDescent="0.2">
      <c r="A1341" s="514">
        <v>44243</v>
      </c>
      <c r="B1341" s="549">
        <f t="shared" si="10"/>
        <v>345442.81</v>
      </c>
      <c r="C1341" s="746">
        <v>345242.81</v>
      </c>
      <c r="D1341" s="747">
        <v>200</v>
      </c>
    </row>
    <row r="1342" spans="1:4" x14ac:dyDescent="0.2">
      <c r="A1342" s="514">
        <v>44244</v>
      </c>
      <c r="B1342" s="491">
        <f t="shared" si="10"/>
        <v>345443</v>
      </c>
      <c r="C1342" s="746">
        <v>345243</v>
      </c>
      <c r="D1342" s="747">
        <v>200</v>
      </c>
    </row>
    <row r="1343" spans="1:4" x14ac:dyDescent="0.2">
      <c r="A1343" s="514">
        <v>44245</v>
      </c>
      <c r="B1343" s="491">
        <f t="shared" si="10"/>
        <v>345443</v>
      </c>
      <c r="C1343" s="746">
        <v>345243</v>
      </c>
      <c r="D1343" s="747">
        <v>200</v>
      </c>
    </row>
    <row r="1344" spans="1:4" x14ac:dyDescent="0.2">
      <c r="A1344" s="514">
        <v>44246</v>
      </c>
      <c r="B1344" s="491">
        <f t="shared" si="10"/>
        <v>364859.97</v>
      </c>
      <c r="C1344" s="746">
        <v>364659.97</v>
      </c>
      <c r="D1344" s="747">
        <v>200</v>
      </c>
    </row>
    <row r="1345" spans="1:4" x14ac:dyDescent="0.2">
      <c r="A1345" s="514">
        <v>44249</v>
      </c>
      <c r="B1345" s="491">
        <f t="shared" si="10"/>
        <v>368452.97</v>
      </c>
      <c r="C1345" s="746">
        <v>368252.97</v>
      </c>
      <c r="D1345" s="747">
        <v>200</v>
      </c>
    </row>
    <row r="1346" spans="1:4" x14ac:dyDescent="0.2">
      <c r="A1346" s="514">
        <v>44250</v>
      </c>
      <c r="B1346" s="491">
        <f t="shared" si="10"/>
        <v>368407.65</v>
      </c>
      <c r="C1346" s="746">
        <v>368207.65</v>
      </c>
      <c r="D1346" s="747">
        <v>200</v>
      </c>
    </row>
    <row r="1347" spans="1:4" x14ac:dyDescent="0.2">
      <c r="A1347" s="514">
        <v>44251</v>
      </c>
      <c r="B1347" s="491">
        <f t="shared" si="10"/>
        <v>373249.01</v>
      </c>
      <c r="C1347" s="746">
        <v>373049.01</v>
      </c>
      <c r="D1347" s="747">
        <v>200</v>
      </c>
    </row>
    <row r="1348" spans="1:4" x14ac:dyDescent="0.2">
      <c r="A1348" s="514">
        <v>44252</v>
      </c>
      <c r="B1348" s="491">
        <f t="shared" si="10"/>
        <v>373249.01</v>
      </c>
      <c r="C1348" s="746">
        <v>373049.01</v>
      </c>
      <c r="D1348" s="747">
        <v>200</v>
      </c>
    </row>
    <row r="1349" spans="1:4" x14ac:dyDescent="0.2">
      <c r="A1349" s="514">
        <v>44253</v>
      </c>
      <c r="B1349" s="491">
        <f t="shared" si="10"/>
        <v>404359.4</v>
      </c>
      <c r="C1349" s="746">
        <v>404159.4</v>
      </c>
      <c r="D1349" s="747">
        <v>200</v>
      </c>
    </row>
    <row r="1350" spans="1:4" x14ac:dyDescent="0.2">
      <c r="A1350" s="514">
        <v>44256</v>
      </c>
      <c r="B1350" s="491">
        <f t="shared" si="10"/>
        <v>398860.85</v>
      </c>
      <c r="C1350" s="746">
        <v>398660.85</v>
      </c>
      <c r="D1350" s="747">
        <v>200</v>
      </c>
    </row>
    <row r="1351" spans="1:4" x14ac:dyDescent="0.2">
      <c r="A1351" s="514">
        <v>44257</v>
      </c>
      <c r="B1351" s="491">
        <f t="shared" si="10"/>
        <v>365079.52</v>
      </c>
      <c r="C1351" s="746">
        <v>364879.52</v>
      </c>
      <c r="D1351" s="747">
        <v>200</v>
      </c>
    </row>
    <row r="1352" spans="1:4" x14ac:dyDescent="0.2">
      <c r="A1352" s="514">
        <v>44258</v>
      </c>
      <c r="B1352" s="491">
        <f t="shared" si="10"/>
        <v>406124.9</v>
      </c>
      <c r="C1352" s="746">
        <v>405924.9</v>
      </c>
      <c r="D1352" s="747">
        <v>200</v>
      </c>
    </row>
    <row r="1353" spans="1:4" x14ac:dyDescent="0.2">
      <c r="A1353" s="514">
        <v>44259</v>
      </c>
      <c r="B1353" s="491">
        <f t="shared" si="10"/>
        <v>409953.76</v>
      </c>
      <c r="C1353" s="746">
        <v>409753.76</v>
      </c>
      <c r="D1353" s="747">
        <v>200</v>
      </c>
    </row>
    <row r="1354" spans="1:4" x14ac:dyDescent="0.2">
      <c r="A1354" s="514">
        <v>44260</v>
      </c>
      <c r="B1354" s="491">
        <f t="shared" si="10"/>
        <v>400983.29</v>
      </c>
      <c r="C1354" s="746">
        <v>400783.29</v>
      </c>
      <c r="D1354" s="747">
        <v>200</v>
      </c>
    </row>
    <row r="1355" spans="1:4" x14ac:dyDescent="0.2">
      <c r="A1355" s="514">
        <v>44263</v>
      </c>
      <c r="B1355" s="491">
        <f t="shared" si="10"/>
        <v>400983</v>
      </c>
      <c r="C1355" s="746">
        <v>400783</v>
      </c>
      <c r="D1355" s="747">
        <v>200</v>
      </c>
    </row>
    <row r="1356" spans="1:4" x14ac:dyDescent="0.2">
      <c r="A1356" s="514">
        <v>44264</v>
      </c>
      <c r="B1356" s="491">
        <f t="shared" si="10"/>
        <v>399908.16</v>
      </c>
      <c r="C1356" s="746">
        <v>399708.15999999997</v>
      </c>
      <c r="D1356" s="747">
        <v>200</v>
      </c>
    </row>
    <row r="1357" spans="1:4" x14ac:dyDescent="0.2">
      <c r="A1357" s="514">
        <v>44265</v>
      </c>
      <c r="B1357" s="491">
        <f t="shared" si="10"/>
        <v>399908</v>
      </c>
      <c r="C1357" s="746">
        <v>399708</v>
      </c>
      <c r="D1357" s="747">
        <v>200</v>
      </c>
    </row>
    <row r="1358" spans="1:4" x14ac:dyDescent="0.2">
      <c r="A1358" s="514">
        <v>44266</v>
      </c>
      <c r="B1358" s="491">
        <f t="shared" si="10"/>
        <v>399908</v>
      </c>
      <c r="C1358" s="746">
        <v>399708</v>
      </c>
      <c r="D1358" s="747">
        <v>200</v>
      </c>
    </row>
    <row r="1359" spans="1:4" x14ac:dyDescent="0.2">
      <c r="A1359" s="514">
        <v>44267</v>
      </c>
      <c r="B1359" s="491">
        <f t="shared" si="10"/>
        <v>399766.22</v>
      </c>
      <c r="C1359" s="746">
        <v>399566.22</v>
      </c>
      <c r="D1359" s="747">
        <v>200</v>
      </c>
    </row>
    <row r="1360" spans="1:4" x14ac:dyDescent="0.2">
      <c r="A1360" s="514">
        <v>44270</v>
      </c>
      <c r="B1360" s="491">
        <f t="shared" si="10"/>
        <v>366689.23</v>
      </c>
      <c r="C1360" s="746">
        <v>366489.23</v>
      </c>
      <c r="D1360" s="747">
        <v>200</v>
      </c>
    </row>
    <row r="1361" spans="1:4" x14ac:dyDescent="0.2">
      <c r="A1361" s="514">
        <v>44271</v>
      </c>
      <c r="B1361" s="491">
        <f t="shared" si="10"/>
        <v>392136.38</v>
      </c>
      <c r="C1361" s="746">
        <v>391936.38</v>
      </c>
      <c r="D1361" s="747">
        <v>200</v>
      </c>
    </row>
    <row r="1362" spans="1:4" x14ac:dyDescent="0.2">
      <c r="A1362" s="514">
        <v>44272</v>
      </c>
      <c r="B1362" s="491">
        <f t="shared" si="10"/>
        <v>414771.89</v>
      </c>
      <c r="C1362" s="746">
        <v>414571.89</v>
      </c>
      <c r="D1362" s="747">
        <v>200</v>
      </c>
    </row>
    <row r="1363" spans="1:4" x14ac:dyDescent="0.2">
      <c r="A1363" s="514">
        <v>44273</v>
      </c>
      <c r="B1363" s="491">
        <f t="shared" si="10"/>
        <v>442093.39</v>
      </c>
      <c r="C1363" s="746">
        <v>441893.39</v>
      </c>
      <c r="D1363" s="747">
        <v>200</v>
      </c>
    </row>
    <row r="1364" spans="1:4" x14ac:dyDescent="0.2">
      <c r="A1364" s="514">
        <v>44274</v>
      </c>
      <c r="B1364" s="491">
        <f t="shared" si="10"/>
        <v>439966.74</v>
      </c>
      <c r="C1364" s="746">
        <v>439766.74</v>
      </c>
      <c r="D1364" s="747">
        <v>200</v>
      </c>
    </row>
    <row r="1365" spans="1:4" x14ac:dyDescent="0.2">
      <c r="A1365" s="514">
        <v>44277</v>
      </c>
      <c r="B1365" s="491">
        <f t="shared" si="10"/>
        <v>439966.74</v>
      </c>
      <c r="C1365" s="746">
        <v>439766.74</v>
      </c>
      <c r="D1365" s="747">
        <v>200</v>
      </c>
    </row>
    <row r="1366" spans="1:4" x14ac:dyDescent="0.2">
      <c r="A1366" s="514">
        <v>44278</v>
      </c>
      <c r="B1366" s="491">
        <f t="shared" si="10"/>
        <v>439966.74</v>
      </c>
      <c r="C1366" s="746">
        <v>439766.74</v>
      </c>
      <c r="D1366" s="747">
        <v>200</v>
      </c>
    </row>
    <row r="1367" spans="1:4" x14ac:dyDescent="0.2">
      <c r="A1367" s="514">
        <v>44279</v>
      </c>
      <c r="B1367" s="491">
        <f t="shared" si="10"/>
        <v>440251.74</v>
      </c>
      <c r="C1367" s="746">
        <v>440051.74</v>
      </c>
      <c r="D1367" s="747">
        <v>200</v>
      </c>
    </row>
    <row r="1368" spans="1:4" x14ac:dyDescent="0.2">
      <c r="A1368" s="514">
        <v>44280</v>
      </c>
      <c r="B1368" s="491">
        <f t="shared" si="10"/>
        <v>440252</v>
      </c>
      <c r="C1368" s="746">
        <v>440052</v>
      </c>
      <c r="D1368" s="747">
        <v>200</v>
      </c>
    </row>
    <row r="1369" spans="1:4" x14ac:dyDescent="0.2">
      <c r="A1369" s="514">
        <v>44281</v>
      </c>
      <c r="B1369" s="491">
        <f t="shared" si="10"/>
        <v>424641.64</v>
      </c>
      <c r="C1369" s="746">
        <v>424441.64</v>
      </c>
      <c r="D1369" s="747">
        <v>200</v>
      </c>
    </row>
    <row r="1370" spans="1:4" x14ac:dyDescent="0.2">
      <c r="A1370" s="514">
        <v>44284</v>
      </c>
      <c r="B1370" s="491">
        <f t="shared" si="10"/>
        <v>527059.86</v>
      </c>
      <c r="C1370" s="746">
        <v>526859.86</v>
      </c>
      <c r="D1370" s="747">
        <v>200</v>
      </c>
    </row>
    <row r="1371" spans="1:4" x14ac:dyDescent="0.2">
      <c r="A1371" s="514">
        <v>44285</v>
      </c>
      <c r="B1371" s="491">
        <f t="shared" si="10"/>
        <v>552226.89</v>
      </c>
      <c r="C1371" s="746">
        <v>552026.89</v>
      </c>
      <c r="D1371" s="747">
        <v>200</v>
      </c>
    </row>
    <row r="1372" spans="1:4" x14ac:dyDescent="0.2">
      <c r="A1372" s="514">
        <v>44286</v>
      </c>
      <c r="B1372" s="491">
        <f t="shared" si="10"/>
        <v>552439.89</v>
      </c>
      <c r="C1372" s="746">
        <v>552239.89</v>
      </c>
      <c r="D1372" s="747">
        <v>200</v>
      </c>
    </row>
    <row r="1373" spans="1:4" x14ac:dyDescent="0.2">
      <c r="A1373" s="514">
        <v>44287</v>
      </c>
      <c r="B1373" s="491">
        <f t="shared" si="10"/>
        <v>552439.89</v>
      </c>
      <c r="C1373" s="746">
        <v>552239.89</v>
      </c>
      <c r="D1373" s="747">
        <v>200</v>
      </c>
    </row>
    <row r="1374" spans="1:4" x14ac:dyDescent="0.2">
      <c r="A1374" s="514">
        <v>44288</v>
      </c>
      <c r="B1374" s="491">
        <f t="shared" si="10"/>
        <v>552129.82999999996</v>
      </c>
      <c r="C1374" s="746">
        <v>551929.82999999996</v>
      </c>
      <c r="D1374" s="747">
        <v>200</v>
      </c>
    </row>
    <row r="1375" spans="1:4" x14ac:dyDescent="0.2">
      <c r="A1375" s="514">
        <v>44291</v>
      </c>
      <c r="B1375" s="491">
        <f t="shared" si="10"/>
        <v>552130</v>
      </c>
      <c r="C1375" s="746">
        <v>551930</v>
      </c>
      <c r="D1375" s="747">
        <v>200</v>
      </c>
    </row>
    <row r="1376" spans="1:4" x14ac:dyDescent="0.2">
      <c r="A1376" s="514">
        <v>44292</v>
      </c>
      <c r="B1376" s="491">
        <f t="shared" si="10"/>
        <v>552377.82999999996</v>
      </c>
      <c r="C1376" s="746">
        <v>552177.82999999996</v>
      </c>
      <c r="D1376" s="747">
        <v>200</v>
      </c>
    </row>
    <row r="1377" spans="1:4" x14ac:dyDescent="0.2">
      <c r="A1377" s="514">
        <v>44293</v>
      </c>
      <c r="B1377" s="491">
        <f t="shared" si="10"/>
        <v>552378</v>
      </c>
      <c r="C1377" s="746">
        <v>552178</v>
      </c>
      <c r="D1377" s="747">
        <v>200</v>
      </c>
    </row>
    <row r="1378" spans="1:4" x14ac:dyDescent="0.2">
      <c r="A1378" s="514">
        <v>44294</v>
      </c>
      <c r="B1378" s="549">
        <f t="shared" si="10"/>
        <v>553005.37</v>
      </c>
      <c r="C1378" s="746">
        <v>552805.37</v>
      </c>
      <c r="D1378" s="747">
        <v>200</v>
      </c>
    </row>
    <row r="1379" spans="1:4" x14ac:dyDescent="0.2">
      <c r="A1379" s="514">
        <v>44295</v>
      </c>
      <c r="B1379" s="491">
        <f t="shared" si="10"/>
        <v>553005</v>
      </c>
      <c r="C1379" s="746">
        <v>552805</v>
      </c>
      <c r="D1379" s="747">
        <v>200</v>
      </c>
    </row>
    <row r="1380" spans="1:4" x14ac:dyDescent="0.2">
      <c r="A1380" s="514">
        <v>44298</v>
      </c>
      <c r="B1380" s="491">
        <f t="shared" si="10"/>
        <v>536104.62</v>
      </c>
      <c r="C1380" s="746">
        <v>535904.62</v>
      </c>
      <c r="D1380" s="747">
        <v>200</v>
      </c>
    </row>
    <row r="1381" spans="1:4" x14ac:dyDescent="0.2">
      <c r="A1381" s="514">
        <v>44299</v>
      </c>
      <c r="B1381" s="491">
        <f t="shared" si="10"/>
        <v>503475.62</v>
      </c>
      <c r="C1381" s="746">
        <v>503275.62</v>
      </c>
      <c r="D1381" s="747">
        <v>200</v>
      </c>
    </row>
    <row r="1382" spans="1:4" x14ac:dyDescent="0.2">
      <c r="A1382" s="514">
        <v>44300</v>
      </c>
      <c r="B1382" s="491">
        <f t="shared" si="10"/>
        <v>515272.72</v>
      </c>
      <c r="C1382" s="746">
        <v>515072.72</v>
      </c>
      <c r="D1382" s="747">
        <v>200</v>
      </c>
    </row>
    <row r="1383" spans="1:4" x14ac:dyDescent="0.2">
      <c r="A1383" s="514">
        <v>44301</v>
      </c>
      <c r="B1383" s="491">
        <f t="shared" si="10"/>
        <v>519939.48</v>
      </c>
      <c r="C1383" s="746">
        <v>519739.48</v>
      </c>
      <c r="D1383" s="747">
        <v>200</v>
      </c>
    </row>
    <row r="1384" spans="1:4" x14ac:dyDescent="0.2">
      <c r="A1384" s="514">
        <v>44302</v>
      </c>
      <c r="B1384" s="491">
        <f t="shared" si="10"/>
        <v>518569.61</v>
      </c>
      <c r="C1384" s="746">
        <v>518369.61</v>
      </c>
      <c r="D1384" s="747">
        <v>200</v>
      </c>
    </row>
    <row r="1385" spans="1:4" x14ac:dyDescent="0.2">
      <c r="A1385" s="514">
        <v>44305</v>
      </c>
      <c r="B1385" s="491">
        <f t="shared" si="10"/>
        <v>518755.61</v>
      </c>
      <c r="C1385" s="746">
        <v>518555.61</v>
      </c>
      <c r="D1385" s="747">
        <v>200</v>
      </c>
    </row>
    <row r="1386" spans="1:4" x14ac:dyDescent="0.2">
      <c r="A1386" s="514">
        <v>44306</v>
      </c>
      <c r="B1386" s="491">
        <f t="shared" si="10"/>
        <v>518755.61</v>
      </c>
      <c r="C1386" s="746">
        <v>518555.61</v>
      </c>
      <c r="D1386" s="747">
        <v>200</v>
      </c>
    </row>
    <row r="1387" spans="1:4" x14ac:dyDescent="0.2">
      <c r="A1387" s="514">
        <v>44307</v>
      </c>
      <c r="B1387" s="491">
        <f t="shared" si="10"/>
        <v>518755.61</v>
      </c>
      <c r="C1387" s="746">
        <v>518555.61</v>
      </c>
      <c r="D1387" s="747">
        <v>200</v>
      </c>
    </row>
    <row r="1388" spans="1:4" x14ac:dyDescent="0.2">
      <c r="A1388" s="514">
        <v>44308</v>
      </c>
      <c r="B1388" s="491">
        <f t="shared" si="10"/>
        <v>507528.36</v>
      </c>
      <c r="C1388" s="746">
        <v>507328.36</v>
      </c>
      <c r="D1388" s="747">
        <v>200</v>
      </c>
    </row>
    <row r="1389" spans="1:4" x14ac:dyDescent="0.2">
      <c r="A1389" s="514">
        <v>44309</v>
      </c>
      <c r="B1389" s="491">
        <f t="shared" si="10"/>
        <v>506769.51</v>
      </c>
      <c r="C1389" s="746">
        <v>506569.51</v>
      </c>
      <c r="D1389" s="747">
        <v>200</v>
      </c>
    </row>
    <row r="1390" spans="1:4" x14ac:dyDescent="0.2">
      <c r="A1390" s="514">
        <v>44312</v>
      </c>
      <c r="B1390" s="491">
        <f t="shared" si="10"/>
        <v>506770</v>
      </c>
      <c r="C1390" s="746">
        <v>506570</v>
      </c>
      <c r="D1390" s="747">
        <v>200</v>
      </c>
    </row>
    <row r="1391" spans="1:4" x14ac:dyDescent="0.2">
      <c r="A1391" s="514">
        <v>44313</v>
      </c>
      <c r="B1391" s="491">
        <f t="shared" ref="B1391:B1454" si="11">C1391+D1391</f>
        <v>473061.43</v>
      </c>
      <c r="C1391" s="746">
        <v>472861.43</v>
      </c>
      <c r="D1391" s="747">
        <v>200</v>
      </c>
    </row>
    <row r="1392" spans="1:4" x14ac:dyDescent="0.2">
      <c r="A1392" s="514">
        <v>44314</v>
      </c>
      <c r="B1392" s="491">
        <f t="shared" si="11"/>
        <v>479261.62</v>
      </c>
      <c r="C1392" s="746">
        <v>479061.62</v>
      </c>
      <c r="D1392" s="747">
        <v>200</v>
      </c>
    </row>
    <row r="1393" spans="1:4" x14ac:dyDescent="0.2">
      <c r="A1393" s="514">
        <v>44315</v>
      </c>
      <c r="B1393" s="491">
        <f t="shared" si="11"/>
        <v>478222.46</v>
      </c>
      <c r="C1393" s="746">
        <v>478022.46</v>
      </c>
      <c r="D1393" s="747">
        <v>200</v>
      </c>
    </row>
    <row r="1394" spans="1:4" x14ac:dyDescent="0.2">
      <c r="A1394" s="514">
        <v>44316</v>
      </c>
      <c r="B1394" s="491">
        <f t="shared" si="11"/>
        <v>477922.01</v>
      </c>
      <c r="C1394" s="746">
        <v>477722.01</v>
      </c>
      <c r="D1394" s="747">
        <v>200</v>
      </c>
    </row>
    <row r="1395" spans="1:4" x14ac:dyDescent="0.2">
      <c r="A1395" s="514">
        <v>44319</v>
      </c>
      <c r="B1395" s="491">
        <f t="shared" si="11"/>
        <v>477922.01</v>
      </c>
      <c r="C1395" s="746">
        <v>477722.01</v>
      </c>
      <c r="D1395" s="747">
        <v>200</v>
      </c>
    </row>
    <row r="1396" spans="1:4" x14ac:dyDescent="0.2">
      <c r="A1396" s="514">
        <v>44320</v>
      </c>
      <c r="B1396" s="491">
        <f t="shared" si="11"/>
        <v>477922.01</v>
      </c>
      <c r="C1396" s="746">
        <v>477722.01</v>
      </c>
      <c r="D1396" s="747">
        <v>200</v>
      </c>
    </row>
    <row r="1397" spans="1:4" x14ac:dyDescent="0.2">
      <c r="A1397" s="514">
        <v>44321</v>
      </c>
      <c r="B1397" s="491">
        <f t="shared" si="11"/>
        <v>477922.01</v>
      </c>
      <c r="C1397" s="746">
        <v>477722.01</v>
      </c>
      <c r="D1397" s="747">
        <v>200</v>
      </c>
    </row>
    <row r="1398" spans="1:4" x14ac:dyDescent="0.2">
      <c r="A1398" s="514">
        <v>44322</v>
      </c>
      <c r="B1398" s="491">
        <f t="shared" si="11"/>
        <v>477922.01</v>
      </c>
      <c r="C1398" s="746">
        <v>477722.01</v>
      </c>
      <c r="D1398" s="747">
        <v>200</v>
      </c>
    </row>
    <row r="1399" spans="1:4" x14ac:dyDescent="0.2">
      <c r="A1399" s="514">
        <v>44323</v>
      </c>
      <c r="B1399" s="491">
        <f t="shared" si="11"/>
        <v>463576.89</v>
      </c>
      <c r="C1399" s="746">
        <v>463376.89</v>
      </c>
      <c r="D1399" s="747">
        <v>200</v>
      </c>
    </row>
    <row r="1400" spans="1:4" x14ac:dyDescent="0.2">
      <c r="A1400" s="514">
        <v>44326</v>
      </c>
      <c r="B1400" s="491">
        <f t="shared" si="11"/>
        <v>473954.09</v>
      </c>
      <c r="C1400" s="746">
        <v>473754.09</v>
      </c>
      <c r="D1400" s="747">
        <v>200</v>
      </c>
    </row>
    <row r="1401" spans="1:4" x14ac:dyDescent="0.2">
      <c r="A1401" s="514">
        <v>44327</v>
      </c>
      <c r="B1401" s="491">
        <f t="shared" si="11"/>
        <v>520561.7</v>
      </c>
      <c r="C1401" s="746">
        <v>520361.7</v>
      </c>
      <c r="D1401" s="747">
        <v>200</v>
      </c>
    </row>
    <row r="1402" spans="1:4" x14ac:dyDescent="0.2">
      <c r="A1402" s="514">
        <v>44328</v>
      </c>
      <c r="B1402" s="491">
        <f t="shared" si="11"/>
        <v>520562</v>
      </c>
      <c r="C1402" s="746">
        <v>520362</v>
      </c>
      <c r="D1402" s="747">
        <v>200</v>
      </c>
    </row>
    <row r="1403" spans="1:4" x14ac:dyDescent="0.2">
      <c r="A1403" s="514">
        <v>44329</v>
      </c>
      <c r="B1403" s="491">
        <f t="shared" si="11"/>
        <v>525995.02</v>
      </c>
      <c r="C1403" s="746">
        <v>525795.02</v>
      </c>
      <c r="D1403" s="747">
        <v>200</v>
      </c>
    </row>
    <row r="1404" spans="1:4" x14ac:dyDescent="0.2">
      <c r="A1404" s="514">
        <v>44330</v>
      </c>
      <c r="B1404" s="491">
        <f t="shared" si="11"/>
        <v>521947.98</v>
      </c>
      <c r="C1404" s="746">
        <v>521747.98</v>
      </c>
      <c r="D1404" s="747">
        <v>200</v>
      </c>
    </row>
    <row r="1405" spans="1:4" x14ac:dyDescent="0.2">
      <c r="A1405" s="514">
        <v>44333</v>
      </c>
      <c r="B1405" s="491">
        <f t="shared" si="11"/>
        <v>521948</v>
      </c>
      <c r="C1405" s="746">
        <v>521748</v>
      </c>
      <c r="D1405" s="747">
        <v>200</v>
      </c>
    </row>
    <row r="1406" spans="1:4" x14ac:dyDescent="0.2">
      <c r="A1406" s="514">
        <v>44334</v>
      </c>
      <c r="B1406" s="491">
        <f t="shared" si="11"/>
        <v>521948</v>
      </c>
      <c r="C1406" s="746">
        <v>521748</v>
      </c>
      <c r="D1406" s="747">
        <v>200</v>
      </c>
    </row>
    <row r="1407" spans="1:4" x14ac:dyDescent="0.2">
      <c r="A1407" s="514">
        <v>44335</v>
      </c>
      <c r="B1407" s="491">
        <f t="shared" si="11"/>
        <v>522186.98</v>
      </c>
      <c r="C1407" s="746">
        <v>521986.98</v>
      </c>
      <c r="D1407" s="747">
        <v>200</v>
      </c>
    </row>
    <row r="1408" spans="1:4" x14ac:dyDescent="0.2">
      <c r="A1408" s="514">
        <v>44336</v>
      </c>
      <c r="B1408" s="491">
        <f t="shared" si="11"/>
        <v>518466.54</v>
      </c>
      <c r="C1408" s="746">
        <v>518266.54</v>
      </c>
      <c r="D1408" s="747">
        <v>200</v>
      </c>
    </row>
    <row r="1409" spans="1:4" x14ac:dyDescent="0.2">
      <c r="A1409" s="514">
        <v>44337</v>
      </c>
      <c r="B1409" s="491">
        <f t="shared" si="11"/>
        <v>518467</v>
      </c>
      <c r="C1409" s="746">
        <v>518267</v>
      </c>
      <c r="D1409" s="747">
        <v>200</v>
      </c>
    </row>
    <row r="1410" spans="1:4" x14ac:dyDescent="0.2">
      <c r="A1410" s="514">
        <v>44340</v>
      </c>
      <c r="B1410" s="491">
        <f t="shared" si="11"/>
        <v>486541.35</v>
      </c>
      <c r="C1410" s="746">
        <v>486341.35</v>
      </c>
      <c r="D1410" s="747">
        <v>200</v>
      </c>
    </row>
    <row r="1411" spans="1:4" x14ac:dyDescent="0.2">
      <c r="A1411" s="514">
        <v>44341</v>
      </c>
      <c r="B1411" s="491">
        <f t="shared" si="11"/>
        <v>486541</v>
      </c>
      <c r="C1411" s="746">
        <v>486341</v>
      </c>
      <c r="D1411" s="747">
        <v>200</v>
      </c>
    </row>
    <row r="1412" spans="1:4" x14ac:dyDescent="0.2">
      <c r="A1412" s="514">
        <v>44342</v>
      </c>
      <c r="B1412" s="491">
        <f t="shared" si="11"/>
        <v>512462.15</v>
      </c>
      <c r="C1412" s="746">
        <v>512262.15</v>
      </c>
      <c r="D1412" s="747">
        <v>200</v>
      </c>
    </row>
    <row r="1413" spans="1:4" x14ac:dyDescent="0.2">
      <c r="A1413" s="514">
        <v>44343</v>
      </c>
      <c r="B1413" s="491">
        <f t="shared" si="11"/>
        <v>512462</v>
      </c>
      <c r="C1413" s="746">
        <v>512262</v>
      </c>
      <c r="D1413" s="747">
        <v>200</v>
      </c>
    </row>
    <row r="1414" spans="1:4" x14ac:dyDescent="0.2">
      <c r="A1414" s="514">
        <v>44344</v>
      </c>
      <c r="B1414" s="491">
        <f t="shared" si="11"/>
        <v>513609.04</v>
      </c>
      <c r="C1414" s="746">
        <v>513409.04</v>
      </c>
      <c r="D1414" s="747">
        <v>200</v>
      </c>
    </row>
    <row r="1415" spans="1:4" x14ac:dyDescent="0.2">
      <c r="A1415" s="514">
        <v>44347</v>
      </c>
      <c r="B1415" s="491">
        <f t="shared" si="11"/>
        <v>513609</v>
      </c>
      <c r="C1415" s="746">
        <v>513409</v>
      </c>
      <c r="D1415" s="747">
        <v>200</v>
      </c>
    </row>
    <row r="1416" spans="1:4" x14ac:dyDescent="0.2">
      <c r="A1416" s="514">
        <v>44348</v>
      </c>
      <c r="B1416" s="491">
        <f t="shared" si="11"/>
        <v>513579.05</v>
      </c>
      <c r="C1416" s="746">
        <v>513379.05</v>
      </c>
      <c r="D1416" s="747">
        <v>200</v>
      </c>
    </row>
    <row r="1417" spans="1:4" x14ac:dyDescent="0.2">
      <c r="A1417" s="514">
        <v>44349</v>
      </c>
      <c r="B1417" s="491">
        <f t="shared" si="11"/>
        <v>514399.44</v>
      </c>
      <c r="C1417" s="746">
        <v>514199.44</v>
      </c>
      <c r="D1417" s="747">
        <v>200</v>
      </c>
    </row>
    <row r="1418" spans="1:4" x14ac:dyDescent="0.2">
      <c r="A1418" s="514">
        <v>44350</v>
      </c>
      <c r="B1418" s="491">
        <f t="shared" si="11"/>
        <v>501741.57</v>
      </c>
      <c r="C1418" s="746">
        <v>501541.57</v>
      </c>
      <c r="D1418" s="747">
        <v>200</v>
      </c>
    </row>
    <row r="1419" spans="1:4" x14ac:dyDescent="0.2">
      <c r="A1419" s="514">
        <v>44351</v>
      </c>
      <c r="B1419" s="491">
        <f t="shared" si="11"/>
        <v>501742</v>
      </c>
      <c r="C1419" s="746">
        <v>501542</v>
      </c>
      <c r="D1419" s="747">
        <v>200</v>
      </c>
    </row>
    <row r="1420" spans="1:4" x14ac:dyDescent="0.2">
      <c r="A1420" s="514">
        <v>44354</v>
      </c>
      <c r="B1420" s="491">
        <f t="shared" si="11"/>
        <v>502500.51</v>
      </c>
      <c r="C1420" s="746">
        <v>502300.51</v>
      </c>
      <c r="D1420" s="747">
        <v>200</v>
      </c>
    </row>
    <row r="1421" spans="1:4" x14ac:dyDescent="0.2">
      <c r="A1421" s="514">
        <v>44355</v>
      </c>
      <c r="B1421" s="491">
        <f t="shared" si="11"/>
        <v>502953.51</v>
      </c>
      <c r="C1421" s="746">
        <v>502753.51</v>
      </c>
      <c r="D1421" s="747">
        <v>200</v>
      </c>
    </row>
    <row r="1422" spans="1:4" x14ac:dyDescent="0.2">
      <c r="A1422" s="514">
        <v>44356</v>
      </c>
      <c r="B1422" s="491">
        <f t="shared" si="11"/>
        <v>502954</v>
      </c>
      <c r="C1422" s="746">
        <v>502754</v>
      </c>
      <c r="D1422" s="747">
        <v>200</v>
      </c>
    </row>
    <row r="1423" spans="1:4" x14ac:dyDescent="0.2">
      <c r="A1423" s="514">
        <v>44357</v>
      </c>
      <c r="B1423" s="491">
        <f t="shared" si="11"/>
        <v>483592.4</v>
      </c>
      <c r="C1423" s="746">
        <v>483392.4</v>
      </c>
      <c r="D1423" s="747">
        <v>200</v>
      </c>
    </row>
    <row r="1424" spans="1:4" x14ac:dyDescent="0.2">
      <c r="A1424" s="514">
        <v>44358</v>
      </c>
      <c r="B1424" s="491">
        <f t="shared" si="11"/>
        <v>483291.95</v>
      </c>
      <c r="C1424" s="746">
        <v>483091.95</v>
      </c>
      <c r="D1424" s="747">
        <v>200</v>
      </c>
    </row>
    <row r="1425" spans="1:4" x14ac:dyDescent="0.2">
      <c r="A1425" s="514">
        <v>44361</v>
      </c>
      <c r="B1425" s="491">
        <f t="shared" si="11"/>
        <v>495768.59</v>
      </c>
      <c r="C1425" s="746">
        <v>495568.59</v>
      </c>
      <c r="D1425" s="747">
        <v>200</v>
      </c>
    </row>
    <row r="1426" spans="1:4" x14ac:dyDescent="0.2">
      <c r="A1426" s="514">
        <v>44362</v>
      </c>
      <c r="B1426" s="491">
        <f t="shared" si="11"/>
        <v>495822.72</v>
      </c>
      <c r="C1426" s="746">
        <v>495622.72</v>
      </c>
      <c r="D1426" s="747">
        <v>200</v>
      </c>
    </row>
    <row r="1427" spans="1:4" x14ac:dyDescent="0.2">
      <c r="A1427" s="514">
        <v>44363</v>
      </c>
      <c r="B1427" s="491">
        <f t="shared" si="11"/>
        <v>520028.1</v>
      </c>
      <c r="C1427" s="746">
        <v>519828.1</v>
      </c>
      <c r="D1427" s="747">
        <v>200</v>
      </c>
    </row>
    <row r="1428" spans="1:4" x14ac:dyDescent="0.2">
      <c r="A1428" s="514">
        <v>44364</v>
      </c>
      <c r="B1428" s="491">
        <f t="shared" si="11"/>
        <v>517161.8</v>
      </c>
      <c r="C1428" s="746">
        <v>516961.8</v>
      </c>
      <c r="D1428" s="747">
        <v>200</v>
      </c>
    </row>
    <row r="1429" spans="1:4" x14ac:dyDescent="0.2">
      <c r="A1429" s="514">
        <v>44365</v>
      </c>
      <c r="B1429" s="491">
        <f t="shared" si="11"/>
        <v>518094.91</v>
      </c>
      <c r="C1429" s="746">
        <v>517894.91</v>
      </c>
      <c r="D1429" s="747">
        <v>200</v>
      </c>
    </row>
    <row r="1430" spans="1:4" x14ac:dyDescent="0.2">
      <c r="A1430" s="514">
        <v>44368</v>
      </c>
      <c r="B1430" s="491">
        <f t="shared" si="11"/>
        <v>484042.38</v>
      </c>
      <c r="C1430" s="746">
        <v>483842.38</v>
      </c>
      <c r="D1430" s="747">
        <v>200</v>
      </c>
    </row>
    <row r="1431" spans="1:4" x14ac:dyDescent="0.2">
      <c r="A1431" s="514">
        <v>44369</v>
      </c>
      <c r="B1431" s="491">
        <f t="shared" si="11"/>
        <v>497746.99</v>
      </c>
      <c r="C1431" s="746">
        <v>497546.99</v>
      </c>
      <c r="D1431" s="747">
        <v>200</v>
      </c>
    </row>
    <row r="1432" spans="1:4" x14ac:dyDescent="0.2">
      <c r="A1432" s="514">
        <v>44370</v>
      </c>
      <c r="B1432" s="491">
        <f t="shared" si="11"/>
        <v>497747</v>
      </c>
      <c r="C1432" s="746">
        <v>497547</v>
      </c>
      <c r="D1432" s="747">
        <v>200</v>
      </c>
    </row>
    <row r="1433" spans="1:4" x14ac:dyDescent="0.2">
      <c r="A1433" s="514">
        <v>44371</v>
      </c>
      <c r="B1433" s="491">
        <f t="shared" si="11"/>
        <v>495381.8</v>
      </c>
      <c r="C1433" s="746">
        <v>495181.8</v>
      </c>
      <c r="D1433" s="747">
        <v>200</v>
      </c>
    </row>
    <row r="1434" spans="1:4" x14ac:dyDescent="0.2">
      <c r="A1434" s="514">
        <v>44372</v>
      </c>
      <c r="B1434" s="491">
        <f t="shared" si="11"/>
        <v>495081.35</v>
      </c>
      <c r="C1434" s="746">
        <v>494881.35</v>
      </c>
      <c r="D1434" s="747">
        <v>200</v>
      </c>
    </row>
    <row r="1435" spans="1:4" x14ac:dyDescent="0.2">
      <c r="A1435" s="514">
        <v>44375</v>
      </c>
      <c r="B1435" s="491">
        <f t="shared" si="11"/>
        <v>495055.65</v>
      </c>
      <c r="C1435" s="746">
        <v>494855.65</v>
      </c>
      <c r="D1435" s="747">
        <v>200</v>
      </c>
    </row>
    <row r="1436" spans="1:4" x14ac:dyDescent="0.2">
      <c r="A1436" s="514">
        <v>44376</v>
      </c>
      <c r="B1436" s="491">
        <f t="shared" si="11"/>
        <v>495056</v>
      </c>
      <c r="C1436" s="746">
        <v>494856</v>
      </c>
      <c r="D1436" s="747">
        <v>200</v>
      </c>
    </row>
    <row r="1437" spans="1:4" x14ac:dyDescent="0.2">
      <c r="A1437" s="514">
        <v>44377</v>
      </c>
      <c r="B1437" s="491">
        <f t="shared" si="11"/>
        <v>497588.94</v>
      </c>
      <c r="C1437" s="746">
        <v>497388.94</v>
      </c>
      <c r="D1437" s="747">
        <v>200</v>
      </c>
    </row>
    <row r="1438" spans="1:4" x14ac:dyDescent="0.2">
      <c r="A1438" s="514">
        <v>44378</v>
      </c>
      <c r="B1438" s="491">
        <f t="shared" si="11"/>
        <v>488300.76</v>
      </c>
      <c r="C1438" s="746">
        <v>488100.76</v>
      </c>
      <c r="D1438" s="747">
        <v>200</v>
      </c>
    </row>
    <row r="1439" spans="1:4" x14ac:dyDescent="0.2">
      <c r="A1439" s="514">
        <v>44379</v>
      </c>
      <c r="B1439" s="491">
        <f t="shared" si="11"/>
        <v>488301</v>
      </c>
      <c r="C1439" s="746">
        <v>488101</v>
      </c>
      <c r="D1439" s="747">
        <v>200</v>
      </c>
    </row>
    <row r="1440" spans="1:4" x14ac:dyDescent="0.2">
      <c r="A1440" s="514">
        <v>44382</v>
      </c>
      <c r="B1440" s="491">
        <f t="shared" si="11"/>
        <v>488301</v>
      </c>
      <c r="C1440" s="746">
        <v>488101</v>
      </c>
      <c r="D1440" s="747">
        <v>200</v>
      </c>
    </row>
    <row r="1441" spans="1:4" x14ac:dyDescent="0.2">
      <c r="A1441" s="514">
        <v>44383</v>
      </c>
      <c r="B1441" s="491">
        <f t="shared" si="11"/>
        <v>453460.75</v>
      </c>
      <c r="C1441" s="746">
        <v>453260.75</v>
      </c>
      <c r="D1441" s="747">
        <v>200</v>
      </c>
    </row>
    <row r="1442" spans="1:4" x14ac:dyDescent="0.2">
      <c r="A1442" s="514">
        <v>44384</v>
      </c>
      <c r="B1442" s="491">
        <f t="shared" si="11"/>
        <v>453461</v>
      </c>
      <c r="C1442" s="746">
        <v>453261</v>
      </c>
      <c r="D1442" s="747">
        <v>200</v>
      </c>
    </row>
    <row r="1443" spans="1:4" x14ac:dyDescent="0.2">
      <c r="A1443" s="514">
        <v>44385</v>
      </c>
      <c r="B1443" s="491">
        <f t="shared" si="11"/>
        <v>453914.75</v>
      </c>
      <c r="C1443" s="746">
        <v>453714.75</v>
      </c>
      <c r="D1443" s="747">
        <v>200</v>
      </c>
    </row>
    <row r="1444" spans="1:4" x14ac:dyDescent="0.2">
      <c r="A1444" s="514">
        <v>44386</v>
      </c>
      <c r="B1444" s="491">
        <f t="shared" si="11"/>
        <v>451808.36</v>
      </c>
      <c r="C1444" s="746">
        <v>451608.36</v>
      </c>
      <c r="D1444" s="747">
        <v>200</v>
      </c>
    </row>
    <row r="1445" spans="1:4" x14ac:dyDescent="0.2">
      <c r="A1445" s="514">
        <v>44389</v>
      </c>
      <c r="B1445" s="491">
        <f t="shared" si="11"/>
        <v>451808</v>
      </c>
      <c r="C1445" s="746">
        <v>451608</v>
      </c>
      <c r="D1445" s="747">
        <v>200</v>
      </c>
    </row>
    <row r="1446" spans="1:4" x14ac:dyDescent="0.2">
      <c r="A1446" s="514">
        <v>44390</v>
      </c>
      <c r="B1446" s="491">
        <f t="shared" si="11"/>
        <v>452941.65</v>
      </c>
      <c r="C1446" s="746">
        <v>452741.65</v>
      </c>
      <c r="D1446" s="747">
        <v>200</v>
      </c>
    </row>
    <row r="1447" spans="1:4" x14ac:dyDescent="0.2">
      <c r="A1447" s="514">
        <v>44391</v>
      </c>
      <c r="B1447" s="491">
        <f t="shared" si="11"/>
        <v>453131.97</v>
      </c>
      <c r="C1447" s="746">
        <v>452931.97</v>
      </c>
      <c r="D1447" s="747">
        <v>200</v>
      </c>
    </row>
    <row r="1448" spans="1:4" x14ac:dyDescent="0.2">
      <c r="A1448" s="514">
        <v>44392</v>
      </c>
      <c r="B1448" s="491">
        <f t="shared" si="11"/>
        <v>453180.49</v>
      </c>
      <c r="C1448" s="746">
        <v>452980.49</v>
      </c>
      <c r="D1448" s="747">
        <v>200</v>
      </c>
    </row>
    <row r="1449" spans="1:4" x14ac:dyDescent="0.2">
      <c r="A1449" s="514">
        <v>44393</v>
      </c>
      <c r="B1449" s="491">
        <f t="shared" si="11"/>
        <v>453180</v>
      </c>
      <c r="C1449" s="746">
        <v>452980</v>
      </c>
      <c r="D1449" s="747">
        <v>200</v>
      </c>
    </row>
    <row r="1450" spans="1:4" x14ac:dyDescent="0.2">
      <c r="A1450" s="514">
        <v>44396</v>
      </c>
      <c r="B1450" s="491">
        <f t="shared" si="11"/>
        <v>436299.85</v>
      </c>
      <c r="C1450" s="746">
        <v>436099.85</v>
      </c>
      <c r="D1450" s="747">
        <v>200</v>
      </c>
    </row>
    <row r="1451" spans="1:4" x14ac:dyDescent="0.2">
      <c r="A1451" s="514">
        <v>44397</v>
      </c>
      <c r="B1451" s="491">
        <f t="shared" si="11"/>
        <v>400936.9</v>
      </c>
      <c r="C1451" s="746">
        <v>400736.9</v>
      </c>
      <c r="D1451" s="747">
        <v>200</v>
      </c>
    </row>
    <row r="1452" spans="1:4" x14ac:dyDescent="0.2">
      <c r="A1452" s="514">
        <v>44398</v>
      </c>
      <c r="B1452" s="491">
        <f t="shared" si="11"/>
        <v>400937</v>
      </c>
      <c r="C1452" s="746">
        <v>400737</v>
      </c>
      <c r="D1452" s="747">
        <v>200</v>
      </c>
    </row>
    <row r="1453" spans="1:4" x14ac:dyDescent="0.2">
      <c r="A1453" s="514">
        <v>44399</v>
      </c>
      <c r="B1453" s="491">
        <f t="shared" si="11"/>
        <v>298716.2</v>
      </c>
      <c r="C1453" s="746">
        <v>298516.2</v>
      </c>
      <c r="D1453" s="747">
        <v>200</v>
      </c>
    </row>
    <row r="1454" spans="1:4" x14ac:dyDescent="0.2">
      <c r="A1454" s="514">
        <v>44400</v>
      </c>
      <c r="B1454" s="491">
        <f t="shared" si="11"/>
        <v>298557.34999999998</v>
      </c>
      <c r="C1454" s="746">
        <v>298357.34999999998</v>
      </c>
      <c r="D1454" s="747">
        <v>200</v>
      </c>
    </row>
    <row r="1455" spans="1:4" x14ac:dyDescent="0.2">
      <c r="A1455" s="514">
        <v>44403</v>
      </c>
      <c r="B1455" s="491">
        <f t="shared" ref="B1455" si="12">C1455+D1455</f>
        <v>298557</v>
      </c>
      <c r="C1455" s="746">
        <v>298357</v>
      </c>
      <c r="D1455" s="747">
        <v>200</v>
      </c>
    </row>
    <row r="1456" spans="1:4" x14ac:dyDescent="0.2">
      <c r="A1456" s="514">
        <v>44404</v>
      </c>
      <c r="B1456" s="491">
        <v>298047.28999999998</v>
      </c>
      <c r="C1456" s="746">
        <v>298357</v>
      </c>
      <c r="D1456" s="747">
        <v>200</v>
      </c>
    </row>
    <row r="1457" spans="1:4" x14ac:dyDescent="0.2">
      <c r="A1457" s="514">
        <v>44405</v>
      </c>
      <c r="B1457" s="491">
        <f t="shared" ref="B1457:B1520" si="13">C1457+D1457</f>
        <v>298221.59000000003</v>
      </c>
      <c r="C1457" s="491">
        <v>298021.59000000003</v>
      </c>
      <c r="D1457" s="747">
        <v>200</v>
      </c>
    </row>
    <row r="1458" spans="1:4" x14ac:dyDescent="0.2">
      <c r="A1458" s="514">
        <v>44406</v>
      </c>
      <c r="B1458" s="491">
        <f t="shared" si="13"/>
        <v>298222</v>
      </c>
      <c r="C1458" s="491">
        <v>298022</v>
      </c>
      <c r="D1458" s="747">
        <v>200</v>
      </c>
    </row>
    <row r="1459" spans="1:4" x14ac:dyDescent="0.2">
      <c r="A1459" s="514">
        <v>44407</v>
      </c>
      <c r="B1459" s="491">
        <f t="shared" si="13"/>
        <v>286090</v>
      </c>
      <c r="C1459" s="491">
        <v>285890</v>
      </c>
      <c r="D1459" s="747">
        <v>200</v>
      </c>
    </row>
    <row r="1460" spans="1:4" x14ac:dyDescent="0.2">
      <c r="A1460" s="514">
        <v>44410</v>
      </c>
      <c r="B1460" s="491">
        <f t="shared" si="13"/>
        <v>285690.83</v>
      </c>
      <c r="C1460" s="491">
        <v>285490.83</v>
      </c>
      <c r="D1460" s="747">
        <v>200</v>
      </c>
    </row>
    <row r="1461" spans="1:4" x14ac:dyDescent="0.2">
      <c r="A1461" s="514">
        <v>44411</v>
      </c>
      <c r="B1461" s="491">
        <f t="shared" si="13"/>
        <v>250196.9</v>
      </c>
      <c r="C1461" s="491">
        <v>249996.9</v>
      </c>
      <c r="D1461" s="747">
        <v>200</v>
      </c>
    </row>
    <row r="1462" spans="1:4" x14ac:dyDescent="0.2">
      <c r="A1462" s="514">
        <v>44412</v>
      </c>
      <c r="B1462" s="491">
        <f t="shared" si="13"/>
        <v>250197</v>
      </c>
      <c r="C1462" s="491">
        <v>249997</v>
      </c>
      <c r="D1462" s="747">
        <v>200</v>
      </c>
    </row>
    <row r="1463" spans="1:4" x14ac:dyDescent="0.2">
      <c r="A1463" s="514">
        <v>44413</v>
      </c>
      <c r="B1463" s="491">
        <f t="shared" si="13"/>
        <v>242217.24</v>
      </c>
      <c r="C1463" s="491">
        <v>242017.24</v>
      </c>
      <c r="D1463" s="747">
        <v>200</v>
      </c>
    </row>
    <row r="1464" spans="1:4" x14ac:dyDescent="0.2">
      <c r="A1464" s="514">
        <v>44414</v>
      </c>
      <c r="B1464" s="491">
        <f t="shared" si="13"/>
        <v>241916.79</v>
      </c>
      <c r="C1464" s="491">
        <v>241716.79</v>
      </c>
      <c r="D1464" s="747">
        <v>200</v>
      </c>
    </row>
    <row r="1465" spans="1:4" x14ac:dyDescent="0.2">
      <c r="A1465" s="514">
        <v>44417</v>
      </c>
      <c r="B1465" s="491">
        <f t="shared" si="13"/>
        <v>242014.29</v>
      </c>
      <c r="C1465" s="491">
        <v>241814.29</v>
      </c>
      <c r="D1465" s="747">
        <v>200</v>
      </c>
    </row>
    <row r="1466" spans="1:4" x14ac:dyDescent="0.2">
      <c r="A1466" s="514">
        <v>44418</v>
      </c>
      <c r="B1466" s="491">
        <f t="shared" si="13"/>
        <v>260028.48</v>
      </c>
      <c r="C1466" s="491">
        <v>259828.48000000001</v>
      </c>
      <c r="D1466" s="747">
        <v>200</v>
      </c>
    </row>
    <row r="1467" spans="1:4" x14ac:dyDescent="0.2">
      <c r="A1467" s="514">
        <v>44419</v>
      </c>
      <c r="B1467" s="491">
        <f t="shared" si="13"/>
        <v>261085.42</v>
      </c>
      <c r="C1467" s="491">
        <v>260885.42</v>
      </c>
      <c r="D1467" s="747">
        <v>200</v>
      </c>
    </row>
    <row r="1468" spans="1:4" x14ac:dyDescent="0.2">
      <c r="A1468" s="514">
        <v>44420</v>
      </c>
      <c r="B1468" s="491">
        <f t="shared" si="13"/>
        <v>261983.68</v>
      </c>
      <c r="C1468" s="491">
        <v>261783.67999999999</v>
      </c>
      <c r="D1468" s="747">
        <v>200</v>
      </c>
    </row>
    <row r="1469" spans="1:4" x14ac:dyDescent="0.2">
      <c r="A1469" s="514">
        <v>44421</v>
      </c>
      <c r="B1469" s="491">
        <f t="shared" si="13"/>
        <v>262016.54</v>
      </c>
      <c r="C1469" s="491">
        <v>261816.54</v>
      </c>
      <c r="D1469" s="747">
        <v>200</v>
      </c>
    </row>
    <row r="1470" spans="1:4" x14ac:dyDescent="0.2">
      <c r="A1470" s="514">
        <v>44424</v>
      </c>
      <c r="B1470" s="491">
        <f t="shared" si="13"/>
        <v>262016.54</v>
      </c>
      <c r="C1470" s="491">
        <f t="shared" ref="C1470:C1522" si="14">C1469</f>
        <v>261816.54</v>
      </c>
      <c r="D1470" s="747">
        <v>200</v>
      </c>
    </row>
    <row r="1471" spans="1:4" x14ac:dyDescent="0.2">
      <c r="A1471" s="514">
        <v>44425</v>
      </c>
      <c r="B1471" s="491">
        <f t="shared" si="13"/>
        <v>226196.56</v>
      </c>
      <c r="C1471" s="491">
        <v>225996.56</v>
      </c>
      <c r="D1471" s="747">
        <v>200</v>
      </c>
    </row>
    <row r="1472" spans="1:4" x14ac:dyDescent="0.2">
      <c r="A1472" s="514">
        <v>44426</v>
      </c>
      <c r="B1472" s="491">
        <f t="shared" si="13"/>
        <v>245030.16</v>
      </c>
      <c r="C1472" s="491">
        <v>244830.16</v>
      </c>
      <c r="D1472" s="747">
        <v>200</v>
      </c>
    </row>
    <row r="1473" spans="1:4" x14ac:dyDescent="0.2">
      <c r="A1473" s="514">
        <v>44427</v>
      </c>
      <c r="B1473" s="491">
        <f t="shared" si="13"/>
        <v>229633.33</v>
      </c>
      <c r="C1473" s="491">
        <v>229433.33</v>
      </c>
      <c r="D1473" s="747">
        <v>200</v>
      </c>
    </row>
    <row r="1474" spans="1:4" x14ac:dyDescent="0.2">
      <c r="A1474" s="514">
        <v>44428</v>
      </c>
      <c r="B1474" s="491">
        <f t="shared" si="13"/>
        <v>247195.12</v>
      </c>
      <c r="C1474" s="491">
        <v>246995.12</v>
      </c>
      <c r="D1474" s="747">
        <v>200</v>
      </c>
    </row>
    <row r="1475" spans="1:4" x14ac:dyDescent="0.2">
      <c r="A1475" s="514">
        <v>44431</v>
      </c>
      <c r="B1475" s="491">
        <f t="shared" si="13"/>
        <v>247195.12</v>
      </c>
      <c r="C1475" s="491">
        <f t="shared" si="14"/>
        <v>246995.12</v>
      </c>
      <c r="D1475" s="747">
        <v>200</v>
      </c>
    </row>
    <row r="1476" spans="1:4" x14ac:dyDescent="0.2">
      <c r="A1476" s="514">
        <v>44432</v>
      </c>
      <c r="B1476" s="491">
        <f t="shared" si="13"/>
        <v>347649.83</v>
      </c>
      <c r="C1476" s="491">
        <v>347449.83</v>
      </c>
      <c r="D1476" s="747">
        <v>200</v>
      </c>
    </row>
    <row r="1477" spans="1:4" x14ac:dyDescent="0.2">
      <c r="A1477" s="514">
        <v>44433</v>
      </c>
      <c r="B1477" s="491">
        <f t="shared" si="13"/>
        <v>347649.83</v>
      </c>
      <c r="C1477" s="491">
        <f t="shared" si="14"/>
        <v>347449.83</v>
      </c>
      <c r="D1477" s="747">
        <v>200</v>
      </c>
    </row>
    <row r="1478" spans="1:4" x14ac:dyDescent="0.2">
      <c r="A1478" s="514">
        <v>44434</v>
      </c>
      <c r="B1478" s="491">
        <f t="shared" si="13"/>
        <v>341237.68</v>
      </c>
      <c r="C1478" s="491">
        <v>341037.68</v>
      </c>
      <c r="D1478" s="747">
        <v>200</v>
      </c>
    </row>
    <row r="1479" spans="1:4" x14ac:dyDescent="0.2">
      <c r="A1479" s="514">
        <v>44435</v>
      </c>
      <c r="B1479" s="491">
        <f t="shared" si="13"/>
        <v>373525.01</v>
      </c>
      <c r="C1479" s="491">
        <v>373325.01</v>
      </c>
      <c r="D1479" s="747">
        <v>200</v>
      </c>
    </row>
    <row r="1480" spans="1:4" x14ac:dyDescent="0.2">
      <c r="A1480" s="514">
        <v>44438</v>
      </c>
      <c r="B1480" s="491">
        <f t="shared" si="13"/>
        <v>373525.01</v>
      </c>
      <c r="C1480" s="491">
        <f t="shared" si="14"/>
        <v>373325.01</v>
      </c>
      <c r="D1480" s="747">
        <v>200</v>
      </c>
    </row>
    <row r="1481" spans="1:4" x14ac:dyDescent="0.2">
      <c r="A1481" s="514">
        <v>44439</v>
      </c>
      <c r="B1481" s="491">
        <f t="shared" si="13"/>
        <v>336851.39</v>
      </c>
      <c r="C1481" s="491">
        <v>336651.39</v>
      </c>
      <c r="D1481" s="747">
        <v>200</v>
      </c>
    </row>
    <row r="1482" spans="1:4" x14ac:dyDescent="0.2">
      <c r="A1482" s="514">
        <v>44440</v>
      </c>
      <c r="B1482" s="491">
        <f t="shared" si="13"/>
        <v>336851.39</v>
      </c>
      <c r="C1482" s="491">
        <f t="shared" si="14"/>
        <v>336651.39</v>
      </c>
      <c r="D1482" s="747">
        <v>200</v>
      </c>
    </row>
    <row r="1483" spans="1:4" x14ac:dyDescent="0.2">
      <c r="A1483" s="514">
        <v>44441</v>
      </c>
      <c r="B1483" s="491">
        <f t="shared" si="13"/>
        <v>336851.39</v>
      </c>
      <c r="C1483" s="491">
        <f t="shared" si="14"/>
        <v>336651.39</v>
      </c>
      <c r="D1483" s="747">
        <v>200</v>
      </c>
    </row>
    <row r="1484" spans="1:4" x14ac:dyDescent="0.2">
      <c r="A1484" s="514">
        <v>44442</v>
      </c>
      <c r="B1484" s="491">
        <f t="shared" si="13"/>
        <v>360197.14</v>
      </c>
      <c r="C1484" s="491">
        <v>359997.14</v>
      </c>
      <c r="D1484" s="747">
        <v>200</v>
      </c>
    </row>
    <row r="1485" spans="1:4" x14ac:dyDescent="0.2">
      <c r="A1485" s="514">
        <v>44445</v>
      </c>
      <c r="B1485" s="491">
        <f t="shared" si="13"/>
        <v>360197.14</v>
      </c>
      <c r="C1485" s="491">
        <f t="shared" si="14"/>
        <v>359997.14</v>
      </c>
      <c r="D1485" s="747">
        <v>200</v>
      </c>
    </row>
    <row r="1486" spans="1:4" x14ac:dyDescent="0.2">
      <c r="A1486" s="514">
        <v>44446</v>
      </c>
      <c r="B1486" s="491">
        <f t="shared" si="13"/>
        <v>354806.36</v>
      </c>
      <c r="C1486" s="491">
        <v>354606.36</v>
      </c>
      <c r="D1486" s="747">
        <v>200</v>
      </c>
    </row>
    <row r="1487" spans="1:4" x14ac:dyDescent="0.2">
      <c r="A1487" s="514">
        <v>44447</v>
      </c>
      <c r="B1487" s="491">
        <f t="shared" si="13"/>
        <v>354806.36</v>
      </c>
      <c r="C1487" s="491">
        <f t="shared" si="14"/>
        <v>354606.36</v>
      </c>
      <c r="D1487" s="747">
        <v>200</v>
      </c>
    </row>
    <row r="1488" spans="1:4" x14ac:dyDescent="0.2">
      <c r="A1488" s="514">
        <v>44448</v>
      </c>
      <c r="B1488" s="491">
        <f t="shared" si="13"/>
        <v>354806.36</v>
      </c>
      <c r="C1488" s="491">
        <f t="shared" si="14"/>
        <v>354606.36</v>
      </c>
      <c r="D1488" s="747">
        <v>200</v>
      </c>
    </row>
    <row r="1489" spans="1:4" x14ac:dyDescent="0.2">
      <c r="A1489" s="514">
        <v>44449</v>
      </c>
      <c r="B1489" s="491">
        <f t="shared" si="13"/>
        <v>354806.36</v>
      </c>
      <c r="C1489" s="491">
        <f t="shared" si="14"/>
        <v>354606.36</v>
      </c>
      <c r="D1489" s="747">
        <v>200</v>
      </c>
    </row>
    <row r="1490" spans="1:4" x14ac:dyDescent="0.2">
      <c r="A1490" s="514">
        <v>44452</v>
      </c>
      <c r="B1490" s="491">
        <f t="shared" si="13"/>
        <v>317290.98</v>
      </c>
      <c r="C1490" s="491">
        <v>317090.98</v>
      </c>
      <c r="D1490" s="747">
        <v>200</v>
      </c>
    </row>
    <row r="1491" spans="1:4" x14ac:dyDescent="0.2">
      <c r="A1491" s="514">
        <v>44453</v>
      </c>
      <c r="B1491" s="491">
        <f t="shared" si="13"/>
        <v>365898.08</v>
      </c>
      <c r="C1491" s="491">
        <v>365698.08</v>
      </c>
      <c r="D1491" s="747">
        <v>200</v>
      </c>
    </row>
    <row r="1492" spans="1:4" x14ac:dyDescent="0.2">
      <c r="A1492" s="514">
        <v>44454</v>
      </c>
      <c r="B1492" s="491">
        <f t="shared" si="13"/>
        <v>365935.11</v>
      </c>
      <c r="C1492" s="491">
        <v>365735.11</v>
      </c>
      <c r="D1492" s="747">
        <v>200</v>
      </c>
    </row>
    <row r="1493" spans="1:4" x14ac:dyDescent="0.2">
      <c r="A1493" s="514">
        <v>44455</v>
      </c>
      <c r="B1493" s="491">
        <f t="shared" si="13"/>
        <v>365935.11</v>
      </c>
      <c r="C1493" s="491">
        <f t="shared" si="14"/>
        <v>365735.11</v>
      </c>
      <c r="D1493" s="747">
        <v>200</v>
      </c>
    </row>
    <row r="1494" spans="1:4" x14ac:dyDescent="0.2">
      <c r="A1494" s="514">
        <v>44456</v>
      </c>
      <c r="B1494" s="491">
        <f t="shared" si="13"/>
        <v>357664.5</v>
      </c>
      <c r="C1494" s="491">
        <v>357464.5</v>
      </c>
      <c r="D1494" s="747">
        <v>200</v>
      </c>
    </row>
    <row r="1495" spans="1:4" x14ac:dyDescent="0.2">
      <c r="A1495" s="514">
        <v>44459</v>
      </c>
      <c r="B1495" s="491">
        <f t="shared" si="13"/>
        <v>357664.5</v>
      </c>
      <c r="C1495" s="491">
        <f t="shared" si="14"/>
        <v>357464.5</v>
      </c>
      <c r="D1495" s="747">
        <v>200</v>
      </c>
    </row>
    <row r="1496" spans="1:4" x14ac:dyDescent="0.2">
      <c r="A1496" s="514">
        <v>44460</v>
      </c>
      <c r="B1496" s="491">
        <f t="shared" si="13"/>
        <v>357664.5</v>
      </c>
      <c r="C1496" s="491">
        <f t="shared" si="14"/>
        <v>357464.5</v>
      </c>
      <c r="D1496" s="747">
        <v>200</v>
      </c>
    </row>
    <row r="1497" spans="1:4" x14ac:dyDescent="0.2">
      <c r="A1497" s="514">
        <v>44461</v>
      </c>
      <c r="B1497" s="491">
        <f t="shared" si="13"/>
        <v>364108.39</v>
      </c>
      <c r="C1497" s="491">
        <v>363908.39</v>
      </c>
      <c r="D1497" s="747">
        <v>200</v>
      </c>
    </row>
    <row r="1498" spans="1:4" x14ac:dyDescent="0.2">
      <c r="A1498" s="514">
        <v>44462</v>
      </c>
      <c r="B1498" s="491">
        <f t="shared" si="13"/>
        <v>372557.83</v>
      </c>
      <c r="C1498" s="491">
        <v>372357.83</v>
      </c>
      <c r="D1498" s="747">
        <v>200</v>
      </c>
    </row>
    <row r="1499" spans="1:4" x14ac:dyDescent="0.2">
      <c r="A1499" s="514">
        <v>44463</v>
      </c>
      <c r="B1499" s="491">
        <f t="shared" si="13"/>
        <v>372557.83</v>
      </c>
      <c r="C1499" s="491">
        <f t="shared" si="14"/>
        <v>372357.83</v>
      </c>
      <c r="D1499" s="747">
        <v>200</v>
      </c>
    </row>
    <row r="1500" spans="1:4" x14ac:dyDescent="0.2">
      <c r="A1500" s="514">
        <v>44466</v>
      </c>
      <c r="B1500" s="491">
        <f t="shared" si="13"/>
        <v>393073.43</v>
      </c>
      <c r="C1500" s="491">
        <v>392873.43</v>
      </c>
      <c r="D1500" s="747">
        <v>200</v>
      </c>
    </row>
    <row r="1501" spans="1:4" x14ac:dyDescent="0.2">
      <c r="A1501" s="514">
        <v>44467</v>
      </c>
      <c r="B1501" s="491">
        <f t="shared" si="13"/>
        <v>354832.22</v>
      </c>
      <c r="C1501" s="491">
        <v>354632.22</v>
      </c>
      <c r="D1501" s="747">
        <v>200</v>
      </c>
    </row>
    <row r="1502" spans="1:4" x14ac:dyDescent="0.2">
      <c r="A1502" s="514">
        <v>44468</v>
      </c>
      <c r="B1502" s="491">
        <f t="shared" si="13"/>
        <v>354832.22</v>
      </c>
      <c r="C1502" s="491">
        <f t="shared" si="14"/>
        <v>354632.22</v>
      </c>
      <c r="D1502" s="747">
        <v>200</v>
      </c>
    </row>
    <row r="1503" spans="1:4" x14ac:dyDescent="0.2">
      <c r="A1503" s="514">
        <v>44469</v>
      </c>
      <c r="B1503" s="491">
        <f t="shared" si="13"/>
        <v>354832.22</v>
      </c>
      <c r="C1503" s="491">
        <f t="shared" si="14"/>
        <v>354632.22</v>
      </c>
      <c r="D1503" s="747">
        <v>200</v>
      </c>
    </row>
    <row r="1504" spans="1:4" x14ac:dyDescent="0.2">
      <c r="A1504" s="514">
        <v>44470</v>
      </c>
      <c r="B1504" s="491">
        <f t="shared" si="13"/>
        <v>343420.25</v>
      </c>
      <c r="C1504" s="491">
        <v>343220.25</v>
      </c>
      <c r="D1504" s="747">
        <v>200</v>
      </c>
    </row>
    <row r="1505" spans="1:4" x14ac:dyDescent="0.2">
      <c r="A1505" s="514">
        <v>44473</v>
      </c>
      <c r="B1505" s="491">
        <f t="shared" si="13"/>
        <v>343420.25</v>
      </c>
      <c r="C1505" s="491">
        <f t="shared" si="14"/>
        <v>343220.25</v>
      </c>
      <c r="D1505" s="747">
        <v>200</v>
      </c>
    </row>
    <row r="1506" spans="1:4" x14ac:dyDescent="0.2">
      <c r="A1506" s="514">
        <v>44474</v>
      </c>
      <c r="B1506" s="491">
        <f t="shared" si="13"/>
        <v>343582.25</v>
      </c>
      <c r="C1506" s="491">
        <v>343382.25</v>
      </c>
      <c r="D1506" s="747">
        <v>200</v>
      </c>
    </row>
    <row r="1507" spans="1:4" x14ac:dyDescent="0.2">
      <c r="A1507" s="514">
        <v>44475</v>
      </c>
      <c r="B1507" s="491">
        <f t="shared" si="13"/>
        <v>343582.25</v>
      </c>
      <c r="C1507" s="491">
        <f t="shared" si="14"/>
        <v>343382.25</v>
      </c>
      <c r="D1507" s="747">
        <v>200</v>
      </c>
    </row>
    <row r="1508" spans="1:4" x14ac:dyDescent="0.2">
      <c r="A1508" s="514">
        <v>44476</v>
      </c>
      <c r="B1508" s="491">
        <f t="shared" si="13"/>
        <v>343606.26</v>
      </c>
      <c r="C1508" s="491">
        <v>343406.26</v>
      </c>
      <c r="D1508" s="747">
        <v>200</v>
      </c>
    </row>
    <row r="1509" spans="1:4" x14ac:dyDescent="0.2">
      <c r="A1509" s="514">
        <v>44477</v>
      </c>
      <c r="B1509" s="491">
        <f t="shared" si="13"/>
        <v>329221.56</v>
      </c>
      <c r="C1509" s="491">
        <v>329021.56</v>
      </c>
      <c r="D1509" s="747">
        <v>200</v>
      </c>
    </row>
    <row r="1510" spans="1:4" x14ac:dyDescent="0.2">
      <c r="A1510" s="514">
        <v>44480</v>
      </c>
      <c r="B1510" s="491">
        <f t="shared" si="13"/>
        <v>329221.56</v>
      </c>
      <c r="C1510" s="491">
        <f t="shared" si="14"/>
        <v>329021.56</v>
      </c>
      <c r="D1510" s="747">
        <v>200</v>
      </c>
    </row>
    <row r="1511" spans="1:4" x14ac:dyDescent="0.2">
      <c r="A1511" s="514">
        <v>44481</v>
      </c>
      <c r="B1511" s="491">
        <f t="shared" si="13"/>
        <v>288818.46999999997</v>
      </c>
      <c r="C1511" s="491">
        <v>288618.46999999997</v>
      </c>
      <c r="D1511" s="747">
        <v>200</v>
      </c>
    </row>
    <row r="1512" spans="1:4" x14ac:dyDescent="0.2">
      <c r="A1512" s="514">
        <v>44482</v>
      </c>
      <c r="B1512" s="491">
        <f t="shared" si="13"/>
        <v>288818.46999999997</v>
      </c>
      <c r="C1512" s="491">
        <f t="shared" si="14"/>
        <v>288618.46999999997</v>
      </c>
      <c r="D1512" s="747">
        <v>200</v>
      </c>
    </row>
    <row r="1513" spans="1:4" x14ac:dyDescent="0.2">
      <c r="A1513" s="514">
        <v>44483</v>
      </c>
      <c r="B1513" s="491">
        <f t="shared" si="13"/>
        <v>295077.74</v>
      </c>
      <c r="C1513" s="491">
        <v>294877.74</v>
      </c>
      <c r="D1513" s="747">
        <v>200</v>
      </c>
    </row>
    <row r="1514" spans="1:4" x14ac:dyDescent="0.2">
      <c r="A1514" s="514">
        <v>44484</v>
      </c>
      <c r="B1514" s="491">
        <f t="shared" si="13"/>
        <v>313755.08</v>
      </c>
      <c r="C1514" s="491">
        <v>313555.08</v>
      </c>
      <c r="D1514" s="747">
        <v>200</v>
      </c>
    </row>
    <row r="1515" spans="1:4" x14ac:dyDescent="0.2">
      <c r="A1515" s="514">
        <v>44487</v>
      </c>
      <c r="B1515" s="491">
        <f t="shared" si="13"/>
        <v>314129.08</v>
      </c>
      <c r="C1515" s="491">
        <v>313929.08</v>
      </c>
      <c r="D1515" s="747">
        <v>200</v>
      </c>
    </row>
    <row r="1516" spans="1:4" x14ac:dyDescent="0.2">
      <c r="A1516" s="514">
        <v>44488</v>
      </c>
      <c r="B1516" s="491">
        <f t="shared" si="13"/>
        <v>314618.64</v>
      </c>
      <c r="C1516" s="491">
        <v>314418.64</v>
      </c>
      <c r="D1516" s="747">
        <v>200</v>
      </c>
    </row>
    <row r="1517" spans="1:4" x14ac:dyDescent="0.2">
      <c r="A1517" s="514">
        <v>44489</v>
      </c>
      <c r="B1517" s="491">
        <f t="shared" si="13"/>
        <v>312798.90999999997</v>
      </c>
      <c r="C1517" s="491">
        <v>312598.90999999997</v>
      </c>
      <c r="D1517" s="747">
        <v>200</v>
      </c>
    </row>
    <row r="1518" spans="1:4" x14ac:dyDescent="0.2">
      <c r="A1518" s="514">
        <v>44490</v>
      </c>
      <c r="B1518" s="491">
        <f t="shared" si="13"/>
        <v>312798.90999999997</v>
      </c>
      <c r="C1518" s="491">
        <f t="shared" si="14"/>
        <v>312598.90999999997</v>
      </c>
      <c r="D1518" s="747">
        <v>200</v>
      </c>
    </row>
    <row r="1519" spans="1:4" x14ac:dyDescent="0.2">
      <c r="A1519" s="514">
        <v>44491</v>
      </c>
      <c r="B1519" s="491">
        <f t="shared" si="13"/>
        <v>312852.06</v>
      </c>
      <c r="C1519" s="491">
        <v>312652.06</v>
      </c>
      <c r="D1519" s="747">
        <v>200</v>
      </c>
    </row>
    <row r="1520" spans="1:4" x14ac:dyDescent="0.2">
      <c r="A1520" s="514">
        <v>44494</v>
      </c>
      <c r="B1520" s="491">
        <f t="shared" si="13"/>
        <v>276164.93</v>
      </c>
      <c r="C1520" s="491">
        <v>275964.93</v>
      </c>
      <c r="D1520" s="747">
        <v>200</v>
      </c>
    </row>
    <row r="1521" spans="1:4" x14ac:dyDescent="0.2">
      <c r="A1521" s="514">
        <v>44495</v>
      </c>
      <c r="B1521" s="491">
        <f t="shared" ref="B1521:B1584" si="15">C1521+D1521</f>
        <v>272175.64</v>
      </c>
      <c r="C1521" s="491">
        <v>271975.64</v>
      </c>
      <c r="D1521" s="747">
        <v>200</v>
      </c>
    </row>
    <row r="1522" spans="1:4" x14ac:dyDescent="0.2">
      <c r="A1522" s="514">
        <v>44496</v>
      </c>
      <c r="B1522" s="491">
        <f t="shared" si="15"/>
        <v>272175.64</v>
      </c>
      <c r="C1522" s="491">
        <f t="shared" si="14"/>
        <v>271975.64</v>
      </c>
      <c r="D1522" s="747">
        <v>200</v>
      </c>
    </row>
    <row r="1523" spans="1:4" x14ac:dyDescent="0.2">
      <c r="A1523" s="514">
        <v>44497</v>
      </c>
      <c r="B1523" s="491">
        <f t="shared" si="15"/>
        <v>272474.64</v>
      </c>
      <c r="C1523" s="491">
        <v>272274.64</v>
      </c>
      <c r="D1523" s="747">
        <v>200</v>
      </c>
    </row>
    <row r="1524" spans="1:4" x14ac:dyDescent="0.2">
      <c r="A1524" s="514">
        <v>44498</v>
      </c>
      <c r="B1524" s="491">
        <f t="shared" si="15"/>
        <v>272174.19</v>
      </c>
      <c r="C1524" s="491">
        <v>271974.19</v>
      </c>
      <c r="D1524" s="747">
        <v>200</v>
      </c>
    </row>
    <row r="1525" spans="1:4" x14ac:dyDescent="0.2">
      <c r="A1525" s="514">
        <v>44501</v>
      </c>
      <c r="B1525" s="491">
        <f t="shared" si="15"/>
        <v>272174.19</v>
      </c>
      <c r="C1525" s="491">
        <f>C1524</f>
        <v>271974.19</v>
      </c>
      <c r="D1525" s="747">
        <v>200</v>
      </c>
    </row>
    <row r="1526" spans="1:4" x14ac:dyDescent="0.2">
      <c r="A1526" s="514">
        <v>44502</v>
      </c>
      <c r="B1526" s="491">
        <f t="shared" si="15"/>
        <v>272174.19</v>
      </c>
      <c r="C1526" s="491">
        <f t="shared" ref="C1526:C1564" si="16">C1525</f>
        <v>271974.19</v>
      </c>
      <c r="D1526" s="747">
        <v>200</v>
      </c>
    </row>
    <row r="1527" spans="1:4" x14ac:dyDescent="0.2">
      <c r="A1527" s="514">
        <v>44503</v>
      </c>
      <c r="B1527" s="491">
        <f t="shared" si="15"/>
        <v>260821.81</v>
      </c>
      <c r="C1527" s="491">
        <v>260621.81</v>
      </c>
      <c r="D1527" s="747">
        <v>200</v>
      </c>
    </row>
    <row r="1528" spans="1:4" x14ac:dyDescent="0.2">
      <c r="A1528" s="514">
        <v>44504</v>
      </c>
      <c r="B1528" s="491">
        <f t="shared" si="15"/>
        <v>260821.81</v>
      </c>
      <c r="C1528" s="491">
        <f t="shared" si="16"/>
        <v>260621.81</v>
      </c>
      <c r="D1528" s="747">
        <v>200</v>
      </c>
    </row>
    <row r="1529" spans="1:4" x14ac:dyDescent="0.2">
      <c r="A1529" s="514">
        <v>44505</v>
      </c>
      <c r="B1529" s="491">
        <f t="shared" si="15"/>
        <v>260821.81</v>
      </c>
      <c r="C1529" s="491">
        <f t="shared" si="16"/>
        <v>260621.81</v>
      </c>
      <c r="D1529" s="747">
        <v>200</v>
      </c>
    </row>
    <row r="1530" spans="1:4" x14ac:dyDescent="0.2">
      <c r="A1530" s="514">
        <v>44508</v>
      </c>
      <c r="B1530" s="549">
        <f t="shared" si="15"/>
        <v>224274.32</v>
      </c>
      <c r="C1530" s="491">
        <v>224074.32</v>
      </c>
      <c r="D1530" s="747">
        <v>200</v>
      </c>
    </row>
    <row r="1531" spans="1:4" x14ac:dyDescent="0.2">
      <c r="A1531" s="514">
        <v>44509</v>
      </c>
      <c r="B1531" s="491">
        <f t="shared" si="15"/>
        <v>239871.56</v>
      </c>
      <c r="C1531" s="491">
        <v>239671.56</v>
      </c>
      <c r="D1531" s="747">
        <v>200</v>
      </c>
    </row>
    <row r="1532" spans="1:4" x14ac:dyDescent="0.2">
      <c r="A1532" s="514">
        <v>44510</v>
      </c>
      <c r="B1532" s="491">
        <f t="shared" si="15"/>
        <v>260426.56</v>
      </c>
      <c r="C1532" s="491">
        <v>260226.56</v>
      </c>
      <c r="D1532" s="747">
        <v>200</v>
      </c>
    </row>
    <row r="1533" spans="1:4" x14ac:dyDescent="0.2">
      <c r="A1533" s="514">
        <v>44511</v>
      </c>
      <c r="B1533" s="491">
        <f t="shared" si="15"/>
        <v>260426.56</v>
      </c>
      <c r="C1533" s="491">
        <f t="shared" si="16"/>
        <v>260226.56</v>
      </c>
      <c r="D1533" s="747">
        <v>200</v>
      </c>
    </row>
    <row r="1534" spans="1:4" x14ac:dyDescent="0.2">
      <c r="A1534" s="514">
        <v>44512</v>
      </c>
      <c r="B1534" s="491">
        <f t="shared" si="15"/>
        <v>260450.57</v>
      </c>
      <c r="C1534" s="491">
        <v>260250.57</v>
      </c>
      <c r="D1534" s="747">
        <v>200</v>
      </c>
    </row>
    <row r="1535" spans="1:4" x14ac:dyDescent="0.2">
      <c r="A1535" s="514">
        <v>44515</v>
      </c>
      <c r="B1535" s="491">
        <f t="shared" si="15"/>
        <v>260178.68</v>
      </c>
      <c r="C1535" s="491">
        <v>259978.68</v>
      </c>
      <c r="D1535" s="747">
        <v>200</v>
      </c>
    </row>
    <row r="1536" spans="1:4" x14ac:dyDescent="0.2">
      <c r="A1536" s="514">
        <v>44516</v>
      </c>
      <c r="B1536" s="491">
        <f t="shared" si="15"/>
        <v>260178.68</v>
      </c>
      <c r="C1536" s="491">
        <f t="shared" si="16"/>
        <v>259978.68</v>
      </c>
      <c r="D1536" s="747">
        <v>200</v>
      </c>
    </row>
    <row r="1537" spans="1:4" x14ac:dyDescent="0.2">
      <c r="A1537" s="514">
        <v>44517</v>
      </c>
      <c r="B1537" s="491">
        <f t="shared" si="15"/>
        <v>260178.68</v>
      </c>
      <c r="C1537" s="491">
        <f t="shared" si="16"/>
        <v>259978.68</v>
      </c>
      <c r="D1537" s="747">
        <v>200</v>
      </c>
    </row>
    <row r="1538" spans="1:4" x14ac:dyDescent="0.2">
      <c r="A1538" s="514">
        <v>44518</v>
      </c>
      <c r="B1538" s="491">
        <f t="shared" si="15"/>
        <v>298441.25</v>
      </c>
      <c r="C1538" s="491">
        <v>298241.25</v>
      </c>
      <c r="D1538" s="747">
        <v>200</v>
      </c>
    </row>
    <row r="1539" spans="1:4" x14ac:dyDescent="0.2">
      <c r="A1539" s="514">
        <v>44519</v>
      </c>
      <c r="B1539" s="491">
        <f t="shared" si="15"/>
        <v>302391.25</v>
      </c>
      <c r="C1539" s="491">
        <v>302191.25</v>
      </c>
      <c r="D1539" s="747">
        <v>200</v>
      </c>
    </row>
    <row r="1540" spans="1:4" x14ac:dyDescent="0.2">
      <c r="A1540" s="514">
        <v>44522</v>
      </c>
      <c r="B1540" s="491">
        <f t="shared" si="15"/>
        <v>261860.06</v>
      </c>
      <c r="C1540" s="491">
        <v>261660.06</v>
      </c>
      <c r="D1540" s="747">
        <v>200</v>
      </c>
    </row>
    <row r="1541" spans="1:4" x14ac:dyDescent="0.2">
      <c r="A1541" s="514">
        <v>44523</v>
      </c>
      <c r="B1541" s="491">
        <f t="shared" si="15"/>
        <v>261860.06</v>
      </c>
      <c r="C1541" s="491">
        <f t="shared" si="16"/>
        <v>261660.06</v>
      </c>
      <c r="D1541" s="747">
        <v>200</v>
      </c>
    </row>
    <row r="1542" spans="1:4" x14ac:dyDescent="0.2">
      <c r="A1542" s="514">
        <v>44524</v>
      </c>
      <c r="B1542" s="491">
        <f t="shared" si="15"/>
        <v>336740.96</v>
      </c>
      <c r="C1542" s="491">
        <v>336540.96</v>
      </c>
      <c r="D1542" s="747">
        <v>200</v>
      </c>
    </row>
    <row r="1543" spans="1:4" x14ac:dyDescent="0.2">
      <c r="A1543" s="514">
        <v>44525</v>
      </c>
      <c r="B1543" s="491">
        <f t="shared" si="15"/>
        <v>336740.96</v>
      </c>
      <c r="C1543" s="491">
        <f t="shared" si="16"/>
        <v>336540.96</v>
      </c>
      <c r="D1543" s="747">
        <v>200</v>
      </c>
    </row>
    <row r="1544" spans="1:4" x14ac:dyDescent="0.2">
      <c r="A1544" s="514">
        <v>44526</v>
      </c>
      <c r="B1544" s="491">
        <f t="shared" si="15"/>
        <v>396383.57</v>
      </c>
      <c r="C1544" s="491">
        <v>396183.57</v>
      </c>
      <c r="D1544" s="747">
        <v>200</v>
      </c>
    </row>
    <row r="1545" spans="1:4" x14ac:dyDescent="0.2">
      <c r="A1545" s="514">
        <v>44529</v>
      </c>
      <c r="B1545" s="491">
        <f t="shared" si="15"/>
        <v>396383.57</v>
      </c>
      <c r="C1545" s="491">
        <f t="shared" si="16"/>
        <v>396183.57</v>
      </c>
      <c r="D1545" s="747">
        <v>200</v>
      </c>
    </row>
    <row r="1546" spans="1:4" x14ac:dyDescent="0.2">
      <c r="A1546" s="514">
        <v>44530</v>
      </c>
      <c r="B1546" s="491">
        <f t="shared" si="15"/>
        <v>396383.57</v>
      </c>
      <c r="C1546" s="491">
        <f t="shared" si="16"/>
        <v>396183.57</v>
      </c>
      <c r="D1546" s="747">
        <v>200</v>
      </c>
    </row>
    <row r="1547" spans="1:4" x14ac:dyDescent="0.2">
      <c r="A1547" s="514">
        <v>44531</v>
      </c>
      <c r="B1547" s="491">
        <f t="shared" si="15"/>
        <v>406646.33</v>
      </c>
      <c r="C1547" s="491">
        <v>406446.33</v>
      </c>
      <c r="D1547" s="747">
        <v>200</v>
      </c>
    </row>
    <row r="1548" spans="1:4" x14ac:dyDescent="0.2">
      <c r="A1548" s="514">
        <v>44532</v>
      </c>
      <c r="B1548" s="491">
        <f t="shared" si="15"/>
        <v>406646.33</v>
      </c>
      <c r="C1548" s="491">
        <f t="shared" si="16"/>
        <v>406446.33</v>
      </c>
      <c r="D1548" s="747">
        <v>200</v>
      </c>
    </row>
    <row r="1549" spans="1:4" x14ac:dyDescent="0.2">
      <c r="A1549" s="514">
        <v>44533</v>
      </c>
      <c r="B1549" s="491">
        <f t="shared" si="15"/>
        <v>402705.53</v>
      </c>
      <c r="C1549" s="491">
        <v>402505.53</v>
      </c>
      <c r="D1549" s="747">
        <v>200</v>
      </c>
    </row>
    <row r="1550" spans="1:4" x14ac:dyDescent="0.2">
      <c r="A1550" s="514">
        <v>44536</v>
      </c>
      <c r="B1550" s="491">
        <f t="shared" si="15"/>
        <v>402705.53</v>
      </c>
      <c r="C1550" s="491">
        <f t="shared" si="16"/>
        <v>402505.53</v>
      </c>
      <c r="D1550" s="747">
        <v>200</v>
      </c>
    </row>
    <row r="1551" spans="1:4" x14ac:dyDescent="0.2">
      <c r="A1551" s="514">
        <v>44537</v>
      </c>
      <c r="B1551" s="491">
        <f t="shared" si="15"/>
        <v>367227.88</v>
      </c>
      <c r="C1551" s="491">
        <v>367027.88</v>
      </c>
      <c r="D1551" s="747">
        <v>200</v>
      </c>
    </row>
    <row r="1552" spans="1:4" x14ac:dyDescent="0.2">
      <c r="A1552" s="514">
        <v>44538</v>
      </c>
      <c r="B1552" s="491">
        <f t="shared" si="15"/>
        <v>367227.88</v>
      </c>
      <c r="C1552" s="491">
        <f t="shared" si="16"/>
        <v>367027.88</v>
      </c>
      <c r="D1552" s="747">
        <v>200</v>
      </c>
    </row>
    <row r="1553" spans="1:4" x14ac:dyDescent="0.2">
      <c r="A1553" s="514">
        <v>44539</v>
      </c>
      <c r="B1553" s="491">
        <f t="shared" si="15"/>
        <v>361816.56</v>
      </c>
      <c r="C1553" s="491">
        <v>361616.56</v>
      </c>
      <c r="D1553" s="747">
        <v>200</v>
      </c>
    </row>
    <row r="1554" spans="1:4" x14ac:dyDescent="0.2">
      <c r="A1554" s="514">
        <v>44540</v>
      </c>
      <c r="B1554" s="491">
        <f t="shared" si="15"/>
        <v>363428.01</v>
      </c>
      <c r="C1554" s="491">
        <v>363228.01</v>
      </c>
      <c r="D1554" s="747">
        <v>200</v>
      </c>
    </row>
    <row r="1555" spans="1:4" x14ac:dyDescent="0.2">
      <c r="A1555" s="514">
        <v>44543</v>
      </c>
      <c r="B1555" s="491">
        <f t="shared" si="15"/>
        <v>363428.01</v>
      </c>
      <c r="C1555" s="491">
        <f t="shared" si="16"/>
        <v>363228.01</v>
      </c>
      <c r="D1555" s="747">
        <v>200</v>
      </c>
    </row>
    <row r="1556" spans="1:4" x14ac:dyDescent="0.2">
      <c r="A1556" s="514">
        <v>44544</v>
      </c>
      <c r="B1556" s="491">
        <f t="shared" si="15"/>
        <v>388311.01</v>
      </c>
      <c r="C1556" s="491">
        <v>388111.01</v>
      </c>
      <c r="D1556" s="747">
        <v>200</v>
      </c>
    </row>
    <row r="1557" spans="1:4" x14ac:dyDescent="0.2">
      <c r="A1557" s="514">
        <v>44545</v>
      </c>
      <c r="B1557" s="491">
        <f t="shared" si="15"/>
        <v>388648.09</v>
      </c>
      <c r="C1557" s="491">
        <v>388448.09</v>
      </c>
      <c r="D1557" s="747">
        <v>200</v>
      </c>
    </row>
    <row r="1558" spans="1:4" x14ac:dyDescent="0.2">
      <c r="A1558" s="514">
        <v>44546</v>
      </c>
      <c r="B1558" s="491">
        <f t="shared" si="15"/>
        <v>388648.09</v>
      </c>
      <c r="C1558" s="491">
        <f t="shared" si="16"/>
        <v>388448.09</v>
      </c>
      <c r="D1558" s="747">
        <v>200</v>
      </c>
    </row>
    <row r="1559" spans="1:4" x14ac:dyDescent="0.2">
      <c r="A1559" s="514">
        <v>44547</v>
      </c>
      <c r="B1559" s="491">
        <f t="shared" si="15"/>
        <v>388648.09</v>
      </c>
      <c r="C1559" s="491">
        <f t="shared" si="16"/>
        <v>388448.09</v>
      </c>
      <c r="D1559" s="747">
        <v>200</v>
      </c>
    </row>
    <row r="1560" spans="1:4" x14ac:dyDescent="0.2">
      <c r="A1560" s="514">
        <v>44550</v>
      </c>
      <c r="B1560" s="491">
        <f t="shared" si="15"/>
        <v>402388.44</v>
      </c>
      <c r="C1560" s="491">
        <v>402188.44</v>
      </c>
      <c r="D1560" s="747">
        <v>200</v>
      </c>
    </row>
    <row r="1561" spans="1:4" x14ac:dyDescent="0.2">
      <c r="A1561" s="514">
        <v>44551</v>
      </c>
      <c r="B1561" s="491">
        <f t="shared" si="15"/>
        <v>364870.61</v>
      </c>
      <c r="C1561" s="491">
        <v>364670.61</v>
      </c>
      <c r="D1561" s="747">
        <v>200</v>
      </c>
    </row>
    <row r="1562" spans="1:4" x14ac:dyDescent="0.2">
      <c r="A1562" s="514">
        <v>44552</v>
      </c>
      <c r="B1562" s="491">
        <f t="shared" si="15"/>
        <v>364870.61</v>
      </c>
      <c r="C1562" s="491">
        <f t="shared" si="16"/>
        <v>364670.61</v>
      </c>
      <c r="D1562" s="747">
        <v>200</v>
      </c>
    </row>
    <row r="1563" spans="1:4" x14ac:dyDescent="0.2">
      <c r="A1563" s="514">
        <v>44553</v>
      </c>
      <c r="B1563" s="491">
        <f t="shared" si="15"/>
        <v>364270.61</v>
      </c>
      <c r="C1563" s="491">
        <v>364070.61</v>
      </c>
      <c r="D1563" s="747">
        <v>200</v>
      </c>
    </row>
    <row r="1564" spans="1:4" x14ac:dyDescent="0.2">
      <c r="A1564" s="514">
        <v>44554</v>
      </c>
      <c r="B1564" s="491">
        <f t="shared" si="15"/>
        <v>364270.61</v>
      </c>
      <c r="C1564" s="491">
        <f t="shared" si="16"/>
        <v>364070.61</v>
      </c>
      <c r="D1564" s="747">
        <v>200</v>
      </c>
    </row>
    <row r="1565" spans="1:4" x14ac:dyDescent="0.2">
      <c r="A1565" s="514">
        <v>44557</v>
      </c>
      <c r="B1565" s="491">
        <f t="shared" si="15"/>
        <v>364511.61</v>
      </c>
      <c r="C1565" s="491">
        <v>364311.61</v>
      </c>
      <c r="D1565" s="747">
        <v>200</v>
      </c>
    </row>
    <row r="1566" spans="1:4" x14ac:dyDescent="0.2">
      <c r="A1566" s="514">
        <v>44558</v>
      </c>
      <c r="B1566" s="491">
        <f t="shared" si="15"/>
        <v>366287.78</v>
      </c>
      <c r="C1566" s="491">
        <v>366087.78</v>
      </c>
      <c r="D1566" s="747">
        <v>200</v>
      </c>
    </row>
    <row r="1567" spans="1:4" x14ac:dyDescent="0.2">
      <c r="A1567" s="514">
        <v>44559</v>
      </c>
      <c r="B1567" s="491">
        <f t="shared" si="15"/>
        <v>406505.93</v>
      </c>
      <c r="C1567" s="491">
        <v>406305.93</v>
      </c>
      <c r="D1567" s="747">
        <v>200</v>
      </c>
    </row>
    <row r="1568" spans="1:4" x14ac:dyDescent="0.2">
      <c r="A1568" s="514">
        <v>44560</v>
      </c>
      <c r="B1568" s="491">
        <f>C1568+D1568</f>
        <v>406602.93</v>
      </c>
      <c r="C1568" s="491">
        <v>406402.93</v>
      </c>
      <c r="D1568" s="747">
        <v>200</v>
      </c>
    </row>
    <row r="1569" spans="1:4" x14ac:dyDescent="0.2">
      <c r="A1569" s="514">
        <v>44561</v>
      </c>
      <c r="B1569" s="491">
        <f t="shared" si="15"/>
        <v>406700.45</v>
      </c>
      <c r="C1569" s="491">
        <v>406500.45</v>
      </c>
      <c r="D1569" s="747">
        <v>200</v>
      </c>
    </row>
    <row r="1570" spans="1:4" x14ac:dyDescent="0.2">
      <c r="A1570" s="514">
        <v>44564</v>
      </c>
      <c r="B1570" s="491">
        <f t="shared" si="15"/>
        <v>406650.45</v>
      </c>
      <c r="C1570" s="491">
        <v>406450.45</v>
      </c>
      <c r="D1570" s="747">
        <v>200</v>
      </c>
    </row>
    <row r="1571" spans="1:4" x14ac:dyDescent="0.2">
      <c r="A1571" s="514">
        <v>44565</v>
      </c>
      <c r="B1571" s="491">
        <f t="shared" si="15"/>
        <v>372842.39</v>
      </c>
      <c r="C1571" s="491">
        <v>372642.39</v>
      </c>
      <c r="D1571" s="747">
        <v>200</v>
      </c>
    </row>
    <row r="1572" spans="1:4" x14ac:dyDescent="0.2">
      <c r="A1572" s="514">
        <v>44566</v>
      </c>
      <c r="B1572" s="491">
        <f t="shared" si="15"/>
        <v>370078.36</v>
      </c>
      <c r="C1572" s="491">
        <v>369878.36</v>
      </c>
      <c r="D1572" s="747">
        <v>200</v>
      </c>
    </row>
    <row r="1573" spans="1:4" x14ac:dyDescent="0.2">
      <c r="A1573" s="514">
        <v>44567</v>
      </c>
      <c r="B1573" s="491">
        <f t="shared" si="15"/>
        <v>368257.32</v>
      </c>
      <c r="C1573" s="491">
        <v>368057.32</v>
      </c>
      <c r="D1573" s="747">
        <v>200</v>
      </c>
    </row>
    <row r="1574" spans="1:4" x14ac:dyDescent="0.2">
      <c r="A1574" s="514">
        <v>44568</v>
      </c>
      <c r="B1574" s="491">
        <f t="shared" si="15"/>
        <v>369146.3</v>
      </c>
      <c r="C1574" s="491">
        <v>368946.3</v>
      </c>
      <c r="D1574" s="747">
        <v>200</v>
      </c>
    </row>
    <row r="1575" spans="1:4" x14ac:dyDescent="0.2">
      <c r="A1575" s="514">
        <v>44571</v>
      </c>
      <c r="B1575" s="491">
        <f t="shared" si="15"/>
        <v>369146.3</v>
      </c>
      <c r="C1575" s="491">
        <f t="shared" ref="C1575:C1637" si="17">C1574</f>
        <v>368946.3</v>
      </c>
      <c r="D1575" s="747">
        <v>200</v>
      </c>
    </row>
    <row r="1576" spans="1:4" x14ac:dyDescent="0.2">
      <c r="A1576" s="514">
        <v>44572</v>
      </c>
      <c r="B1576" s="491">
        <f t="shared" si="15"/>
        <v>369146.3</v>
      </c>
      <c r="C1576" s="491">
        <f t="shared" si="17"/>
        <v>368946.3</v>
      </c>
      <c r="D1576" s="747">
        <v>200</v>
      </c>
    </row>
    <row r="1577" spans="1:4" x14ac:dyDescent="0.2">
      <c r="A1577" s="514">
        <v>44573</v>
      </c>
      <c r="B1577" s="491">
        <f t="shared" si="15"/>
        <v>369146.3</v>
      </c>
      <c r="C1577" s="491">
        <f t="shared" si="17"/>
        <v>368946.3</v>
      </c>
      <c r="D1577" s="747">
        <v>200</v>
      </c>
    </row>
    <row r="1578" spans="1:4" x14ac:dyDescent="0.2">
      <c r="A1578" s="514">
        <v>44574</v>
      </c>
      <c r="B1578" s="491">
        <f t="shared" si="15"/>
        <v>369318.3</v>
      </c>
      <c r="C1578" s="491">
        <v>369118.3</v>
      </c>
      <c r="D1578" s="747">
        <v>200</v>
      </c>
    </row>
    <row r="1579" spans="1:4" x14ac:dyDescent="0.2">
      <c r="A1579" s="514">
        <v>44575</v>
      </c>
      <c r="B1579" s="491">
        <f t="shared" si="15"/>
        <v>369357.16</v>
      </c>
      <c r="C1579" s="491">
        <v>369157.16</v>
      </c>
      <c r="D1579" s="747">
        <v>200</v>
      </c>
    </row>
    <row r="1580" spans="1:4" x14ac:dyDescent="0.2">
      <c r="A1580" s="514">
        <v>44578</v>
      </c>
      <c r="B1580" s="491">
        <f t="shared" si="15"/>
        <v>369357.16</v>
      </c>
      <c r="C1580" s="491">
        <f t="shared" si="17"/>
        <v>369157.16</v>
      </c>
      <c r="D1580" s="747">
        <v>200</v>
      </c>
    </row>
    <row r="1581" spans="1:4" x14ac:dyDescent="0.2">
      <c r="A1581" s="514">
        <v>44579</v>
      </c>
      <c r="B1581" s="491">
        <f t="shared" si="15"/>
        <v>328912.42</v>
      </c>
      <c r="C1581" s="491">
        <v>328712.42</v>
      </c>
      <c r="D1581" s="747">
        <v>200</v>
      </c>
    </row>
    <row r="1582" spans="1:4" x14ac:dyDescent="0.2">
      <c r="A1582" s="514">
        <v>44580</v>
      </c>
      <c r="B1582" s="491">
        <f t="shared" si="15"/>
        <v>324854.01</v>
      </c>
      <c r="C1582" s="491">
        <v>324654.01</v>
      </c>
      <c r="D1582" s="747">
        <v>200</v>
      </c>
    </row>
    <row r="1583" spans="1:4" x14ac:dyDescent="0.2">
      <c r="A1583" s="514">
        <v>44581</v>
      </c>
      <c r="B1583" s="491">
        <f t="shared" si="15"/>
        <v>373026.22</v>
      </c>
      <c r="C1583" s="491">
        <v>372826.22</v>
      </c>
      <c r="D1583" s="747">
        <v>200</v>
      </c>
    </row>
    <row r="1584" spans="1:4" ht="12.75" customHeight="1" x14ac:dyDescent="0.2">
      <c r="A1584" s="514">
        <v>44582</v>
      </c>
      <c r="B1584" s="491">
        <f t="shared" si="15"/>
        <v>372715.39</v>
      </c>
      <c r="C1584" s="491">
        <v>372515.39</v>
      </c>
      <c r="D1584" s="747">
        <v>200</v>
      </c>
    </row>
    <row r="1585" spans="1:4" x14ac:dyDescent="0.2">
      <c r="A1585" s="514">
        <v>44585</v>
      </c>
      <c r="B1585" s="491">
        <f t="shared" ref="B1585:B1648" si="18">C1585+D1585</f>
        <v>352413.78</v>
      </c>
      <c r="C1585" s="491">
        <v>352213.78</v>
      </c>
      <c r="D1585" s="747">
        <v>200</v>
      </c>
    </row>
    <row r="1586" spans="1:4" x14ac:dyDescent="0.2">
      <c r="A1586" s="514">
        <v>44586</v>
      </c>
      <c r="B1586" s="491">
        <f t="shared" si="18"/>
        <v>324543.71999999997</v>
      </c>
      <c r="C1586" s="491">
        <v>324343.71999999997</v>
      </c>
      <c r="D1586" s="747">
        <v>200</v>
      </c>
    </row>
    <row r="1587" spans="1:4" x14ac:dyDescent="0.2">
      <c r="A1587" s="514">
        <v>44587</v>
      </c>
      <c r="B1587" s="491">
        <f t="shared" si="18"/>
        <v>324510.76</v>
      </c>
      <c r="C1587" s="491">
        <v>324310.76</v>
      </c>
      <c r="D1587" s="747">
        <v>200</v>
      </c>
    </row>
    <row r="1588" spans="1:4" x14ac:dyDescent="0.2">
      <c r="A1588" s="514">
        <v>44588</v>
      </c>
      <c r="B1588" s="491">
        <f t="shared" si="18"/>
        <v>290902.11</v>
      </c>
      <c r="C1588" s="491">
        <v>290702.11</v>
      </c>
      <c r="D1588" s="747">
        <v>200</v>
      </c>
    </row>
    <row r="1589" spans="1:4" x14ac:dyDescent="0.2">
      <c r="A1589" s="514">
        <v>44589</v>
      </c>
      <c r="B1589" s="491">
        <f t="shared" si="18"/>
        <v>290902.11</v>
      </c>
      <c r="C1589" s="491">
        <f t="shared" si="17"/>
        <v>290702.11</v>
      </c>
      <c r="D1589" s="747">
        <v>200</v>
      </c>
    </row>
    <row r="1590" spans="1:4" x14ac:dyDescent="0.2">
      <c r="A1590" s="514">
        <v>44592</v>
      </c>
      <c r="B1590" s="491">
        <f t="shared" si="18"/>
        <v>309578.59999999998</v>
      </c>
      <c r="C1590" s="491">
        <v>309378.59999999998</v>
      </c>
      <c r="D1590" s="747">
        <v>200</v>
      </c>
    </row>
    <row r="1591" spans="1:4" x14ac:dyDescent="0.2">
      <c r="A1591" s="514">
        <v>44593</v>
      </c>
      <c r="B1591" s="491">
        <f t="shared" si="18"/>
        <v>292963.95</v>
      </c>
      <c r="C1591" s="491">
        <v>292763.95</v>
      </c>
      <c r="D1591" s="747">
        <v>200</v>
      </c>
    </row>
    <row r="1592" spans="1:4" x14ac:dyDescent="0.2">
      <c r="A1592" s="514">
        <v>44594</v>
      </c>
      <c r="B1592" s="491">
        <f t="shared" si="18"/>
        <v>345714.5</v>
      </c>
      <c r="C1592" s="491">
        <v>345514.5</v>
      </c>
      <c r="D1592" s="747">
        <v>200</v>
      </c>
    </row>
    <row r="1593" spans="1:4" x14ac:dyDescent="0.2">
      <c r="A1593" s="514">
        <v>44595</v>
      </c>
      <c r="B1593" s="491">
        <f t="shared" si="18"/>
        <v>344030.58</v>
      </c>
      <c r="C1593" s="491">
        <v>343830.58</v>
      </c>
      <c r="D1593" s="747">
        <v>200</v>
      </c>
    </row>
    <row r="1594" spans="1:4" x14ac:dyDescent="0.2">
      <c r="A1594" s="514">
        <v>44596</v>
      </c>
      <c r="B1594" s="491">
        <f t="shared" si="18"/>
        <v>387503.42</v>
      </c>
      <c r="C1594" s="491">
        <v>387303.42</v>
      </c>
      <c r="D1594" s="747">
        <v>200</v>
      </c>
    </row>
    <row r="1595" spans="1:4" x14ac:dyDescent="0.2">
      <c r="A1595" s="514">
        <v>44599</v>
      </c>
      <c r="B1595" s="491">
        <f t="shared" si="18"/>
        <v>387503.42</v>
      </c>
      <c r="C1595" s="491">
        <f t="shared" si="17"/>
        <v>387303.42</v>
      </c>
      <c r="D1595" s="747">
        <v>200</v>
      </c>
    </row>
    <row r="1596" spans="1:4" x14ac:dyDescent="0.2">
      <c r="A1596" s="514">
        <v>44600</v>
      </c>
      <c r="B1596" s="491">
        <f t="shared" si="18"/>
        <v>387503.42</v>
      </c>
      <c r="C1596" s="491">
        <f t="shared" si="17"/>
        <v>387303.42</v>
      </c>
      <c r="D1596" s="747">
        <v>200</v>
      </c>
    </row>
    <row r="1597" spans="1:4" x14ac:dyDescent="0.2">
      <c r="A1597" s="514">
        <v>44601</v>
      </c>
      <c r="B1597" s="491">
        <f t="shared" si="18"/>
        <v>387503.42</v>
      </c>
      <c r="C1597" s="491">
        <f t="shared" si="17"/>
        <v>387303.42</v>
      </c>
      <c r="D1597" s="747">
        <v>200</v>
      </c>
    </row>
    <row r="1598" spans="1:4" x14ac:dyDescent="0.2">
      <c r="A1598" s="514">
        <v>44602</v>
      </c>
      <c r="B1598" s="549">
        <f t="shared" si="18"/>
        <v>411517.59</v>
      </c>
      <c r="C1598" s="491">
        <v>411317.59</v>
      </c>
      <c r="D1598" s="747">
        <v>200</v>
      </c>
    </row>
    <row r="1599" spans="1:4" x14ac:dyDescent="0.2">
      <c r="A1599" s="514">
        <v>44603</v>
      </c>
      <c r="B1599" s="491">
        <f t="shared" si="18"/>
        <v>388476.71</v>
      </c>
      <c r="C1599" s="491">
        <v>388276.71</v>
      </c>
      <c r="D1599" s="747">
        <v>200</v>
      </c>
    </row>
    <row r="1600" spans="1:4" x14ac:dyDescent="0.2">
      <c r="A1600" s="514">
        <v>44606</v>
      </c>
      <c r="B1600" s="491">
        <f t="shared" si="18"/>
        <v>388476.71</v>
      </c>
      <c r="C1600" s="491">
        <f t="shared" si="17"/>
        <v>388276.71</v>
      </c>
      <c r="D1600" s="747">
        <v>200</v>
      </c>
    </row>
    <row r="1601" spans="1:4" x14ac:dyDescent="0.2">
      <c r="A1601" s="514">
        <v>44607</v>
      </c>
      <c r="B1601" s="491">
        <f t="shared" si="18"/>
        <v>350398.25</v>
      </c>
      <c r="C1601" s="491">
        <v>350198.25</v>
      </c>
      <c r="D1601" s="747">
        <v>200</v>
      </c>
    </row>
    <row r="1602" spans="1:4" x14ac:dyDescent="0.2">
      <c r="A1602" s="514">
        <v>44608</v>
      </c>
      <c r="B1602" s="491">
        <f t="shared" si="18"/>
        <v>350398.25</v>
      </c>
      <c r="C1602" s="491">
        <f t="shared" si="17"/>
        <v>350198.25</v>
      </c>
      <c r="D1602" s="747">
        <v>200</v>
      </c>
    </row>
    <row r="1603" spans="1:4" x14ac:dyDescent="0.2">
      <c r="A1603" s="514">
        <v>44609</v>
      </c>
      <c r="B1603" s="491">
        <f t="shared" si="18"/>
        <v>329726.17</v>
      </c>
      <c r="C1603" s="491">
        <v>329526.17</v>
      </c>
      <c r="D1603" s="747">
        <v>200</v>
      </c>
    </row>
    <row r="1604" spans="1:4" x14ac:dyDescent="0.2">
      <c r="A1604" s="514">
        <v>44610</v>
      </c>
      <c r="B1604" s="491">
        <f t="shared" si="18"/>
        <v>329566.19</v>
      </c>
      <c r="C1604" s="491">
        <v>329366.19</v>
      </c>
      <c r="D1604" s="747">
        <v>200</v>
      </c>
    </row>
    <row r="1605" spans="1:4" x14ac:dyDescent="0.2">
      <c r="A1605" s="514">
        <v>44613</v>
      </c>
      <c r="B1605" s="491">
        <f t="shared" si="18"/>
        <v>329566.19</v>
      </c>
      <c r="C1605" s="491">
        <f t="shared" si="17"/>
        <v>329366.19</v>
      </c>
      <c r="D1605" s="747">
        <v>200</v>
      </c>
    </row>
    <row r="1606" spans="1:4" x14ac:dyDescent="0.2">
      <c r="A1606" s="514">
        <v>44614</v>
      </c>
      <c r="B1606" s="491">
        <f t="shared" si="18"/>
        <v>329566.19</v>
      </c>
      <c r="C1606" s="491">
        <f t="shared" si="17"/>
        <v>329366.19</v>
      </c>
      <c r="D1606" s="747">
        <v>200</v>
      </c>
    </row>
    <row r="1607" spans="1:4" x14ac:dyDescent="0.2">
      <c r="A1607" s="514">
        <v>44615</v>
      </c>
      <c r="B1607" s="491">
        <f t="shared" si="18"/>
        <v>330827.17</v>
      </c>
      <c r="C1607" s="491">
        <v>330627.17</v>
      </c>
      <c r="D1607" s="747">
        <v>200</v>
      </c>
    </row>
    <row r="1608" spans="1:4" x14ac:dyDescent="0.2">
      <c r="A1608" s="514">
        <v>44616</v>
      </c>
      <c r="B1608" s="491">
        <f t="shared" si="18"/>
        <v>331382.17</v>
      </c>
      <c r="C1608" s="491">
        <v>331182.17</v>
      </c>
      <c r="D1608" s="747">
        <v>200</v>
      </c>
    </row>
    <row r="1609" spans="1:4" x14ac:dyDescent="0.2">
      <c r="A1609" s="514">
        <v>44617</v>
      </c>
      <c r="B1609" s="491">
        <f t="shared" si="18"/>
        <v>331382.17</v>
      </c>
      <c r="C1609" s="491">
        <f t="shared" si="17"/>
        <v>331182.17</v>
      </c>
      <c r="D1609" s="747">
        <v>200</v>
      </c>
    </row>
    <row r="1610" spans="1:4" x14ac:dyDescent="0.2">
      <c r="A1610" s="514">
        <v>44620</v>
      </c>
      <c r="B1610" s="491">
        <f t="shared" si="18"/>
        <v>331382.17</v>
      </c>
      <c r="C1610" s="491">
        <f t="shared" si="17"/>
        <v>331182.17</v>
      </c>
      <c r="D1610" s="747">
        <v>200</v>
      </c>
    </row>
    <row r="1611" spans="1:4" x14ac:dyDescent="0.2">
      <c r="A1611" s="514">
        <v>44621</v>
      </c>
      <c r="B1611" s="491">
        <f t="shared" si="18"/>
        <v>293888.99</v>
      </c>
      <c r="C1611" s="491">
        <v>293688.99</v>
      </c>
      <c r="D1611" s="747">
        <v>200</v>
      </c>
    </row>
    <row r="1612" spans="1:4" x14ac:dyDescent="0.2">
      <c r="A1612" s="514">
        <v>44622</v>
      </c>
      <c r="B1612" s="491">
        <f t="shared" si="18"/>
        <v>321342.32</v>
      </c>
      <c r="C1612" s="491">
        <v>321142.32</v>
      </c>
      <c r="D1612" s="747">
        <v>200</v>
      </c>
    </row>
    <row r="1613" spans="1:4" x14ac:dyDescent="0.2">
      <c r="A1613" s="514">
        <v>44623</v>
      </c>
      <c r="B1613" s="491">
        <f t="shared" si="18"/>
        <v>328875.55</v>
      </c>
      <c r="C1613" s="491">
        <v>328675.55</v>
      </c>
      <c r="D1613" s="747">
        <v>200</v>
      </c>
    </row>
    <row r="1614" spans="1:4" x14ac:dyDescent="0.2">
      <c r="A1614" s="514">
        <v>44624</v>
      </c>
      <c r="B1614" s="491">
        <f t="shared" si="18"/>
        <v>311978.17</v>
      </c>
      <c r="C1614" s="491">
        <v>311778.17</v>
      </c>
      <c r="D1614" s="747">
        <v>200</v>
      </c>
    </row>
    <row r="1615" spans="1:4" x14ac:dyDescent="0.2">
      <c r="A1615" s="514">
        <v>44627</v>
      </c>
      <c r="B1615" s="491">
        <f t="shared" si="18"/>
        <v>311978.17</v>
      </c>
      <c r="C1615" s="491">
        <f t="shared" si="17"/>
        <v>311778.17</v>
      </c>
      <c r="D1615" s="747">
        <v>200</v>
      </c>
    </row>
    <row r="1616" spans="1:4" x14ac:dyDescent="0.2">
      <c r="A1616" s="514">
        <v>44628</v>
      </c>
      <c r="B1616" s="491">
        <f t="shared" si="18"/>
        <v>323791.65000000002</v>
      </c>
      <c r="C1616" s="491">
        <v>323591.65000000002</v>
      </c>
      <c r="D1616" s="747">
        <v>200</v>
      </c>
    </row>
    <row r="1617" spans="1:4" x14ac:dyDescent="0.2">
      <c r="A1617" s="514">
        <v>44629</v>
      </c>
      <c r="B1617" s="491">
        <f t="shared" si="18"/>
        <v>323791.65000000002</v>
      </c>
      <c r="C1617" s="491">
        <f t="shared" si="17"/>
        <v>323591.65000000002</v>
      </c>
      <c r="D1617" s="747">
        <v>200</v>
      </c>
    </row>
    <row r="1618" spans="1:4" x14ac:dyDescent="0.2">
      <c r="A1618" s="514">
        <v>44630</v>
      </c>
      <c r="B1618" s="491">
        <f t="shared" si="18"/>
        <v>304395.95</v>
      </c>
      <c r="C1618" s="491">
        <v>304195.95</v>
      </c>
      <c r="D1618" s="747">
        <v>200</v>
      </c>
    </row>
    <row r="1619" spans="1:4" x14ac:dyDescent="0.2">
      <c r="A1619" s="514">
        <v>44631</v>
      </c>
      <c r="B1619" s="491">
        <f t="shared" si="18"/>
        <v>304395.95</v>
      </c>
      <c r="C1619" s="491">
        <f t="shared" si="17"/>
        <v>304195.95</v>
      </c>
      <c r="D1619" s="747">
        <v>200</v>
      </c>
    </row>
    <row r="1620" spans="1:4" x14ac:dyDescent="0.2">
      <c r="A1620" s="514">
        <v>44634</v>
      </c>
      <c r="B1620" s="491">
        <f t="shared" si="18"/>
        <v>304395.95</v>
      </c>
      <c r="C1620" s="491">
        <f t="shared" si="17"/>
        <v>304195.95</v>
      </c>
      <c r="D1620" s="747">
        <v>200</v>
      </c>
    </row>
    <row r="1621" spans="1:4" x14ac:dyDescent="0.2">
      <c r="A1621" s="514">
        <v>44635</v>
      </c>
      <c r="B1621" s="491">
        <f t="shared" si="18"/>
        <v>354177.58</v>
      </c>
      <c r="C1621" s="491">
        <v>353977.58</v>
      </c>
      <c r="D1621" s="747">
        <v>200</v>
      </c>
    </row>
    <row r="1622" spans="1:4" x14ac:dyDescent="0.2">
      <c r="A1622" s="514">
        <v>44636</v>
      </c>
      <c r="B1622" s="491">
        <f t="shared" si="18"/>
        <v>354177.58</v>
      </c>
      <c r="C1622" s="491">
        <f t="shared" si="17"/>
        <v>353977.58</v>
      </c>
      <c r="D1622" s="747">
        <v>200</v>
      </c>
    </row>
    <row r="1623" spans="1:4" x14ac:dyDescent="0.2">
      <c r="A1623" s="514">
        <v>44637</v>
      </c>
      <c r="B1623" s="491">
        <f t="shared" si="18"/>
        <v>272443</v>
      </c>
      <c r="C1623" s="491">
        <v>272243</v>
      </c>
      <c r="D1623" s="747">
        <v>200</v>
      </c>
    </row>
    <row r="1624" spans="1:4" x14ac:dyDescent="0.2">
      <c r="A1624" s="514">
        <v>44638</v>
      </c>
      <c r="B1624" s="491">
        <f t="shared" si="18"/>
        <v>271968.02</v>
      </c>
      <c r="C1624" s="491">
        <v>271768.02</v>
      </c>
      <c r="D1624" s="747">
        <v>200</v>
      </c>
    </row>
    <row r="1625" spans="1:4" x14ac:dyDescent="0.2">
      <c r="A1625" s="514">
        <v>44641</v>
      </c>
      <c r="B1625" s="491">
        <f t="shared" si="18"/>
        <v>287143.02</v>
      </c>
      <c r="C1625" s="491">
        <v>286943.02</v>
      </c>
      <c r="D1625" s="747">
        <v>200</v>
      </c>
    </row>
    <row r="1626" spans="1:4" x14ac:dyDescent="0.2">
      <c r="A1626" s="514">
        <v>44642</v>
      </c>
      <c r="B1626" s="491">
        <f t="shared" si="18"/>
        <v>287143.02</v>
      </c>
      <c r="C1626" s="491">
        <f t="shared" si="17"/>
        <v>286943.02</v>
      </c>
      <c r="D1626" s="747">
        <v>200</v>
      </c>
    </row>
    <row r="1627" spans="1:4" x14ac:dyDescent="0.2">
      <c r="A1627" s="514">
        <v>44643</v>
      </c>
      <c r="B1627" s="491">
        <f t="shared" si="18"/>
        <v>171561.3</v>
      </c>
      <c r="C1627" s="491">
        <v>171361.3</v>
      </c>
      <c r="D1627" s="747">
        <v>200</v>
      </c>
    </row>
    <row r="1628" spans="1:4" x14ac:dyDescent="0.2">
      <c r="A1628" s="514">
        <v>44644</v>
      </c>
      <c r="B1628" s="491">
        <f t="shared" si="18"/>
        <v>171561.3</v>
      </c>
      <c r="C1628" s="491">
        <f t="shared" si="17"/>
        <v>171361.3</v>
      </c>
      <c r="D1628" s="747">
        <v>200</v>
      </c>
    </row>
    <row r="1629" spans="1:4" x14ac:dyDescent="0.2">
      <c r="A1629" s="514">
        <v>44645</v>
      </c>
      <c r="B1629" s="491">
        <f t="shared" si="18"/>
        <v>194069.16</v>
      </c>
      <c r="C1629" s="491">
        <v>193869.16</v>
      </c>
      <c r="D1629" s="747">
        <v>200</v>
      </c>
    </row>
    <row r="1630" spans="1:4" x14ac:dyDescent="0.2">
      <c r="A1630" s="514">
        <v>44648</v>
      </c>
      <c r="B1630" s="491">
        <f t="shared" si="18"/>
        <v>184965.34</v>
      </c>
      <c r="C1630" s="491">
        <v>184765.34</v>
      </c>
      <c r="D1630" s="747">
        <v>200</v>
      </c>
    </row>
    <row r="1631" spans="1:4" x14ac:dyDescent="0.2">
      <c r="A1631" s="514">
        <v>44649</v>
      </c>
      <c r="B1631" s="491">
        <f t="shared" si="18"/>
        <v>140741.59</v>
      </c>
      <c r="C1631" s="491">
        <v>140541.59</v>
      </c>
      <c r="D1631" s="747">
        <v>200</v>
      </c>
    </row>
    <row r="1632" spans="1:4" x14ac:dyDescent="0.2">
      <c r="A1632" s="514">
        <v>44650</v>
      </c>
      <c r="B1632" s="549">
        <f t="shared" si="18"/>
        <v>140708.63</v>
      </c>
      <c r="C1632" s="491">
        <v>140508.63</v>
      </c>
      <c r="D1632" s="747">
        <v>200</v>
      </c>
    </row>
    <row r="1633" spans="1:4" x14ac:dyDescent="0.2">
      <c r="A1633" s="514">
        <v>44651</v>
      </c>
      <c r="B1633" s="491">
        <f t="shared" si="18"/>
        <v>281239.25</v>
      </c>
      <c r="C1633" s="491">
        <v>281039.25</v>
      </c>
      <c r="D1633" s="747">
        <v>200</v>
      </c>
    </row>
    <row r="1634" spans="1:4" x14ac:dyDescent="0.2">
      <c r="A1634" s="514">
        <v>44652</v>
      </c>
      <c r="B1634" s="491">
        <f t="shared" si="18"/>
        <v>283716.02</v>
      </c>
      <c r="C1634" s="491">
        <v>283516.02</v>
      </c>
      <c r="D1634" s="747">
        <v>200</v>
      </c>
    </row>
    <row r="1635" spans="1:4" x14ac:dyDescent="0.2">
      <c r="A1635" s="514">
        <v>44655</v>
      </c>
      <c r="B1635" s="491">
        <f t="shared" si="18"/>
        <v>283716.02</v>
      </c>
      <c r="C1635" s="491">
        <f t="shared" si="17"/>
        <v>283516.02</v>
      </c>
      <c r="D1635" s="747">
        <v>200</v>
      </c>
    </row>
    <row r="1636" spans="1:4" x14ac:dyDescent="0.2">
      <c r="A1636" s="514">
        <v>44656</v>
      </c>
      <c r="B1636" s="491">
        <f t="shared" si="18"/>
        <v>300477.89</v>
      </c>
      <c r="C1636" s="491">
        <v>300277.89</v>
      </c>
      <c r="D1636" s="747">
        <v>200</v>
      </c>
    </row>
    <row r="1637" spans="1:4" x14ac:dyDescent="0.2">
      <c r="A1637" s="514">
        <v>44657</v>
      </c>
      <c r="B1637" s="491">
        <f t="shared" si="18"/>
        <v>300477.89</v>
      </c>
      <c r="C1637" s="491">
        <f t="shared" si="17"/>
        <v>300277.89</v>
      </c>
      <c r="D1637" s="747">
        <v>200</v>
      </c>
    </row>
    <row r="1638" spans="1:4" x14ac:dyDescent="0.2">
      <c r="A1638" s="514">
        <v>44658</v>
      </c>
      <c r="B1638" s="491">
        <f t="shared" si="18"/>
        <v>301029.09000000003</v>
      </c>
      <c r="C1638" s="491">
        <v>300829.09000000003</v>
      </c>
      <c r="D1638" s="747">
        <v>200</v>
      </c>
    </row>
    <row r="1639" spans="1:4" x14ac:dyDescent="0.2">
      <c r="A1639" s="514">
        <v>44659</v>
      </c>
      <c r="B1639" s="491">
        <f t="shared" si="18"/>
        <v>296794.44</v>
      </c>
      <c r="C1639" s="491">
        <v>296594.44</v>
      </c>
      <c r="D1639" s="747">
        <v>200</v>
      </c>
    </row>
    <row r="1640" spans="1:4" x14ac:dyDescent="0.2">
      <c r="A1640" s="514">
        <v>44662</v>
      </c>
      <c r="B1640" s="491">
        <f t="shared" si="18"/>
        <v>296989.44</v>
      </c>
      <c r="C1640" s="491">
        <v>296789.44</v>
      </c>
      <c r="D1640" s="747">
        <v>200</v>
      </c>
    </row>
    <row r="1641" spans="1:4" x14ac:dyDescent="0.2">
      <c r="A1641" s="514">
        <v>44663</v>
      </c>
      <c r="B1641" s="491">
        <f t="shared" si="18"/>
        <v>274755.46000000002</v>
      </c>
      <c r="C1641" s="491">
        <v>274555.46000000002</v>
      </c>
      <c r="D1641" s="747">
        <v>200</v>
      </c>
    </row>
    <row r="1642" spans="1:4" x14ac:dyDescent="0.2">
      <c r="A1642" s="514">
        <v>44664</v>
      </c>
      <c r="B1642" s="491">
        <f t="shared" si="18"/>
        <v>274755.46000000002</v>
      </c>
      <c r="C1642" s="491">
        <f t="shared" ref="C1642:C1656" si="19">C1641</f>
        <v>274555.46000000002</v>
      </c>
      <c r="D1642" s="747">
        <v>200</v>
      </c>
    </row>
    <row r="1643" spans="1:4" x14ac:dyDescent="0.2">
      <c r="A1643" s="514">
        <v>44665</v>
      </c>
      <c r="B1643" s="491">
        <f t="shared" si="18"/>
        <v>273817.88</v>
      </c>
      <c r="C1643" s="491">
        <v>273617.88</v>
      </c>
      <c r="D1643" s="747">
        <v>200</v>
      </c>
    </row>
    <row r="1644" spans="1:4" x14ac:dyDescent="0.2">
      <c r="A1644" s="514">
        <v>44666</v>
      </c>
      <c r="B1644" s="491">
        <f t="shared" si="18"/>
        <v>273375.03999999998</v>
      </c>
      <c r="C1644" s="491">
        <v>273175.03999999998</v>
      </c>
      <c r="D1644" s="747">
        <v>200</v>
      </c>
    </row>
    <row r="1645" spans="1:4" x14ac:dyDescent="0.2">
      <c r="A1645" s="514">
        <v>44669</v>
      </c>
      <c r="B1645" s="491">
        <f t="shared" si="18"/>
        <v>306978.36</v>
      </c>
      <c r="C1645" s="491">
        <v>306778.36</v>
      </c>
      <c r="D1645" s="747">
        <v>200</v>
      </c>
    </row>
    <row r="1646" spans="1:4" x14ac:dyDescent="0.2">
      <c r="A1646" s="514">
        <v>44670</v>
      </c>
      <c r="B1646" s="491">
        <f t="shared" si="18"/>
        <v>306978.36</v>
      </c>
      <c r="C1646" s="491">
        <f t="shared" si="19"/>
        <v>306778.36</v>
      </c>
      <c r="D1646" s="747">
        <v>200</v>
      </c>
    </row>
    <row r="1647" spans="1:4" x14ac:dyDescent="0.2">
      <c r="A1647" s="514">
        <v>44671</v>
      </c>
      <c r="B1647" s="491">
        <f t="shared" si="18"/>
        <v>266613.8</v>
      </c>
      <c r="C1647" s="491">
        <v>266413.8</v>
      </c>
      <c r="D1647" s="747">
        <v>200</v>
      </c>
    </row>
    <row r="1648" spans="1:4" x14ac:dyDescent="0.2">
      <c r="A1648" s="514">
        <v>44672</v>
      </c>
      <c r="B1648" s="491">
        <f t="shared" si="18"/>
        <v>271958.33</v>
      </c>
      <c r="C1648" s="491">
        <v>271758.33</v>
      </c>
      <c r="D1648" s="747">
        <v>200</v>
      </c>
    </row>
    <row r="1649" spans="1:4" x14ac:dyDescent="0.2">
      <c r="A1649" s="514">
        <v>44673</v>
      </c>
      <c r="B1649" s="491">
        <f t="shared" ref="B1649:B1655" si="20">C1649+D1649</f>
        <v>271799.48</v>
      </c>
      <c r="C1649" s="491">
        <v>271599.48</v>
      </c>
      <c r="D1649" s="747">
        <v>200</v>
      </c>
    </row>
    <row r="1650" spans="1:4" x14ac:dyDescent="0.2">
      <c r="A1650" s="514">
        <v>44676</v>
      </c>
      <c r="B1650" s="491">
        <f t="shared" si="20"/>
        <v>271799.48</v>
      </c>
      <c r="C1650" s="491">
        <f t="shared" si="19"/>
        <v>271599.48</v>
      </c>
      <c r="D1650" s="747">
        <v>200</v>
      </c>
    </row>
    <row r="1651" spans="1:4" x14ac:dyDescent="0.2">
      <c r="A1651" s="514">
        <v>44677</v>
      </c>
      <c r="B1651" s="491">
        <f t="shared" si="20"/>
        <v>231449.55</v>
      </c>
      <c r="C1651" s="491">
        <v>231249.55</v>
      </c>
      <c r="D1651" s="747">
        <v>200</v>
      </c>
    </row>
    <row r="1652" spans="1:4" x14ac:dyDescent="0.2">
      <c r="A1652" s="514">
        <v>44678</v>
      </c>
      <c r="B1652" s="491">
        <f t="shared" si="20"/>
        <v>255926.54</v>
      </c>
      <c r="C1652" s="491">
        <v>255726.54</v>
      </c>
      <c r="D1652" s="747">
        <v>200</v>
      </c>
    </row>
    <row r="1653" spans="1:4" x14ac:dyDescent="0.2">
      <c r="A1653" s="514">
        <v>44679</v>
      </c>
      <c r="B1653" s="491">
        <f t="shared" si="20"/>
        <v>256457.54</v>
      </c>
      <c r="C1653" s="491">
        <v>256257.54</v>
      </c>
      <c r="D1653" s="747">
        <v>200</v>
      </c>
    </row>
    <row r="1654" spans="1:4" x14ac:dyDescent="0.2">
      <c r="A1654" s="514">
        <v>44680</v>
      </c>
      <c r="B1654" s="491">
        <f t="shared" si="20"/>
        <v>255982.56</v>
      </c>
      <c r="C1654" s="491">
        <v>255782.56</v>
      </c>
      <c r="D1654" s="747">
        <v>200</v>
      </c>
    </row>
    <row r="1655" spans="1:4" x14ac:dyDescent="0.2">
      <c r="A1655" s="514">
        <v>44683</v>
      </c>
      <c r="B1655" s="491">
        <f t="shared" si="20"/>
        <v>255982.56</v>
      </c>
      <c r="C1655" s="491">
        <f t="shared" si="19"/>
        <v>255782.56</v>
      </c>
      <c r="D1655" s="747">
        <v>200</v>
      </c>
    </row>
    <row r="1656" spans="1:4" x14ac:dyDescent="0.2">
      <c r="A1656" s="514">
        <v>44684</v>
      </c>
      <c r="B1656" s="491">
        <f t="shared" ref="B1656:B1659" si="21">C1656+D1656</f>
        <v>255982.56</v>
      </c>
      <c r="C1656" s="491">
        <f t="shared" si="19"/>
        <v>255782.56</v>
      </c>
      <c r="D1656" s="747">
        <v>200</v>
      </c>
    </row>
    <row r="1657" spans="1:4" x14ac:dyDescent="0.2">
      <c r="A1657" s="514">
        <v>44685</v>
      </c>
      <c r="B1657" s="491">
        <f t="shared" si="21"/>
        <v>237408.49</v>
      </c>
      <c r="C1657" s="491">
        <v>237208.49</v>
      </c>
      <c r="D1657" s="747">
        <v>200</v>
      </c>
    </row>
    <row r="1658" spans="1:4" x14ac:dyDescent="0.2">
      <c r="A1658" s="514">
        <v>44686</v>
      </c>
      <c r="B1658" s="491">
        <f t="shared" si="21"/>
        <v>237595.16</v>
      </c>
      <c r="C1658" s="491">
        <v>237395.16</v>
      </c>
      <c r="D1658" s="747">
        <v>200</v>
      </c>
    </row>
    <row r="1659" spans="1:4" x14ac:dyDescent="0.2">
      <c r="A1659" s="514">
        <v>44687</v>
      </c>
      <c r="B1659" s="491">
        <f t="shared" si="21"/>
        <v>237595.16</v>
      </c>
      <c r="C1659" s="491">
        <f>C1658</f>
        <v>237395.16</v>
      </c>
      <c r="D1659" s="747">
        <v>200</v>
      </c>
    </row>
    <row r="1660" spans="1:4" x14ac:dyDescent="0.2">
      <c r="A1660" s="514">
        <v>44690</v>
      </c>
      <c r="B1660" s="491">
        <f t="shared" ref="B1660:B1664" si="22">C1660+D1660</f>
        <v>237595.16</v>
      </c>
      <c r="C1660" s="491">
        <f>C1659</f>
        <v>237395.16</v>
      </c>
      <c r="D1660" s="747">
        <v>200</v>
      </c>
    </row>
    <row r="1661" spans="1:4" x14ac:dyDescent="0.2">
      <c r="A1661" s="514">
        <v>44691</v>
      </c>
      <c r="B1661" s="491">
        <f t="shared" si="22"/>
        <v>198176.08</v>
      </c>
      <c r="C1661" s="491">
        <v>197976.08</v>
      </c>
      <c r="D1661" s="747">
        <v>200</v>
      </c>
    </row>
    <row r="1662" spans="1:4" x14ac:dyDescent="0.2">
      <c r="A1662" s="514">
        <v>44692</v>
      </c>
      <c r="B1662" s="491">
        <f t="shared" si="22"/>
        <v>206509.41</v>
      </c>
      <c r="C1662" s="491">
        <v>206309.41</v>
      </c>
      <c r="D1662" s="747">
        <v>200</v>
      </c>
    </row>
    <row r="1663" spans="1:4" x14ac:dyDescent="0.2">
      <c r="A1663" s="514">
        <v>44693</v>
      </c>
      <c r="B1663" s="491">
        <f t="shared" si="22"/>
        <v>196309.39</v>
      </c>
      <c r="C1663" s="491">
        <v>196109.39</v>
      </c>
      <c r="D1663" s="747">
        <v>200</v>
      </c>
    </row>
    <row r="1664" spans="1:4" x14ac:dyDescent="0.2">
      <c r="A1664" s="514">
        <v>44694</v>
      </c>
      <c r="B1664" s="491">
        <f t="shared" si="22"/>
        <v>217592.12</v>
      </c>
      <c r="C1664" s="491">
        <v>217392.12</v>
      </c>
      <c r="D1664" s="747">
        <v>200</v>
      </c>
    </row>
    <row r="1665" spans="1:4" x14ac:dyDescent="0.2">
      <c r="A1665" s="514">
        <v>44697</v>
      </c>
      <c r="B1665" s="491">
        <f t="shared" ref="B1665:B1801" si="23">C1665+D1665</f>
        <v>217592.12</v>
      </c>
      <c r="C1665" s="491">
        <f t="shared" ref="C1665:C1707" si="24">C1664</f>
        <v>217392.12</v>
      </c>
      <c r="D1665" s="747">
        <v>200</v>
      </c>
    </row>
    <row r="1666" spans="1:4" x14ac:dyDescent="0.2">
      <c r="A1666" s="514">
        <v>44698</v>
      </c>
      <c r="B1666" s="491">
        <f t="shared" si="23"/>
        <v>217592.12</v>
      </c>
      <c r="C1666" s="491">
        <f t="shared" si="24"/>
        <v>217392.12</v>
      </c>
      <c r="D1666" s="747">
        <v>200</v>
      </c>
    </row>
    <row r="1667" spans="1:4" x14ac:dyDescent="0.2">
      <c r="A1667" s="514">
        <v>44699</v>
      </c>
      <c r="B1667" s="491">
        <f t="shared" si="23"/>
        <v>217592.12</v>
      </c>
      <c r="C1667" s="491">
        <f t="shared" si="24"/>
        <v>217392.12</v>
      </c>
      <c r="D1667" s="747">
        <v>200</v>
      </c>
    </row>
    <row r="1668" spans="1:4" x14ac:dyDescent="0.2">
      <c r="A1668" s="514">
        <v>44700</v>
      </c>
      <c r="B1668" s="491">
        <f t="shared" si="23"/>
        <v>221731.08</v>
      </c>
      <c r="C1668" s="491">
        <v>221531.08</v>
      </c>
      <c r="D1668" s="747">
        <v>200</v>
      </c>
    </row>
    <row r="1669" spans="1:4" x14ac:dyDescent="0.2">
      <c r="A1669" s="514">
        <v>44701</v>
      </c>
      <c r="B1669" s="491">
        <f t="shared" si="23"/>
        <v>217798.74</v>
      </c>
      <c r="C1669" s="491">
        <v>217598.74</v>
      </c>
      <c r="D1669" s="747">
        <v>200</v>
      </c>
    </row>
    <row r="1670" spans="1:4" x14ac:dyDescent="0.2">
      <c r="A1670" s="514">
        <v>44704</v>
      </c>
      <c r="B1670" s="491">
        <f t="shared" si="23"/>
        <v>176485.8</v>
      </c>
      <c r="C1670" s="491">
        <v>176285.8</v>
      </c>
      <c r="D1670" s="747">
        <v>200</v>
      </c>
    </row>
    <row r="1671" spans="1:4" x14ac:dyDescent="0.2">
      <c r="A1671" s="514">
        <v>44705</v>
      </c>
      <c r="B1671" s="491">
        <f t="shared" si="23"/>
        <v>176485.8</v>
      </c>
      <c r="C1671" s="491">
        <f t="shared" si="24"/>
        <v>176285.8</v>
      </c>
      <c r="D1671" s="747">
        <v>200</v>
      </c>
    </row>
    <row r="1672" spans="1:4" x14ac:dyDescent="0.2">
      <c r="A1672" s="514">
        <v>44706</v>
      </c>
      <c r="B1672" s="491">
        <f t="shared" si="23"/>
        <v>176485.8</v>
      </c>
      <c r="C1672" s="491">
        <f t="shared" si="24"/>
        <v>176285.8</v>
      </c>
      <c r="D1672" s="747">
        <v>200</v>
      </c>
    </row>
    <row r="1673" spans="1:4" x14ac:dyDescent="0.2">
      <c r="A1673" s="514">
        <v>44707</v>
      </c>
      <c r="B1673" s="491">
        <f t="shared" si="23"/>
        <v>317719.40999999997</v>
      </c>
      <c r="C1673" s="491">
        <v>317519.40999999997</v>
      </c>
      <c r="D1673" s="747">
        <v>200</v>
      </c>
    </row>
    <row r="1674" spans="1:4" x14ac:dyDescent="0.2">
      <c r="A1674" s="514">
        <v>44708</v>
      </c>
      <c r="B1674" s="491">
        <f t="shared" si="23"/>
        <v>317244.43</v>
      </c>
      <c r="C1674" s="491">
        <v>317044.43</v>
      </c>
      <c r="D1674" s="747">
        <v>200</v>
      </c>
    </row>
    <row r="1675" spans="1:4" x14ac:dyDescent="0.2">
      <c r="A1675" s="514">
        <v>44711</v>
      </c>
      <c r="B1675" s="491">
        <f t="shared" si="23"/>
        <v>317244.43</v>
      </c>
      <c r="C1675" s="491">
        <f t="shared" si="24"/>
        <v>317044.43</v>
      </c>
      <c r="D1675" s="747">
        <v>200</v>
      </c>
    </row>
    <row r="1676" spans="1:4" x14ac:dyDescent="0.2">
      <c r="A1676" s="514">
        <v>44712</v>
      </c>
      <c r="B1676" s="491">
        <f t="shared" si="23"/>
        <v>317244.43</v>
      </c>
      <c r="C1676" s="491">
        <f t="shared" si="24"/>
        <v>317044.43</v>
      </c>
      <c r="D1676" s="747">
        <v>200</v>
      </c>
    </row>
    <row r="1677" spans="1:4" x14ac:dyDescent="0.2">
      <c r="A1677" s="514">
        <v>44713</v>
      </c>
      <c r="B1677" s="491">
        <f t="shared" si="23"/>
        <v>317244.43</v>
      </c>
      <c r="C1677" s="491">
        <f t="shared" si="24"/>
        <v>317044.43</v>
      </c>
      <c r="D1677" s="747">
        <v>200</v>
      </c>
    </row>
    <row r="1678" spans="1:4" x14ac:dyDescent="0.2">
      <c r="A1678" s="514">
        <v>44714</v>
      </c>
      <c r="B1678" s="491">
        <f t="shared" si="23"/>
        <v>317244.43</v>
      </c>
      <c r="C1678" s="491">
        <f t="shared" si="24"/>
        <v>317044.43</v>
      </c>
      <c r="D1678" s="747">
        <v>200</v>
      </c>
    </row>
    <row r="1679" spans="1:4" x14ac:dyDescent="0.2">
      <c r="A1679" s="514">
        <v>44715</v>
      </c>
      <c r="B1679" s="491">
        <f t="shared" si="23"/>
        <v>311632.77</v>
      </c>
      <c r="C1679" s="491">
        <v>311432.77</v>
      </c>
      <c r="D1679" s="747">
        <v>200</v>
      </c>
    </row>
    <row r="1680" spans="1:4" x14ac:dyDescent="0.2">
      <c r="A1680" s="514">
        <v>44718</v>
      </c>
      <c r="B1680" s="491">
        <f t="shared" si="23"/>
        <v>311632.77</v>
      </c>
      <c r="C1680" s="491">
        <f t="shared" si="24"/>
        <v>311432.77</v>
      </c>
      <c r="D1680" s="747">
        <v>200</v>
      </c>
    </row>
    <row r="1681" spans="1:4" x14ac:dyDescent="0.2">
      <c r="A1681" s="514">
        <v>44719</v>
      </c>
      <c r="B1681" s="491">
        <f t="shared" si="23"/>
        <v>272576.3</v>
      </c>
      <c r="C1681" s="491">
        <v>272376.3</v>
      </c>
      <c r="D1681" s="747">
        <v>200</v>
      </c>
    </row>
    <row r="1682" spans="1:4" x14ac:dyDescent="0.2">
      <c r="A1682" s="514">
        <v>44720</v>
      </c>
      <c r="B1682" s="491">
        <f t="shared" si="23"/>
        <v>272576.3</v>
      </c>
      <c r="C1682" s="491">
        <f t="shared" si="24"/>
        <v>272376.3</v>
      </c>
      <c r="D1682" s="747">
        <v>200</v>
      </c>
    </row>
    <row r="1683" spans="1:4" x14ac:dyDescent="0.2">
      <c r="A1683" s="514">
        <v>44721</v>
      </c>
      <c r="B1683" s="491">
        <f t="shared" si="23"/>
        <v>262789.33</v>
      </c>
      <c r="C1683" s="491">
        <v>262589.33</v>
      </c>
      <c r="D1683" s="747">
        <v>200</v>
      </c>
    </row>
    <row r="1684" spans="1:4" x14ac:dyDescent="0.2">
      <c r="A1684" s="514">
        <v>44722</v>
      </c>
      <c r="B1684" s="491">
        <f t="shared" si="23"/>
        <v>262314.34999999998</v>
      </c>
      <c r="C1684" s="491">
        <v>262114.35</v>
      </c>
      <c r="D1684" s="747">
        <v>200</v>
      </c>
    </row>
    <row r="1685" spans="1:4" x14ac:dyDescent="0.2">
      <c r="A1685" s="514">
        <v>44725</v>
      </c>
      <c r="B1685" s="491">
        <f t="shared" si="23"/>
        <v>262577.34999999998</v>
      </c>
      <c r="C1685" s="491">
        <v>262377.34999999998</v>
      </c>
      <c r="D1685" s="747">
        <v>200</v>
      </c>
    </row>
    <row r="1686" spans="1:4" x14ac:dyDescent="0.2">
      <c r="A1686" s="514">
        <v>44726</v>
      </c>
      <c r="B1686" s="491">
        <f t="shared" si="23"/>
        <v>262577.34999999998</v>
      </c>
      <c r="C1686" s="491">
        <f t="shared" si="24"/>
        <v>262377.34999999998</v>
      </c>
      <c r="D1686" s="747">
        <v>200</v>
      </c>
    </row>
    <row r="1687" spans="1:4" x14ac:dyDescent="0.2">
      <c r="A1687" s="514">
        <v>44727</v>
      </c>
      <c r="B1687" s="491">
        <f t="shared" si="23"/>
        <v>359115.13</v>
      </c>
      <c r="C1687" s="491">
        <v>358915.13</v>
      </c>
      <c r="D1687" s="747">
        <v>200</v>
      </c>
    </row>
    <row r="1688" spans="1:4" x14ac:dyDescent="0.2">
      <c r="A1688" s="514">
        <v>44728</v>
      </c>
      <c r="B1688" s="491">
        <f t="shared" si="23"/>
        <v>359115.13</v>
      </c>
      <c r="C1688" s="491">
        <f t="shared" si="24"/>
        <v>358915.13</v>
      </c>
      <c r="D1688" s="747">
        <v>200</v>
      </c>
    </row>
    <row r="1689" spans="1:4" x14ac:dyDescent="0.2">
      <c r="A1689" s="514">
        <v>44729</v>
      </c>
      <c r="B1689" s="491">
        <f t="shared" si="23"/>
        <v>359115.13</v>
      </c>
      <c r="C1689" s="491">
        <f t="shared" si="24"/>
        <v>358915.13</v>
      </c>
      <c r="D1689" s="747">
        <v>200</v>
      </c>
    </row>
    <row r="1690" spans="1:4" x14ac:dyDescent="0.2">
      <c r="A1690" s="514">
        <v>44732</v>
      </c>
      <c r="B1690" s="491">
        <f t="shared" si="23"/>
        <v>317912.34000000003</v>
      </c>
      <c r="C1690" s="491">
        <v>317712.34000000003</v>
      </c>
      <c r="D1690" s="747">
        <v>200</v>
      </c>
    </row>
    <row r="1691" spans="1:4" x14ac:dyDescent="0.2">
      <c r="A1691" s="514">
        <v>44733</v>
      </c>
      <c r="B1691" s="491">
        <f t="shared" si="23"/>
        <v>318373.34000000003</v>
      </c>
      <c r="C1691" s="491">
        <v>318173.34000000003</v>
      </c>
      <c r="D1691" s="747">
        <v>200</v>
      </c>
    </row>
    <row r="1692" spans="1:4" x14ac:dyDescent="0.2">
      <c r="A1692" s="514">
        <v>44734</v>
      </c>
      <c r="B1692" s="491">
        <f t="shared" si="23"/>
        <v>319350.08</v>
      </c>
      <c r="C1692" s="491">
        <v>319150.08000000002</v>
      </c>
      <c r="D1692" s="747">
        <v>200</v>
      </c>
    </row>
    <row r="1693" spans="1:4" x14ac:dyDescent="0.2">
      <c r="A1693" s="514">
        <v>44735</v>
      </c>
      <c r="B1693" s="491">
        <f t="shared" si="23"/>
        <v>329131.38</v>
      </c>
      <c r="C1693" s="491">
        <v>328931.38</v>
      </c>
      <c r="D1693" s="747">
        <v>200</v>
      </c>
    </row>
    <row r="1694" spans="1:4" x14ac:dyDescent="0.2">
      <c r="A1694" s="514">
        <v>44736</v>
      </c>
      <c r="B1694" s="491">
        <f t="shared" si="23"/>
        <v>329131.38</v>
      </c>
      <c r="C1694" s="491">
        <f t="shared" si="24"/>
        <v>328931.38</v>
      </c>
      <c r="D1694" s="747">
        <v>200</v>
      </c>
    </row>
    <row r="1695" spans="1:4" x14ac:dyDescent="0.2">
      <c r="A1695" s="514">
        <v>44739</v>
      </c>
      <c r="B1695" s="491">
        <f t="shared" si="23"/>
        <v>329131.38</v>
      </c>
      <c r="C1695" s="491">
        <f t="shared" si="24"/>
        <v>328931.38</v>
      </c>
      <c r="D1695" s="747">
        <v>200</v>
      </c>
    </row>
    <row r="1696" spans="1:4" x14ac:dyDescent="0.2">
      <c r="A1696" s="514">
        <v>44740</v>
      </c>
      <c r="B1696" s="491">
        <f t="shared" si="23"/>
        <v>329131.38</v>
      </c>
      <c r="C1696" s="491">
        <f t="shared" si="24"/>
        <v>328931.38</v>
      </c>
      <c r="D1696" s="747">
        <v>200</v>
      </c>
    </row>
    <row r="1697" spans="1:4" x14ac:dyDescent="0.2">
      <c r="A1697" s="514">
        <v>44741</v>
      </c>
      <c r="B1697" s="491">
        <f t="shared" si="23"/>
        <v>358518.98</v>
      </c>
      <c r="C1697" s="491">
        <v>358318.98</v>
      </c>
      <c r="D1697" s="747">
        <v>200</v>
      </c>
    </row>
    <row r="1698" spans="1:4" x14ac:dyDescent="0.2">
      <c r="A1698" s="514">
        <v>44742</v>
      </c>
      <c r="B1698" s="491">
        <f t="shared" si="23"/>
        <v>388026.98</v>
      </c>
      <c r="C1698" s="491">
        <v>387826.98</v>
      </c>
      <c r="D1698" s="747">
        <v>200</v>
      </c>
    </row>
    <row r="1699" spans="1:4" x14ac:dyDescent="0.2">
      <c r="A1699" s="514">
        <v>44743</v>
      </c>
      <c r="B1699" s="491">
        <f t="shared" si="23"/>
        <v>388026.98</v>
      </c>
      <c r="C1699" s="491">
        <f t="shared" si="24"/>
        <v>387826.98</v>
      </c>
      <c r="D1699" s="747">
        <v>200</v>
      </c>
    </row>
    <row r="1700" spans="1:4" x14ac:dyDescent="0.2">
      <c r="A1700" s="514">
        <v>44746</v>
      </c>
      <c r="B1700" s="491">
        <f t="shared" si="23"/>
        <v>388026.98</v>
      </c>
      <c r="C1700" s="491">
        <f t="shared" si="24"/>
        <v>387826.98</v>
      </c>
      <c r="D1700" s="747">
        <v>200</v>
      </c>
    </row>
    <row r="1701" spans="1:4" x14ac:dyDescent="0.2">
      <c r="A1701" s="514">
        <v>44747</v>
      </c>
      <c r="B1701" s="491">
        <f t="shared" si="23"/>
        <v>347383.35</v>
      </c>
      <c r="C1701" s="491">
        <v>347183.35</v>
      </c>
      <c r="D1701" s="747">
        <v>200</v>
      </c>
    </row>
    <row r="1702" spans="1:4" x14ac:dyDescent="0.2">
      <c r="A1702" s="514">
        <v>44748</v>
      </c>
      <c r="B1702" s="491">
        <f t="shared" si="23"/>
        <v>347507.35</v>
      </c>
      <c r="C1702" s="491">
        <v>347307.35</v>
      </c>
      <c r="D1702" s="747">
        <v>200</v>
      </c>
    </row>
    <row r="1703" spans="1:4" x14ac:dyDescent="0.2">
      <c r="A1703" s="514">
        <v>44749</v>
      </c>
      <c r="B1703" s="491">
        <f t="shared" si="23"/>
        <v>347648.35</v>
      </c>
      <c r="C1703" s="491">
        <v>347448.35</v>
      </c>
      <c r="D1703" s="747">
        <v>200</v>
      </c>
    </row>
    <row r="1704" spans="1:4" x14ac:dyDescent="0.2">
      <c r="A1704" s="514">
        <v>44750</v>
      </c>
      <c r="B1704" s="491">
        <f t="shared" si="23"/>
        <v>347173.37</v>
      </c>
      <c r="C1704" s="491">
        <v>346973.37</v>
      </c>
      <c r="D1704" s="747">
        <v>200</v>
      </c>
    </row>
    <row r="1705" spans="1:4" x14ac:dyDescent="0.2">
      <c r="A1705" s="514">
        <v>44753</v>
      </c>
      <c r="B1705" s="491">
        <f t="shared" si="23"/>
        <v>347173.37</v>
      </c>
      <c r="C1705" s="491">
        <f t="shared" si="24"/>
        <v>346973.37</v>
      </c>
      <c r="D1705" s="747">
        <v>200</v>
      </c>
    </row>
    <row r="1706" spans="1:4" x14ac:dyDescent="0.2">
      <c r="A1706" s="514">
        <v>44754</v>
      </c>
      <c r="B1706" s="491">
        <f t="shared" si="23"/>
        <v>347422.37</v>
      </c>
      <c r="C1706" s="491">
        <v>347222.37</v>
      </c>
      <c r="D1706" s="747">
        <v>200</v>
      </c>
    </row>
    <row r="1707" spans="1:4" x14ac:dyDescent="0.2">
      <c r="A1707" s="514">
        <v>44755</v>
      </c>
      <c r="B1707" s="491">
        <f t="shared" si="23"/>
        <v>347422.37</v>
      </c>
      <c r="C1707" s="491">
        <f t="shared" si="24"/>
        <v>347222.37</v>
      </c>
      <c r="D1707" s="747">
        <v>200</v>
      </c>
    </row>
    <row r="1708" spans="1:4" x14ac:dyDescent="0.2">
      <c r="A1708" s="514">
        <v>44756</v>
      </c>
      <c r="B1708" s="491">
        <f t="shared" si="23"/>
        <v>353674.1</v>
      </c>
      <c r="C1708" s="491">
        <v>353474.1</v>
      </c>
      <c r="D1708" s="747">
        <v>200</v>
      </c>
    </row>
    <row r="1709" spans="1:4" x14ac:dyDescent="0.2">
      <c r="A1709" s="514">
        <v>44757</v>
      </c>
      <c r="B1709" s="491">
        <f t="shared" si="23"/>
        <v>355815.56</v>
      </c>
      <c r="C1709" s="491">
        <v>355615.56</v>
      </c>
      <c r="D1709" s="747">
        <v>200</v>
      </c>
    </row>
    <row r="1710" spans="1:4" x14ac:dyDescent="0.2">
      <c r="A1710" s="514">
        <v>44760</v>
      </c>
      <c r="B1710" s="491">
        <f t="shared" si="23"/>
        <v>319836.78000000003</v>
      </c>
      <c r="C1710" s="491">
        <v>319636.78000000003</v>
      </c>
      <c r="D1710" s="747">
        <v>200</v>
      </c>
    </row>
    <row r="1711" spans="1:4" x14ac:dyDescent="0.2">
      <c r="A1711" s="514">
        <v>44761</v>
      </c>
      <c r="B1711" s="491">
        <f t="shared" si="23"/>
        <v>296807.06</v>
      </c>
      <c r="C1711" s="491">
        <v>296607.06</v>
      </c>
      <c r="D1711" s="747">
        <v>200</v>
      </c>
    </row>
    <row r="1712" spans="1:4" x14ac:dyDescent="0.2">
      <c r="A1712" s="514">
        <v>44762</v>
      </c>
      <c r="B1712" s="491">
        <f t="shared" si="23"/>
        <v>296807.06</v>
      </c>
      <c r="C1712" s="491">
        <f t="shared" ref="C1712:C1774" si="25">C1711</f>
        <v>296607.06</v>
      </c>
      <c r="D1712" s="747">
        <v>200</v>
      </c>
    </row>
    <row r="1713" spans="1:4" x14ac:dyDescent="0.2">
      <c r="A1713" s="514">
        <v>44763</v>
      </c>
      <c r="B1713" s="491">
        <f t="shared" si="23"/>
        <v>291257.96000000002</v>
      </c>
      <c r="C1713" s="491">
        <v>291057.96000000002</v>
      </c>
      <c r="D1713" s="747">
        <v>200</v>
      </c>
    </row>
    <row r="1714" spans="1:4" x14ac:dyDescent="0.2">
      <c r="A1714" s="514">
        <v>44764</v>
      </c>
      <c r="B1714" s="491">
        <f t="shared" si="23"/>
        <v>290782.98</v>
      </c>
      <c r="C1714" s="491">
        <v>290582.98</v>
      </c>
      <c r="D1714" s="747">
        <v>200</v>
      </c>
    </row>
    <row r="1715" spans="1:4" x14ac:dyDescent="0.2">
      <c r="A1715" s="514">
        <v>44767</v>
      </c>
      <c r="B1715" s="491">
        <f t="shared" si="23"/>
        <v>290782.98</v>
      </c>
      <c r="C1715" s="491">
        <f t="shared" si="25"/>
        <v>290582.98</v>
      </c>
      <c r="D1715" s="747">
        <v>200</v>
      </c>
    </row>
    <row r="1716" spans="1:4" x14ac:dyDescent="0.2">
      <c r="A1716" s="514">
        <v>44768</v>
      </c>
      <c r="B1716" s="491">
        <f t="shared" si="23"/>
        <v>290754.14</v>
      </c>
      <c r="C1716" s="491">
        <v>290554.14</v>
      </c>
      <c r="D1716" s="747">
        <v>200</v>
      </c>
    </row>
    <row r="1717" spans="1:4" x14ac:dyDescent="0.2">
      <c r="A1717" s="514">
        <v>44769</v>
      </c>
      <c r="B1717" s="491">
        <f t="shared" si="23"/>
        <v>290450.96000000002</v>
      </c>
      <c r="C1717" s="491">
        <v>290250.96000000002</v>
      </c>
      <c r="D1717" s="747">
        <v>200</v>
      </c>
    </row>
    <row r="1718" spans="1:4" x14ac:dyDescent="0.2">
      <c r="A1718" s="514">
        <v>44770</v>
      </c>
      <c r="B1718" s="491">
        <f t="shared" si="23"/>
        <v>282840.40000000002</v>
      </c>
      <c r="C1718" s="491">
        <v>282640.40000000002</v>
      </c>
      <c r="D1718" s="747">
        <v>200</v>
      </c>
    </row>
    <row r="1719" spans="1:4" x14ac:dyDescent="0.2">
      <c r="A1719" s="514">
        <v>44771</v>
      </c>
      <c r="B1719" s="491">
        <f t="shared" si="23"/>
        <v>318945.52</v>
      </c>
      <c r="C1719" s="491">
        <v>318745.52</v>
      </c>
      <c r="D1719" s="747">
        <v>200</v>
      </c>
    </row>
    <row r="1720" spans="1:4" x14ac:dyDescent="0.2">
      <c r="A1720" s="514">
        <v>44774</v>
      </c>
      <c r="B1720" s="491">
        <f t="shared" si="23"/>
        <v>318945.52</v>
      </c>
      <c r="C1720" s="491">
        <f t="shared" si="25"/>
        <v>318745.52</v>
      </c>
      <c r="D1720" s="747">
        <v>200</v>
      </c>
    </row>
    <row r="1721" spans="1:4" x14ac:dyDescent="0.2">
      <c r="A1721" s="514">
        <v>44775</v>
      </c>
      <c r="B1721" s="491">
        <f t="shared" si="23"/>
        <v>278401.03999999998</v>
      </c>
      <c r="C1721" s="491">
        <v>278201.03999999998</v>
      </c>
      <c r="D1721" s="747">
        <v>200</v>
      </c>
    </row>
    <row r="1722" spans="1:4" x14ac:dyDescent="0.2">
      <c r="A1722" s="514">
        <v>44776</v>
      </c>
      <c r="B1722" s="491">
        <f t="shared" si="23"/>
        <v>277801.03999999998</v>
      </c>
      <c r="C1722" s="491">
        <v>277601.03999999998</v>
      </c>
      <c r="D1722" s="747">
        <v>200</v>
      </c>
    </row>
    <row r="1723" spans="1:4" x14ac:dyDescent="0.2">
      <c r="A1723" s="514">
        <v>44777</v>
      </c>
      <c r="B1723" s="491">
        <f t="shared" si="23"/>
        <v>277801.03999999998</v>
      </c>
      <c r="C1723" s="491">
        <f t="shared" si="25"/>
        <v>277601.03999999998</v>
      </c>
      <c r="D1723" s="747">
        <v>200</v>
      </c>
    </row>
    <row r="1724" spans="1:4" x14ac:dyDescent="0.2">
      <c r="A1724" s="514">
        <v>44778</v>
      </c>
      <c r="B1724" s="491">
        <f t="shared" si="23"/>
        <v>277326.06</v>
      </c>
      <c r="C1724" s="491">
        <v>277126.06</v>
      </c>
      <c r="D1724" s="747">
        <v>200</v>
      </c>
    </row>
    <row r="1725" spans="1:4" x14ac:dyDescent="0.2">
      <c r="A1725" s="514">
        <v>44781</v>
      </c>
      <c r="B1725" s="491">
        <f t="shared" si="23"/>
        <v>277326.06</v>
      </c>
      <c r="C1725" s="491">
        <f t="shared" si="25"/>
        <v>277126.06</v>
      </c>
      <c r="D1725" s="747">
        <v>200</v>
      </c>
    </row>
    <row r="1726" spans="1:4" x14ac:dyDescent="0.2">
      <c r="A1726" s="514">
        <v>44782</v>
      </c>
      <c r="B1726" s="491">
        <f t="shared" si="23"/>
        <v>254730.8</v>
      </c>
      <c r="C1726" s="491">
        <v>254530.8</v>
      </c>
      <c r="D1726" s="747">
        <v>200</v>
      </c>
    </row>
    <row r="1727" spans="1:4" x14ac:dyDescent="0.2">
      <c r="A1727" s="514">
        <v>44783</v>
      </c>
      <c r="B1727" s="491">
        <f t="shared" si="23"/>
        <v>254730.8</v>
      </c>
      <c r="C1727" s="491">
        <f t="shared" si="25"/>
        <v>254530.8</v>
      </c>
      <c r="D1727" s="747">
        <v>200</v>
      </c>
    </row>
    <row r="1728" spans="1:4" x14ac:dyDescent="0.2">
      <c r="A1728" s="514">
        <v>44784</v>
      </c>
      <c r="B1728" s="491">
        <f t="shared" si="23"/>
        <v>277867.62</v>
      </c>
      <c r="C1728" s="491">
        <v>277667.62</v>
      </c>
      <c r="D1728" s="747">
        <v>200</v>
      </c>
    </row>
    <row r="1729" spans="1:4" x14ac:dyDescent="0.2">
      <c r="A1729" s="514">
        <v>44785</v>
      </c>
      <c r="B1729" s="491">
        <f t="shared" si="23"/>
        <v>278679.81</v>
      </c>
      <c r="C1729" s="491">
        <v>278479.81</v>
      </c>
      <c r="D1729" s="747">
        <v>200</v>
      </c>
    </row>
    <row r="1730" spans="1:4" x14ac:dyDescent="0.2">
      <c r="A1730" s="514">
        <v>44788</v>
      </c>
      <c r="B1730" s="491">
        <f t="shared" si="23"/>
        <v>278711.32</v>
      </c>
      <c r="C1730" s="491">
        <v>278511.32</v>
      </c>
      <c r="D1730" s="747">
        <v>200</v>
      </c>
    </row>
    <row r="1731" spans="1:4" x14ac:dyDescent="0.2">
      <c r="A1731" s="514">
        <v>44789</v>
      </c>
      <c r="B1731" s="491">
        <f t="shared" si="23"/>
        <v>238555.14</v>
      </c>
      <c r="C1731" s="491">
        <v>238355.14</v>
      </c>
      <c r="D1731" s="747">
        <v>200</v>
      </c>
    </row>
    <row r="1732" spans="1:4" x14ac:dyDescent="0.2">
      <c r="A1732" s="514">
        <v>44790</v>
      </c>
      <c r="B1732" s="491">
        <f t="shared" si="23"/>
        <v>238555.14</v>
      </c>
      <c r="C1732" s="491">
        <f t="shared" si="25"/>
        <v>238355.14</v>
      </c>
      <c r="D1732" s="747">
        <v>200</v>
      </c>
    </row>
    <row r="1733" spans="1:4" x14ac:dyDescent="0.2">
      <c r="A1733" s="514">
        <v>44791</v>
      </c>
      <c r="B1733" s="491">
        <f t="shared" si="23"/>
        <v>238555.14</v>
      </c>
      <c r="C1733" s="491">
        <f t="shared" si="25"/>
        <v>238355.14</v>
      </c>
      <c r="D1733" s="747">
        <v>200</v>
      </c>
    </row>
    <row r="1734" spans="1:4" x14ac:dyDescent="0.2">
      <c r="A1734" s="514">
        <v>44792</v>
      </c>
      <c r="B1734" s="491">
        <f t="shared" si="23"/>
        <v>227371.3</v>
      </c>
      <c r="C1734" s="491">
        <v>227171.3</v>
      </c>
      <c r="D1734" s="747">
        <v>200</v>
      </c>
    </row>
    <row r="1735" spans="1:4" x14ac:dyDescent="0.2">
      <c r="A1735" s="514">
        <v>44795</v>
      </c>
      <c r="B1735" s="491">
        <f t="shared" si="23"/>
        <v>227907.61</v>
      </c>
      <c r="C1735" s="491">
        <v>227707.61</v>
      </c>
      <c r="D1735" s="747">
        <v>200</v>
      </c>
    </row>
    <row r="1736" spans="1:4" x14ac:dyDescent="0.2">
      <c r="A1736" s="514">
        <v>44796</v>
      </c>
      <c r="B1736" s="491">
        <f t="shared" si="23"/>
        <v>227907.61</v>
      </c>
      <c r="C1736" s="491">
        <f t="shared" si="25"/>
        <v>227707.61</v>
      </c>
      <c r="D1736" s="747">
        <v>200</v>
      </c>
    </row>
    <row r="1737" spans="1:4" x14ac:dyDescent="0.2">
      <c r="A1737" s="514">
        <v>44797</v>
      </c>
      <c r="B1737" s="491">
        <f t="shared" si="23"/>
        <v>250036.67</v>
      </c>
      <c r="C1737" s="491">
        <v>249836.67</v>
      </c>
      <c r="D1737" s="747">
        <v>200</v>
      </c>
    </row>
    <row r="1738" spans="1:4" x14ac:dyDescent="0.2">
      <c r="A1738" s="514">
        <v>44798</v>
      </c>
      <c r="B1738" s="491">
        <f t="shared" si="23"/>
        <v>255964.71</v>
      </c>
      <c r="C1738" s="491">
        <v>255764.71</v>
      </c>
      <c r="D1738" s="747">
        <v>200</v>
      </c>
    </row>
    <row r="1739" spans="1:4" x14ac:dyDescent="0.2">
      <c r="A1739" s="514">
        <v>44799</v>
      </c>
      <c r="B1739" s="491">
        <f t="shared" si="23"/>
        <v>315493.2</v>
      </c>
      <c r="C1739" s="491">
        <v>315293.2</v>
      </c>
      <c r="D1739" s="747">
        <v>200</v>
      </c>
    </row>
    <row r="1740" spans="1:4" x14ac:dyDescent="0.2">
      <c r="A1740" s="514">
        <v>44802</v>
      </c>
      <c r="B1740" s="491">
        <f t="shared" si="23"/>
        <v>315493.2</v>
      </c>
      <c r="C1740" s="491">
        <f t="shared" si="25"/>
        <v>315293.2</v>
      </c>
      <c r="D1740" s="747">
        <v>200</v>
      </c>
    </row>
    <row r="1741" spans="1:4" x14ac:dyDescent="0.2">
      <c r="A1741" s="514">
        <v>44803</v>
      </c>
      <c r="B1741" s="491">
        <f t="shared" si="23"/>
        <v>332334.94</v>
      </c>
      <c r="C1741" s="491">
        <v>332134.94</v>
      </c>
      <c r="D1741" s="747">
        <v>200</v>
      </c>
    </row>
    <row r="1742" spans="1:4" x14ac:dyDescent="0.2">
      <c r="A1742" s="514">
        <v>44804</v>
      </c>
      <c r="B1742" s="491">
        <f t="shared" si="23"/>
        <v>332334.94</v>
      </c>
      <c r="C1742" s="491">
        <f t="shared" si="25"/>
        <v>332134.94</v>
      </c>
      <c r="D1742" s="747">
        <v>200</v>
      </c>
    </row>
    <row r="1743" spans="1:4" x14ac:dyDescent="0.2">
      <c r="A1743" s="514">
        <v>44805</v>
      </c>
      <c r="B1743" s="491">
        <f t="shared" si="23"/>
        <v>370869.56</v>
      </c>
      <c r="C1743" s="491">
        <v>370669.56</v>
      </c>
      <c r="D1743" s="747">
        <v>200</v>
      </c>
    </row>
    <row r="1744" spans="1:4" x14ac:dyDescent="0.2">
      <c r="A1744" s="514">
        <v>44806</v>
      </c>
      <c r="B1744" s="491">
        <f t="shared" si="23"/>
        <v>370394.58</v>
      </c>
      <c r="C1744" s="491">
        <v>370194.58</v>
      </c>
      <c r="D1744" s="747">
        <v>200</v>
      </c>
    </row>
    <row r="1745" spans="1:4" x14ac:dyDescent="0.2">
      <c r="A1745" s="514">
        <v>44809</v>
      </c>
      <c r="B1745" s="491">
        <f t="shared" si="23"/>
        <v>370394.58</v>
      </c>
      <c r="C1745" s="491">
        <f t="shared" si="25"/>
        <v>370194.58</v>
      </c>
      <c r="D1745" s="747">
        <v>200</v>
      </c>
    </row>
    <row r="1746" spans="1:4" x14ac:dyDescent="0.2">
      <c r="A1746" s="514">
        <v>44810</v>
      </c>
      <c r="B1746" s="491">
        <f t="shared" si="23"/>
        <v>346842.59</v>
      </c>
      <c r="C1746" s="491">
        <v>346642.59</v>
      </c>
      <c r="D1746" s="747">
        <v>200</v>
      </c>
    </row>
    <row r="1747" spans="1:4" x14ac:dyDescent="0.2">
      <c r="A1747" s="514">
        <v>44811</v>
      </c>
      <c r="B1747" s="491">
        <f t="shared" si="23"/>
        <v>346842.59</v>
      </c>
      <c r="C1747" s="491">
        <f t="shared" si="25"/>
        <v>346642.59</v>
      </c>
      <c r="D1747" s="747">
        <v>200</v>
      </c>
    </row>
    <row r="1748" spans="1:4" x14ac:dyDescent="0.2">
      <c r="A1748" s="514">
        <v>44812</v>
      </c>
      <c r="B1748" s="491">
        <f t="shared" si="23"/>
        <v>346842.59</v>
      </c>
      <c r="C1748" s="491">
        <f t="shared" si="25"/>
        <v>346642.59</v>
      </c>
      <c r="D1748" s="747">
        <v>200</v>
      </c>
    </row>
    <row r="1749" spans="1:4" x14ac:dyDescent="0.2">
      <c r="A1749" s="514">
        <v>44813</v>
      </c>
      <c r="B1749" s="491">
        <f t="shared" si="23"/>
        <v>347076.59</v>
      </c>
      <c r="C1749" s="491">
        <v>346876.59</v>
      </c>
      <c r="D1749" s="747">
        <v>200</v>
      </c>
    </row>
    <row r="1750" spans="1:4" x14ac:dyDescent="0.2">
      <c r="A1750" s="514">
        <v>44816</v>
      </c>
      <c r="B1750" s="491">
        <f t="shared" si="23"/>
        <v>308665.48</v>
      </c>
      <c r="C1750" s="491">
        <v>308465.48</v>
      </c>
      <c r="D1750" s="747">
        <v>200</v>
      </c>
    </row>
    <row r="1751" spans="1:4" x14ac:dyDescent="0.2">
      <c r="A1751" s="514">
        <v>44817</v>
      </c>
      <c r="B1751" s="491">
        <f t="shared" si="23"/>
        <v>308665.48</v>
      </c>
      <c r="C1751" s="491">
        <f t="shared" si="25"/>
        <v>308465.48</v>
      </c>
      <c r="D1751" s="747">
        <v>200</v>
      </c>
    </row>
    <row r="1752" spans="1:4" x14ac:dyDescent="0.2">
      <c r="A1752" s="514">
        <v>44818</v>
      </c>
      <c r="B1752" s="491">
        <f t="shared" si="23"/>
        <v>320782.46999999997</v>
      </c>
      <c r="C1752" s="491">
        <v>320582.46999999997</v>
      </c>
      <c r="D1752" s="747">
        <v>200</v>
      </c>
    </row>
    <row r="1753" spans="1:4" x14ac:dyDescent="0.2">
      <c r="A1753" s="514">
        <v>44819</v>
      </c>
      <c r="B1753" s="491">
        <f t="shared" si="23"/>
        <v>317911.17</v>
      </c>
      <c r="C1753" s="491">
        <v>317711.17</v>
      </c>
      <c r="D1753" s="747">
        <v>200</v>
      </c>
    </row>
    <row r="1754" spans="1:4" x14ac:dyDescent="0.2">
      <c r="A1754" s="514">
        <v>44820</v>
      </c>
      <c r="B1754" s="491">
        <f t="shared" si="23"/>
        <v>317436.19</v>
      </c>
      <c r="C1754" s="491">
        <v>317236.19</v>
      </c>
      <c r="D1754" s="747">
        <v>200</v>
      </c>
    </row>
    <row r="1755" spans="1:4" x14ac:dyDescent="0.2">
      <c r="A1755" s="514">
        <v>44823</v>
      </c>
      <c r="B1755" s="491">
        <f t="shared" si="23"/>
        <v>317436.19</v>
      </c>
      <c r="C1755" s="491">
        <f t="shared" si="25"/>
        <v>317236.19</v>
      </c>
      <c r="D1755" s="747">
        <v>200</v>
      </c>
    </row>
    <row r="1756" spans="1:4" x14ac:dyDescent="0.2">
      <c r="A1756" s="514">
        <v>44824</v>
      </c>
      <c r="B1756" s="491">
        <f t="shared" si="23"/>
        <v>428386.24</v>
      </c>
      <c r="C1756" s="491">
        <v>428186.24</v>
      </c>
      <c r="D1756" s="747">
        <v>200</v>
      </c>
    </row>
    <row r="1757" spans="1:4" x14ac:dyDescent="0.2">
      <c r="A1757" s="514">
        <v>44825</v>
      </c>
      <c r="B1757" s="491">
        <f t="shared" si="23"/>
        <v>428386.24</v>
      </c>
      <c r="C1757" s="491">
        <f t="shared" si="25"/>
        <v>428186.24</v>
      </c>
      <c r="D1757" s="747">
        <v>200</v>
      </c>
    </row>
    <row r="1758" spans="1:4" x14ac:dyDescent="0.2">
      <c r="A1758" s="514">
        <v>44826</v>
      </c>
      <c r="B1758" s="491">
        <f t="shared" si="23"/>
        <v>425851.86</v>
      </c>
      <c r="C1758" s="491">
        <v>425651.86</v>
      </c>
      <c r="D1758" s="747">
        <v>200</v>
      </c>
    </row>
    <row r="1759" spans="1:4" x14ac:dyDescent="0.2">
      <c r="A1759" s="514">
        <v>44827</v>
      </c>
      <c r="B1759" s="491">
        <f t="shared" si="23"/>
        <v>453679.91</v>
      </c>
      <c r="C1759" s="491">
        <v>453479.91</v>
      </c>
      <c r="D1759" s="747">
        <v>200</v>
      </c>
    </row>
    <row r="1760" spans="1:4" x14ac:dyDescent="0.2">
      <c r="A1760" s="514">
        <v>44830</v>
      </c>
      <c r="B1760" s="491">
        <f t="shared" si="23"/>
        <v>412431.05</v>
      </c>
      <c r="C1760" s="491">
        <v>412231.05</v>
      </c>
      <c r="D1760" s="747">
        <v>200</v>
      </c>
    </row>
    <row r="1761" spans="1:4" x14ac:dyDescent="0.2">
      <c r="A1761" s="514">
        <v>44831</v>
      </c>
      <c r="B1761" s="491">
        <f t="shared" si="23"/>
        <v>412402.21</v>
      </c>
      <c r="C1761" s="491">
        <v>412202.21</v>
      </c>
      <c r="D1761" s="747">
        <v>200</v>
      </c>
    </row>
    <row r="1762" spans="1:4" x14ac:dyDescent="0.2">
      <c r="A1762" s="514">
        <v>44832</v>
      </c>
      <c r="B1762" s="491">
        <f t="shared" si="23"/>
        <v>417372.63</v>
      </c>
      <c r="C1762" s="491">
        <v>417172.63</v>
      </c>
      <c r="D1762" s="747">
        <v>200</v>
      </c>
    </row>
    <row r="1763" spans="1:4" x14ac:dyDescent="0.2">
      <c r="A1763" s="514">
        <v>44833</v>
      </c>
      <c r="B1763" s="491">
        <f t="shared" si="23"/>
        <v>415449.23</v>
      </c>
      <c r="C1763" s="491">
        <v>415249.23</v>
      </c>
      <c r="D1763" s="747">
        <v>200</v>
      </c>
    </row>
    <row r="1764" spans="1:4" x14ac:dyDescent="0.2">
      <c r="A1764" s="514">
        <v>44834</v>
      </c>
      <c r="B1764" s="491">
        <f t="shared" si="23"/>
        <v>435708</v>
      </c>
      <c r="C1764" s="491">
        <v>435508</v>
      </c>
      <c r="D1764" s="747">
        <v>200</v>
      </c>
    </row>
    <row r="1765" spans="1:4" x14ac:dyDescent="0.2">
      <c r="A1765" s="514">
        <v>44835</v>
      </c>
      <c r="B1765" s="491">
        <f t="shared" si="23"/>
        <v>435708</v>
      </c>
      <c r="C1765" s="491">
        <f t="shared" si="25"/>
        <v>435508</v>
      </c>
      <c r="D1765" s="747">
        <v>200</v>
      </c>
    </row>
    <row r="1766" spans="1:4" x14ac:dyDescent="0.2">
      <c r="A1766" s="514">
        <v>44836</v>
      </c>
      <c r="B1766" s="491">
        <f t="shared" si="23"/>
        <v>435708</v>
      </c>
      <c r="C1766" s="491">
        <f t="shared" si="25"/>
        <v>435508</v>
      </c>
      <c r="D1766" s="747">
        <v>200</v>
      </c>
    </row>
    <row r="1767" spans="1:4" x14ac:dyDescent="0.2">
      <c r="A1767" s="514">
        <v>44837</v>
      </c>
      <c r="B1767" s="491">
        <f t="shared" si="23"/>
        <v>435708</v>
      </c>
      <c r="C1767" s="491">
        <f t="shared" si="25"/>
        <v>435508</v>
      </c>
      <c r="D1767" s="747">
        <v>200</v>
      </c>
    </row>
    <row r="1768" spans="1:4" x14ac:dyDescent="0.2">
      <c r="A1768" s="514">
        <v>44838</v>
      </c>
      <c r="B1768" s="491">
        <f t="shared" si="23"/>
        <v>435708</v>
      </c>
      <c r="C1768" s="491">
        <f t="shared" si="25"/>
        <v>435508</v>
      </c>
      <c r="D1768" s="747">
        <v>200</v>
      </c>
    </row>
    <row r="1769" spans="1:4" x14ac:dyDescent="0.2">
      <c r="A1769" s="514">
        <v>44839</v>
      </c>
      <c r="B1769" s="491">
        <f t="shared" si="23"/>
        <v>436040</v>
      </c>
      <c r="C1769" s="491">
        <v>435840</v>
      </c>
      <c r="D1769" s="747">
        <v>200</v>
      </c>
    </row>
    <row r="1770" spans="1:4" x14ac:dyDescent="0.2">
      <c r="A1770" s="514">
        <v>44840</v>
      </c>
      <c r="B1770" s="491">
        <f t="shared" si="23"/>
        <v>427559.36</v>
      </c>
      <c r="C1770" s="491">
        <v>427359.36</v>
      </c>
      <c r="D1770" s="747">
        <v>200</v>
      </c>
    </row>
    <row r="1771" spans="1:4" x14ac:dyDescent="0.2">
      <c r="A1771" s="514">
        <v>44841</v>
      </c>
      <c r="B1771" s="491">
        <f t="shared" si="23"/>
        <v>427559.36</v>
      </c>
      <c r="C1771" s="491">
        <f t="shared" si="25"/>
        <v>427359.36</v>
      </c>
      <c r="D1771" s="747">
        <v>200</v>
      </c>
    </row>
    <row r="1772" spans="1:4" x14ac:dyDescent="0.2">
      <c r="A1772" s="514">
        <v>44844</v>
      </c>
      <c r="B1772" s="491">
        <f t="shared" si="23"/>
        <v>427559.36</v>
      </c>
      <c r="C1772" s="491">
        <f t="shared" si="25"/>
        <v>427359.36</v>
      </c>
      <c r="D1772" s="747">
        <v>200</v>
      </c>
    </row>
    <row r="1773" spans="1:4" x14ac:dyDescent="0.2">
      <c r="A1773" s="514">
        <v>44845</v>
      </c>
      <c r="B1773" s="491">
        <f t="shared" si="23"/>
        <v>388161.54</v>
      </c>
      <c r="C1773" s="491">
        <v>387961.54</v>
      </c>
      <c r="D1773" s="747">
        <v>200</v>
      </c>
    </row>
    <row r="1774" spans="1:4" x14ac:dyDescent="0.2">
      <c r="A1774" s="514">
        <v>44846</v>
      </c>
      <c r="B1774" s="491">
        <f t="shared" si="23"/>
        <v>388161.54</v>
      </c>
      <c r="C1774" s="491">
        <f t="shared" si="25"/>
        <v>387961.54</v>
      </c>
      <c r="D1774" s="747">
        <v>200</v>
      </c>
    </row>
    <row r="1775" spans="1:4" x14ac:dyDescent="0.2">
      <c r="A1775" s="514">
        <v>44847</v>
      </c>
      <c r="B1775" s="491">
        <f t="shared" si="23"/>
        <v>381514.53</v>
      </c>
      <c r="C1775" s="491">
        <v>381314.53</v>
      </c>
      <c r="D1775" s="747">
        <v>200</v>
      </c>
    </row>
    <row r="1776" spans="1:4" x14ac:dyDescent="0.2">
      <c r="A1776" s="514">
        <v>44848</v>
      </c>
      <c r="B1776" s="491">
        <f t="shared" si="23"/>
        <v>389507.01</v>
      </c>
      <c r="C1776" s="491">
        <v>389307.01</v>
      </c>
      <c r="D1776" s="747">
        <v>200</v>
      </c>
    </row>
    <row r="1777" spans="1:4" x14ac:dyDescent="0.2">
      <c r="A1777" s="514">
        <v>44849</v>
      </c>
      <c r="B1777" s="491">
        <f t="shared" si="23"/>
        <v>389507.01</v>
      </c>
      <c r="C1777" s="491">
        <f t="shared" ref="C1777:C1840" si="26">C1776</f>
        <v>389307.01</v>
      </c>
      <c r="D1777" s="747">
        <v>200</v>
      </c>
    </row>
    <row r="1778" spans="1:4" x14ac:dyDescent="0.2">
      <c r="A1778" s="514">
        <v>44850</v>
      </c>
      <c r="B1778" s="491">
        <f t="shared" si="23"/>
        <v>389507.01</v>
      </c>
      <c r="C1778" s="491">
        <f t="shared" si="26"/>
        <v>389307.01</v>
      </c>
      <c r="D1778" s="747">
        <v>200</v>
      </c>
    </row>
    <row r="1779" spans="1:4" x14ac:dyDescent="0.2">
      <c r="A1779" s="514">
        <v>44851</v>
      </c>
      <c r="B1779" s="491">
        <f t="shared" si="23"/>
        <v>414035.71</v>
      </c>
      <c r="C1779" s="491">
        <v>413835.71</v>
      </c>
      <c r="D1779" s="747">
        <v>200</v>
      </c>
    </row>
    <row r="1780" spans="1:4" x14ac:dyDescent="0.2">
      <c r="A1780" s="514">
        <v>44852</v>
      </c>
      <c r="B1780" s="491">
        <f t="shared" si="23"/>
        <v>413985.71</v>
      </c>
      <c r="C1780" s="491">
        <v>413785.71</v>
      </c>
      <c r="D1780" s="747">
        <v>200</v>
      </c>
    </row>
    <row r="1781" spans="1:4" x14ac:dyDescent="0.2">
      <c r="A1781" s="514">
        <v>44853</v>
      </c>
      <c r="B1781" s="491">
        <f t="shared" si="23"/>
        <v>413985.71</v>
      </c>
      <c r="C1781" s="491">
        <f t="shared" si="26"/>
        <v>413785.71</v>
      </c>
      <c r="D1781" s="747">
        <v>200</v>
      </c>
    </row>
    <row r="1782" spans="1:4" x14ac:dyDescent="0.2">
      <c r="A1782" s="514">
        <v>44854</v>
      </c>
      <c r="B1782" s="491">
        <f t="shared" si="23"/>
        <v>411319.14</v>
      </c>
      <c r="C1782" s="491">
        <v>411119.14</v>
      </c>
      <c r="D1782" s="747">
        <v>200</v>
      </c>
    </row>
    <row r="1783" spans="1:4" x14ac:dyDescent="0.2">
      <c r="A1783" s="514">
        <v>44855</v>
      </c>
      <c r="B1783" s="491">
        <f t="shared" si="23"/>
        <v>411160.29</v>
      </c>
      <c r="C1783" s="491">
        <v>410960.29</v>
      </c>
      <c r="D1783" s="747">
        <v>200</v>
      </c>
    </row>
    <row r="1784" spans="1:4" x14ac:dyDescent="0.2">
      <c r="A1784" s="514">
        <v>44856</v>
      </c>
      <c r="B1784" s="491">
        <f t="shared" si="23"/>
        <v>411160.29</v>
      </c>
      <c r="C1784" s="491">
        <f t="shared" si="26"/>
        <v>410960.29</v>
      </c>
      <c r="D1784" s="747">
        <v>200</v>
      </c>
    </row>
    <row r="1785" spans="1:4" x14ac:dyDescent="0.2">
      <c r="A1785" s="514">
        <v>44857</v>
      </c>
      <c r="B1785" s="491">
        <f t="shared" si="23"/>
        <v>411160.29</v>
      </c>
      <c r="C1785" s="491">
        <f t="shared" si="26"/>
        <v>410960.29</v>
      </c>
      <c r="D1785" s="747">
        <v>200</v>
      </c>
    </row>
    <row r="1786" spans="1:4" x14ac:dyDescent="0.2">
      <c r="A1786" s="514">
        <v>44858</v>
      </c>
      <c r="B1786" s="491">
        <f t="shared" si="23"/>
        <v>372476.51</v>
      </c>
      <c r="C1786" s="491">
        <v>372276.51</v>
      </c>
      <c r="D1786" s="747">
        <v>200</v>
      </c>
    </row>
    <row r="1787" spans="1:4" x14ac:dyDescent="0.2">
      <c r="A1787" s="514">
        <v>44859</v>
      </c>
      <c r="B1787" s="491">
        <f t="shared" si="23"/>
        <v>376660.01</v>
      </c>
      <c r="C1787" s="491">
        <v>376460.01</v>
      </c>
      <c r="D1787" s="747">
        <v>200</v>
      </c>
    </row>
    <row r="1788" spans="1:4" x14ac:dyDescent="0.2">
      <c r="A1788" s="514">
        <v>44860</v>
      </c>
      <c r="B1788" s="491">
        <f t="shared" si="23"/>
        <v>397613.66</v>
      </c>
      <c r="C1788" s="491">
        <v>397413.66</v>
      </c>
      <c r="D1788" s="747">
        <v>200</v>
      </c>
    </row>
    <row r="1789" spans="1:4" x14ac:dyDescent="0.2">
      <c r="A1789" s="514">
        <v>44861</v>
      </c>
      <c r="B1789" s="491">
        <f t="shared" si="23"/>
        <v>387878.55</v>
      </c>
      <c r="C1789" s="491">
        <v>387678.55</v>
      </c>
      <c r="D1789" s="747">
        <v>200</v>
      </c>
    </row>
    <row r="1790" spans="1:4" x14ac:dyDescent="0.2">
      <c r="A1790" s="514">
        <v>44862</v>
      </c>
      <c r="B1790" s="491">
        <f t="shared" si="23"/>
        <v>387403.57</v>
      </c>
      <c r="C1790" s="491">
        <v>387203.57</v>
      </c>
      <c r="D1790" s="747">
        <v>200</v>
      </c>
    </row>
    <row r="1791" spans="1:4" x14ac:dyDescent="0.2">
      <c r="A1791" s="514">
        <v>44863</v>
      </c>
      <c r="B1791" s="491">
        <f t="shared" si="23"/>
        <v>387403.57</v>
      </c>
      <c r="C1791" s="491">
        <f t="shared" si="26"/>
        <v>387203.57</v>
      </c>
      <c r="D1791" s="747">
        <v>200</v>
      </c>
    </row>
    <row r="1792" spans="1:4" x14ac:dyDescent="0.2">
      <c r="A1792" s="514">
        <v>44864</v>
      </c>
      <c r="B1792" s="491">
        <f t="shared" si="23"/>
        <v>387403.57</v>
      </c>
      <c r="C1792" s="491">
        <f t="shared" si="26"/>
        <v>387203.57</v>
      </c>
      <c r="D1792" s="747">
        <v>200</v>
      </c>
    </row>
    <row r="1793" spans="1:4" x14ac:dyDescent="0.2">
      <c r="A1793" s="514">
        <v>44865</v>
      </c>
      <c r="B1793" s="491">
        <f t="shared" si="23"/>
        <v>417270.82</v>
      </c>
      <c r="C1793" s="491">
        <v>417070.82</v>
      </c>
      <c r="D1793" s="747">
        <v>200</v>
      </c>
    </row>
    <row r="1794" spans="1:4" x14ac:dyDescent="0.2">
      <c r="A1794" s="514">
        <v>44866</v>
      </c>
      <c r="B1794" s="491">
        <f t="shared" si="23"/>
        <v>417270.82</v>
      </c>
      <c r="C1794" s="491">
        <f t="shared" si="26"/>
        <v>417070.82</v>
      </c>
      <c r="D1794" s="747">
        <v>200</v>
      </c>
    </row>
    <row r="1795" spans="1:4" x14ac:dyDescent="0.2">
      <c r="A1795" s="514">
        <v>44867</v>
      </c>
      <c r="B1795" s="491">
        <f t="shared" si="23"/>
        <v>417270.82</v>
      </c>
      <c r="C1795" s="491">
        <f t="shared" si="26"/>
        <v>417070.82</v>
      </c>
      <c r="D1795" s="747">
        <v>200</v>
      </c>
    </row>
    <row r="1796" spans="1:4" x14ac:dyDescent="0.2">
      <c r="A1796" s="514">
        <v>44868</v>
      </c>
      <c r="B1796" s="491">
        <f t="shared" si="23"/>
        <v>411865.95</v>
      </c>
      <c r="C1796" s="491">
        <v>411665.95</v>
      </c>
      <c r="D1796" s="747">
        <v>200</v>
      </c>
    </row>
    <row r="1797" spans="1:4" x14ac:dyDescent="0.2">
      <c r="A1797" s="514">
        <v>44869</v>
      </c>
      <c r="B1797" s="491">
        <f t="shared" si="23"/>
        <v>411865.95</v>
      </c>
      <c r="C1797" s="491">
        <f t="shared" si="26"/>
        <v>411665.95</v>
      </c>
      <c r="D1797" s="747">
        <v>200</v>
      </c>
    </row>
    <row r="1798" spans="1:4" x14ac:dyDescent="0.2">
      <c r="A1798" s="514">
        <v>44870</v>
      </c>
      <c r="B1798" s="491">
        <f t="shared" si="23"/>
        <v>411865.95</v>
      </c>
      <c r="C1798" s="491">
        <f t="shared" si="26"/>
        <v>411665.95</v>
      </c>
      <c r="D1798" s="747">
        <v>200</v>
      </c>
    </row>
    <row r="1799" spans="1:4" x14ac:dyDescent="0.2">
      <c r="A1799" s="514">
        <v>44871</v>
      </c>
      <c r="B1799" s="491">
        <f t="shared" si="23"/>
        <v>411865.95</v>
      </c>
      <c r="C1799" s="491">
        <f t="shared" si="26"/>
        <v>411665.95</v>
      </c>
      <c r="D1799" s="747">
        <v>200</v>
      </c>
    </row>
    <row r="1800" spans="1:4" x14ac:dyDescent="0.2">
      <c r="A1800" s="514">
        <v>44872</v>
      </c>
      <c r="B1800" s="491">
        <f t="shared" si="23"/>
        <v>368529.24</v>
      </c>
      <c r="C1800" s="491">
        <v>368329.24</v>
      </c>
      <c r="D1800" s="747">
        <v>200</v>
      </c>
    </row>
    <row r="1801" spans="1:4" x14ac:dyDescent="0.2">
      <c r="A1801" s="514">
        <v>44873</v>
      </c>
      <c r="B1801" s="491">
        <f t="shared" si="23"/>
        <v>369146.24</v>
      </c>
      <c r="C1801" s="491">
        <v>368946.24</v>
      </c>
      <c r="D1801" s="747">
        <v>200</v>
      </c>
    </row>
    <row r="1802" spans="1:4" x14ac:dyDescent="0.2">
      <c r="A1802" s="514">
        <v>44874</v>
      </c>
      <c r="B1802" s="491">
        <f t="shared" ref="B1802:B1865" si="27">C1802+D1802</f>
        <v>369146.24</v>
      </c>
      <c r="C1802" s="491">
        <f t="shared" si="26"/>
        <v>368946.24</v>
      </c>
      <c r="D1802" s="747">
        <v>200</v>
      </c>
    </row>
    <row r="1803" spans="1:4" x14ac:dyDescent="0.2">
      <c r="A1803" s="514">
        <v>44875</v>
      </c>
      <c r="B1803" s="491">
        <f t="shared" si="27"/>
        <v>423875.79</v>
      </c>
      <c r="C1803" s="491">
        <v>423675.79</v>
      </c>
      <c r="D1803" s="747">
        <v>200</v>
      </c>
    </row>
    <row r="1804" spans="1:4" x14ac:dyDescent="0.2">
      <c r="A1804" s="514">
        <v>44876</v>
      </c>
      <c r="B1804" s="491">
        <f t="shared" si="27"/>
        <v>423875.79</v>
      </c>
      <c r="C1804" s="491">
        <f t="shared" si="26"/>
        <v>423675.79</v>
      </c>
      <c r="D1804" s="747">
        <v>200</v>
      </c>
    </row>
    <row r="1805" spans="1:4" x14ac:dyDescent="0.2">
      <c r="A1805" s="514">
        <v>44879</v>
      </c>
      <c r="B1805" s="491">
        <f t="shared" si="27"/>
        <v>423400.81</v>
      </c>
      <c r="C1805" s="491">
        <v>423200.81</v>
      </c>
      <c r="D1805" s="747">
        <v>200</v>
      </c>
    </row>
    <row r="1806" spans="1:4" x14ac:dyDescent="0.2">
      <c r="A1806" s="514">
        <v>44880</v>
      </c>
      <c r="B1806" s="491">
        <f t="shared" si="27"/>
        <v>423210.99</v>
      </c>
      <c r="C1806" s="491">
        <v>423010.99</v>
      </c>
      <c r="D1806" s="747">
        <v>200</v>
      </c>
    </row>
    <row r="1807" spans="1:4" x14ac:dyDescent="0.2">
      <c r="A1807" s="514">
        <v>44881</v>
      </c>
      <c r="B1807" s="491">
        <f t="shared" si="27"/>
        <v>473210.99</v>
      </c>
      <c r="C1807" s="491">
        <v>473010.99</v>
      </c>
      <c r="D1807" s="747">
        <v>200</v>
      </c>
    </row>
    <row r="1808" spans="1:4" x14ac:dyDescent="0.2">
      <c r="A1808" s="514">
        <v>44882</v>
      </c>
      <c r="B1808" s="491">
        <f t="shared" si="27"/>
        <v>470084.64</v>
      </c>
      <c r="C1808" s="491">
        <v>469884.64</v>
      </c>
      <c r="D1808" s="747">
        <v>200</v>
      </c>
    </row>
    <row r="1809" spans="1:4" x14ac:dyDescent="0.2">
      <c r="A1809" s="514">
        <v>44883</v>
      </c>
      <c r="B1809" s="491">
        <f t="shared" si="27"/>
        <v>470084.64</v>
      </c>
      <c r="C1809" s="491">
        <f t="shared" si="26"/>
        <v>469884.64</v>
      </c>
      <c r="D1809" s="747">
        <v>200</v>
      </c>
    </row>
    <row r="1810" spans="1:4" x14ac:dyDescent="0.2">
      <c r="A1810" s="514">
        <v>44886</v>
      </c>
      <c r="B1810" s="491">
        <f t="shared" si="27"/>
        <v>424767.46</v>
      </c>
      <c r="C1810" s="491">
        <v>424567.46</v>
      </c>
      <c r="D1810" s="747">
        <v>200</v>
      </c>
    </row>
    <row r="1811" spans="1:4" x14ac:dyDescent="0.2">
      <c r="A1811" s="514">
        <v>44887</v>
      </c>
      <c r="B1811" s="491">
        <f t="shared" si="27"/>
        <v>424767.46</v>
      </c>
      <c r="C1811" s="491">
        <f t="shared" si="26"/>
        <v>424567.46</v>
      </c>
      <c r="D1811" s="747">
        <v>200</v>
      </c>
    </row>
    <row r="1812" spans="1:4" x14ac:dyDescent="0.2">
      <c r="A1812" s="514">
        <v>44888</v>
      </c>
      <c r="B1812" s="491">
        <f t="shared" si="27"/>
        <v>424767.46</v>
      </c>
      <c r="C1812" s="491">
        <f t="shared" si="26"/>
        <v>424567.46</v>
      </c>
      <c r="D1812" s="747">
        <v>200</v>
      </c>
    </row>
    <row r="1813" spans="1:4" x14ac:dyDescent="0.2">
      <c r="A1813" s="514">
        <v>44889</v>
      </c>
      <c r="B1813" s="491">
        <f t="shared" si="27"/>
        <v>424767.46</v>
      </c>
      <c r="C1813" s="491">
        <f t="shared" si="26"/>
        <v>424567.46</v>
      </c>
      <c r="D1813" s="747">
        <v>200</v>
      </c>
    </row>
    <row r="1814" spans="1:4" x14ac:dyDescent="0.2">
      <c r="A1814" s="514">
        <v>44890</v>
      </c>
      <c r="B1814" s="491">
        <f t="shared" si="27"/>
        <v>442650.11</v>
      </c>
      <c r="C1814" s="491">
        <v>442450.11</v>
      </c>
      <c r="D1814" s="747">
        <v>200</v>
      </c>
    </row>
    <row r="1815" spans="1:4" x14ac:dyDescent="0.2">
      <c r="A1815" s="514">
        <v>44893</v>
      </c>
      <c r="B1815" s="491">
        <f t="shared" si="27"/>
        <v>442518.27</v>
      </c>
      <c r="C1815" s="491">
        <v>442318.27</v>
      </c>
      <c r="D1815" s="747">
        <v>200</v>
      </c>
    </row>
    <row r="1816" spans="1:4" x14ac:dyDescent="0.2">
      <c r="A1816" s="514">
        <v>44894</v>
      </c>
      <c r="B1816" s="491">
        <f t="shared" si="27"/>
        <v>442518.27</v>
      </c>
      <c r="C1816" s="491">
        <f t="shared" si="26"/>
        <v>442318.27</v>
      </c>
      <c r="D1816" s="747">
        <v>200</v>
      </c>
    </row>
    <row r="1817" spans="1:4" x14ac:dyDescent="0.2">
      <c r="A1817" s="514">
        <v>44895</v>
      </c>
      <c r="B1817" s="491">
        <f t="shared" si="27"/>
        <v>442518.27</v>
      </c>
      <c r="C1817" s="491">
        <f t="shared" si="26"/>
        <v>442318.27</v>
      </c>
      <c r="D1817" s="747">
        <v>200</v>
      </c>
    </row>
    <row r="1818" spans="1:4" x14ac:dyDescent="0.2">
      <c r="A1818" s="514">
        <v>44896</v>
      </c>
      <c r="B1818" s="491">
        <f t="shared" si="27"/>
        <v>442518.27</v>
      </c>
      <c r="C1818" s="491">
        <f t="shared" si="26"/>
        <v>442318.27</v>
      </c>
      <c r="D1818" s="747">
        <v>200</v>
      </c>
    </row>
    <row r="1819" spans="1:4" x14ac:dyDescent="0.2">
      <c r="A1819" s="514">
        <v>44897</v>
      </c>
      <c r="B1819" s="491">
        <f t="shared" si="27"/>
        <v>420942.38</v>
      </c>
      <c r="C1819" s="491">
        <v>420742.38</v>
      </c>
      <c r="D1819" s="747">
        <v>200</v>
      </c>
    </row>
    <row r="1820" spans="1:4" x14ac:dyDescent="0.2">
      <c r="A1820" s="514">
        <v>44900</v>
      </c>
      <c r="B1820" s="491">
        <f t="shared" si="27"/>
        <v>379216.39</v>
      </c>
      <c r="C1820" s="491">
        <v>379016.39</v>
      </c>
      <c r="D1820" s="747">
        <v>200</v>
      </c>
    </row>
    <row r="1821" spans="1:4" x14ac:dyDescent="0.2">
      <c r="A1821" s="514">
        <v>44901</v>
      </c>
      <c r="B1821" s="491">
        <f t="shared" si="27"/>
        <v>379216.39</v>
      </c>
      <c r="C1821" s="491">
        <f t="shared" si="26"/>
        <v>379016.39</v>
      </c>
      <c r="D1821" s="747">
        <v>200</v>
      </c>
    </row>
    <row r="1822" spans="1:4" x14ac:dyDescent="0.2">
      <c r="A1822" s="514">
        <v>44902</v>
      </c>
      <c r="B1822" s="491">
        <f t="shared" si="27"/>
        <v>379216.39</v>
      </c>
      <c r="C1822" s="491">
        <f t="shared" si="26"/>
        <v>379016.39</v>
      </c>
      <c r="D1822" s="747">
        <v>200</v>
      </c>
    </row>
    <row r="1823" spans="1:4" x14ac:dyDescent="0.2">
      <c r="A1823" s="514">
        <v>44903</v>
      </c>
      <c r="B1823" s="491">
        <f t="shared" si="27"/>
        <v>379216.39</v>
      </c>
      <c r="C1823" s="491">
        <f t="shared" si="26"/>
        <v>379016.39</v>
      </c>
      <c r="D1823" s="747">
        <v>200</v>
      </c>
    </row>
    <row r="1824" spans="1:4" x14ac:dyDescent="0.2">
      <c r="A1824" s="514">
        <v>44904</v>
      </c>
      <c r="B1824" s="491">
        <f t="shared" si="27"/>
        <v>383318.34</v>
      </c>
      <c r="C1824" s="491">
        <v>383118.34</v>
      </c>
      <c r="D1824" s="747">
        <v>200</v>
      </c>
    </row>
    <row r="1825" spans="1:4" x14ac:dyDescent="0.2">
      <c r="A1825" s="514">
        <v>44907</v>
      </c>
      <c r="B1825" s="491">
        <f t="shared" si="27"/>
        <v>383318.34</v>
      </c>
      <c r="C1825" s="491">
        <f t="shared" si="26"/>
        <v>383118.34</v>
      </c>
      <c r="D1825" s="747">
        <v>200</v>
      </c>
    </row>
    <row r="1826" spans="1:4" x14ac:dyDescent="0.2">
      <c r="A1826" s="514">
        <v>44908</v>
      </c>
      <c r="B1826" s="491">
        <f t="shared" si="27"/>
        <v>383318.34</v>
      </c>
      <c r="C1826" s="491">
        <f t="shared" si="26"/>
        <v>383118.34</v>
      </c>
      <c r="D1826" s="747">
        <v>200</v>
      </c>
    </row>
    <row r="1827" spans="1:4" x14ac:dyDescent="0.2">
      <c r="A1827" s="514">
        <v>44909</v>
      </c>
      <c r="B1827" s="491">
        <f t="shared" si="27"/>
        <v>378306.47</v>
      </c>
      <c r="C1827" s="491">
        <v>378106.47</v>
      </c>
      <c r="D1827" s="747">
        <v>200</v>
      </c>
    </row>
    <row r="1828" spans="1:4" x14ac:dyDescent="0.2">
      <c r="A1828" s="514">
        <v>44910</v>
      </c>
      <c r="B1828" s="491">
        <f t="shared" si="27"/>
        <v>385097.98</v>
      </c>
      <c r="C1828" s="491">
        <v>384897.98</v>
      </c>
      <c r="D1828" s="747">
        <v>200</v>
      </c>
    </row>
    <row r="1829" spans="1:4" x14ac:dyDescent="0.2">
      <c r="A1829" s="514">
        <v>44911</v>
      </c>
      <c r="B1829" s="491">
        <f t="shared" si="27"/>
        <v>385399.2</v>
      </c>
      <c r="C1829" s="491">
        <v>385199.2</v>
      </c>
      <c r="D1829" s="747">
        <v>200</v>
      </c>
    </row>
    <row r="1830" spans="1:4" x14ac:dyDescent="0.2">
      <c r="A1830" s="514">
        <v>44914</v>
      </c>
      <c r="B1830" s="491">
        <f t="shared" si="27"/>
        <v>385399.2</v>
      </c>
      <c r="C1830" s="491">
        <f t="shared" si="26"/>
        <v>385199.2</v>
      </c>
      <c r="D1830" s="747">
        <v>200</v>
      </c>
    </row>
    <row r="1831" spans="1:4" x14ac:dyDescent="0.2">
      <c r="A1831" s="514">
        <v>44915</v>
      </c>
      <c r="B1831" s="491">
        <f t="shared" si="27"/>
        <v>343338.22</v>
      </c>
      <c r="C1831" s="491">
        <v>343138.22</v>
      </c>
      <c r="D1831" s="747">
        <v>200</v>
      </c>
    </row>
    <row r="1832" spans="1:4" x14ac:dyDescent="0.2">
      <c r="A1832" s="514">
        <v>44916</v>
      </c>
      <c r="B1832" s="491">
        <f t="shared" si="27"/>
        <v>339355.16</v>
      </c>
      <c r="C1832" s="491">
        <v>339155.16</v>
      </c>
      <c r="D1832" s="747">
        <v>200</v>
      </c>
    </row>
    <row r="1833" spans="1:4" x14ac:dyDescent="0.2">
      <c r="A1833" s="514">
        <v>44917</v>
      </c>
      <c r="B1833" s="491">
        <f t="shared" si="27"/>
        <v>346945.63</v>
      </c>
      <c r="C1833" s="491">
        <v>346745.63</v>
      </c>
      <c r="D1833" s="747">
        <v>200</v>
      </c>
    </row>
    <row r="1834" spans="1:4" x14ac:dyDescent="0.2">
      <c r="A1834" s="514">
        <v>44918</v>
      </c>
      <c r="B1834" s="491">
        <f t="shared" si="27"/>
        <v>346470.13</v>
      </c>
      <c r="C1834" s="491">
        <v>346270.13</v>
      </c>
      <c r="D1834" s="747">
        <v>200</v>
      </c>
    </row>
    <row r="1835" spans="1:4" x14ac:dyDescent="0.2">
      <c r="A1835" s="514">
        <v>44921</v>
      </c>
      <c r="B1835" s="491">
        <f t="shared" si="27"/>
        <v>346470.13</v>
      </c>
      <c r="C1835" s="491">
        <f t="shared" si="26"/>
        <v>346270.13</v>
      </c>
      <c r="D1835" s="747">
        <v>200</v>
      </c>
    </row>
    <row r="1836" spans="1:4" x14ac:dyDescent="0.2">
      <c r="A1836" s="514">
        <v>44922</v>
      </c>
      <c r="B1836" s="491">
        <f t="shared" si="27"/>
        <v>346470.13</v>
      </c>
      <c r="C1836" s="491">
        <f t="shared" si="26"/>
        <v>346270.13</v>
      </c>
      <c r="D1836" s="747">
        <v>200</v>
      </c>
    </row>
    <row r="1837" spans="1:4" x14ac:dyDescent="0.2">
      <c r="A1837" s="514">
        <v>44923</v>
      </c>
      <c r="B1837" s="491">
        <f t="shared" si="27"/>
        <v>432503.36</v>
      </c>
      <c r="C1837" s="491">
        <v>432303.35999999999</v>
      </c>
      <c r="D1837" s="747">
        <v>200</v>
      </c>
    </row>
    <row r="1838" spans="1:4" x14ac:dyDescent="0.2">
      <c r="A1838" s="514">
        <v>44924</v>
      </c>
      <c r="B1838" s="491">
        <f t="shared" si="27"/>
        <v>432600.88</v>
      </c>
      <c r="C1838" s="491">
        <v>432400.88</v>
      </c>
      <c r="D1838" s="747">
        <v>200</v>
      </c>
    </row>
    <row r="1839" spans="1:4" x14ac:dyDescent="0.2">
      <c r="A1839" s="514">
        <v>44925</v>
      </c>
      <c r="B1839" s="549">
        <f t="shared" si="27"/>
        <v>432698.4</v>
      </c>
      <c r="C1839" s="491">
        <v>432498.4</v>
      </c>
      <c r="D1839" s="747">
        <v>200</v>
      </c>
    </row>
    <row r="1840" spans="1:4" x14ac:dyDescent="0.2">
      <c r="A1840" s="514">
        <v>44928</v>
      </c>
      <c r="B1840" s="491">
        <f t="shared" si="27"/>
        <v>432698.4</v>
      </c>
      <c r="C1840" s="491">
        <f t="shared" si="26"/>
        <v>432498.4</v>
      </c>
      <c r="D1840" s="747">
        <v>200</v>
      </c>
    </row>
    <row r="1841" spans="1:4" x14ac:dyDescent="0.2">
      <c r="A1841" s="514">
        <v>44929</v>
      </c>
      <c r="B1841" s="491">
        <f t="shared" si="27"/>
        <v>432648.4</v>
      </c>
      <c r="C1841" s="491">
        <v>432448.4</v>
      </c>
      <c r="D1841" s="747">
        <v>200</v>
      </c>
    </row>
    <row r="1842" spans="1:4" x14ac:dyDescent="0.2">
      <c r="A1842" s="514">
        <v>44930</v>
      </c>
      <c r="B1842" s="491">
        <f t="shared" si="27"/>
        <v>432648.4</v>
      </c>
      <c r="C1842" s="491">
        <f t="shared" ref="C1841:C1881" si="28">C1841</f>
        <v>432448.4</v>
      </c>
      <c r="D1842" s="747">
        <v>200</v>
      </c>
    </row>
    <row r="1843" spans="1:4" x14ac:dyDescent="0.2">
      <c r="A1843" s="514">
        <v>44931</v>
      </c>
      <c r="B1843" s="491">
        <f t="shared" si="27"/>
        <v>376288.8</v>
      </c>
      <c r="C1843" s="491">
        <v>376088.8</v>
      </c>
      <c r="D1843" s="747">
        <v>200</v>
      </c>
    </row>
    <row r="1844" spans="1:4" x14ac:dyDescent="0.2">
      <c r="A1844" s="514">
        <v>44932</v>
      </c>
      <c r="B1844" s="491">
        <f t="shared" si="27"/>
        <v>375846.51</v>
      </c>
      <c r="C1844" s="491">
        <v>375646.51</v>
      </c>
      <c r="D1844" s="747">
        <v>200</v>
      </c>
    </row>
    <row r="1845" spans="1:4" x14ac:dyDescent="0.2">
      <c r="A1845" s="514">
        <v>44935</v>
      </c>
      <c r="B1845" s="491">
        <f t="shared" si="27"/>
        <v>375246.51</v>
      </c>
      <c r="C1845" s="491">
        <v>375046.51</v>
      </c>
      <c r="D1845" s="747">
        <v>200</v>
      </c>
    </row>
    <row r="1846" spans="1:4" x14ac:dyDescent="0.2">
      <c r="A1846" s="514">
        <v>44936</v>
      </c>
      <c r="B1846" s="491">
        <f t="shared" si="27"/>
        <v>375703.51</v>
      </c>
      <c r="C1846" s="491">
        <v>375503.51</v>
      </c>
      <c r="D1846" s="747">
        <v>200</v>
      </c>
    </row>
    <row r="1847" spans="1:4" x14ac:dyDescent="0.2">
      <c r="A1847" s="514">
        <v>44937</v>
      </c>
      <c r="B1847" s="491">
        <f t="shared" si="27"/>
        <v>375837.32</v>
      </c>
      <c r="C1847" s="491">
        <v>375637.32</v>
      </c>
      <c r="D1847" s="747">
        <v>200</v>
      </c>
    </row>
    <row r="1848" spans="1:4" x14ac:dyDescent="0.2">
      <c r="A1848" s="514">
        <v>44938</v>
      </c>
      <c r="B1848" s="491">
        <f t="shared" si="27"/>
        <v>358313.37</v>
      </c>
      <c r="C1848" s="491">
        <v>358113.37</v>
      </c>
      <c r="D1848" s="747">
        <v>200</v>
      </c>
    </row>
    <row r="1849" spans="1:4" x14ac:dyDescent="0.2">
      <c r="A1849" s="514">
        <v>44939</v>
      </c>
      <c r="B1849" s="491">
        <f t="shared" si="27"/>
        <v>362655.36</v>
      </c>
      <c r="C1849" s="491">
        <v>362455.36</v>
      </c>
      <c r="D1849" s="747">
        <v>200</v>
      </c>
    </row>
    <row r="1850" spans="1:4" x14ac:dyDescent="0.2">
      <c r="A1850" s="514">
        <v>44942</v>
      </c>
      <c r="B1850" s="491">
        <f t="shared" si="27"/>
        <v>362655.36</v>
      </c>
      <c r="C1850" s="491">
        <f t="shared" si="28"/>
        <v>362455.36</v>
      </c>
      <c r="D1850" s="747">
        <v>200</v>
      </c>
    </row>
    <row r="1851" spans="1:4" x14ac:dyDescent="0.2">
      <c r="A1851" s="514">
        <v>44943</v>
      </c>
      <c r="B1851" s="491">
        <f t="shared" si="27"/>
        <v>296234.34999999998</v>
      </c>
      <c r="C1851" s="491">
        <v>296034.34999999998</v>
      </c>
      <c r="D1851" s="747">
        <v>200</v>
      </c>
    </row>
    <row r="1852" spans="1:4" x14ac:dyDescent="0.2">
      <c r="A1852" s="514">
        <v>44944</v>
      </c>
      <c r="B1852" s="491">
        <f t="shared" si="27"/>
        <v>309641.15000000002</v>
      </c>
      <c r="C1852" s="491">
        <v>309441.15000000002</v>
      </c>
      <c r="D1852" s="747">
        <v>200</v>
      </c>
    </row>
    <row r="1853" spans="1:4" x14ac:dyDescent="0.2">
      <c r="A1853" s="514">
        <v>44945</v>
      </c>
      <c r="B1853" s="491">
        <f t="shared" si="27"/>
        <v>316446.05</v>
      </c>
      <c r="C1853" s="491">
        <v>316246.05</v>
      </c>
      <c r="D1853" s="747">
        <v>200</v>
      </c>
    </row>
    <row r="1854" spans="1:4" x14ac:dyDescent="0.2">
      <c r="A1854" s="514">
        <v>44946</v>
      </c>
      <c r="B1854" s="491">
        <f t="shared" si="27"/>
        <v>315066.78000000003</v>
      </c>
      <c r="C1854" s="491">
        <v>314866.78000000003</v>
      </c>
      <c r="D1854" s="747">
        <v>200</v>
      </c>
    </row>
    <row r="1855" spans="1:4" x14ac:dyDescent="0.2">
      <c r="A1855" s="514">
        <v>44949</v>
      </c>
      <c r="B1855" s="491">
        <f t="shared" si="27"/>
        <v>314907.93</v>
      </c>
      <c r="C1855" s="491">
        <v>314707.93</v>
      </c>
      <c r="D1855" s="747">
        <v>200</v>
      </c>
    </row>
    <row r="1856" spans="1:4" x14ac:dyDescent="0.2">
      <c r="A1856" s="514">
        <v>44950</v>
      </c>
      <c r="B1856" s="491">
        <f t="shared" si="27"/>
        <v>314907.93</v>
      </c>
      <c r="C1856" s="491">
        <f t="shared" si="28"/>
        <v>314707.93</v>
      </c>
      <c r="D1856" s="747">
        <v>200</v>
      </c>
    </row>
    <row r="1857" spans="1:4" x14ac:dyDescent="0.2">
      <c r="A1857" s="514">
        <v>44951</v>
      </c>
      <c r="B1857" s="491">
        <f t="shared" si="27"/>
        <v>314907.93</v>
      </c>
      <c r="C1857" s="491">
        <f t="shared" si="28"/>
        <v>314707.93</v>
      </c>
      <c r="D1857" s="747">
        <v>200</v>
      </c>
    </row>
    <row r="1858" spans="1:4" x14ac:dyDescent="0.2">
      <c r="A1858" s="514">
        <v>44952</v>
      </c>
      <c r="B1858" s="491">
        <f t="shared" si="27"/>
        <v>315650.68</v>
      </c>
      <c r="C1858" s="491">
        <v>315450.68</v>
      </c>
      <c r="D1858" s="747">
        <v>200</v>
      </c>
    </row>
    <row r="1859" spans="1:4" x14ac:dyDescent="0.2">
      <c r="A1859" s="514">
        <v>44953</v>
      </c>
      <c r="B1859" s="491">
        <f t="shared" si="27"/>
        <v>291355.65000000002</v>
      </c>
      <c r="C1859" s="491">
        <v>291155.65000000002</v>
      </c>
      <c r="D1859" s="747">
        <v>200</v>
      </c>
    </row>
    <row r="1860" spans="1:4" x14ac:dyDescent="0.2">
      <c r="A1860" s="514">
        <v>44956</v>
      </c>
      <c r="B1860" s="491">
        <f t="shared" si="27"/>
        <v>270294.52</v>
      </c>
      <c r="C1860" s="491">
        <v>270094.52</v>
      </c>
      <c r="D1860" s="747">
        <v>200</v>
      </c>
    </row>
    <row r="1861" spans="1:4" x14ac:dyDescent="0.2">
      <c r="A1861" s="514">
        <v>44957</v>
      </c>
      <c r="B1861" s="491">
        <f t="shared" si="27"/>
        <v>269684.28999999998</v>
      </c>
      <c r="C1861" s="491">
        <v>269484.28999999998</v>
      </c>
      <c r="D1861" s="747">
        <v>200</v>
      </c>
    </row>
    <row r="1862" spans="1:4" x14ac:dyDescent="0.2">
      <c r="A1862" s="514">
        <v>44958</v>
      </c>
      <c r="B1862" s="491">
        <f t="shared" si="27"/>
        <v>269684.28999999998</v>
      </c>
      <c r="C1862" s="491">
        <f t="shared" si="28"/>
        <v>269484.28999999998</v>
      </c>
      <c r="D1862" s="747">
        <v>200</v>
      </c>
    </row>
    <row r="1863" spans="1:4" x14ac:dyDescent="0.2">
      <c r="A1863" s="514">
        <v>44959</v>
      </c>
      <c r="B1863" s="549">
        <f t="shared" si="27"/>
        <v>259972.42</v>
      </c>
      <c r="C1863" s="491">
        <v>259772.42</v>
      </c>
      <c r="D1863" s="747">
        <v>200</v>
      </c>
    </row>
    <row r="1864" spans="1:4" x14ac:dyDescent="0.2">
      <c r="A1864" s="514">
        <v>44960</v>
      </c>
      <c r="B1864" s="491">
        <f t="shared" si="27"/>
        <v>282694.13</v>
      </c>
      <c r="C1864" s="491">
        <v>282494.13</v>
      </c>
      <c r="D1864" s="747">
        <v>200</v>
      </c>
    </row>
    <row r="1865" spans="1:4" x14ac:dyDescent="0.2">
      <c r="A1865" s="514">
        <v>44963</v>
      </c>
      <c r="B1865" s="491">
        <f t="shared" si="27"/>
        <v>282636.44</v>
      </c>
      <c r="C1865" s="491">
        <v>282436.44</v>
      </c>
      <c r="D1865" s="747">
        <v>200</v>
      </c>
    </row>
    <row r="1866" spans="1:4" x14ac:dyDescent="0.2">
      <c r="A1866" s="514">
        <v>44964</v>
      </c>
      <c r="B1866" s="491">
        <f t="shared" ref="B1866:B1881" si="29">C1866+D1866</f>
        <v>298296.44</v>
      </c>
      <c r="C1866" s="491">
        <v>298096.44</v>
      </c>
      <c r="D1866" s="747">
        <v>200</v>
      </c>
    </row>
    <row r="1867" spans="1:4" x14ac:dyDescent="0.2">
      <c r="A1867" s="514">
        <v>44965</v>
      </c>
      <c r="B1867" s="491">
        <f t="shared" si="29"/>
        <v>298259.44</v>
      </c>
      <c r="C1867" s="491">
        <v>298059.44</v>
      </c>
      <c r="D1867" s="747">
        <v>200</v>
      </c>
    </row>
    <row r="1868" spans="1:4" x14ac:dyDescent="0.2">
      <c r="A1868" s="514">
        <v>44966</v>
      </c>
      <c r="B1868" s="491">
        <f t="shared" si="29"/>
        <v>286670.99</v>
      </c>
      <c r="C1868" s="491">
        <v>286470.99</v>
      </c>
      <c r="D1868" s="747">
        <v>200</v>
      </c>
    </row>
    <row r="1869" spans="1:4" x14ac:dyDescent="0.2">
      <c r="A1869" s="514">
        <v>44967</v>
      </c>
      <c r="B1869" s="491">
        <f t="shared" si="29"/>
        <v>329121.65000000002</v>
      </c>
      <c r="C1869" s="491">
        <v>328921.65000000002</v>
      </c>
      <c r="D1869" s="747">
        <v>200</v>
      </c>
    </row>
    <row r="1870" spans="1:4" x14ac:dyDescent="0.2">
      <c r="A1870" s="514">
        <v>44970</v>
      </c>
      <c r="B1870" s="491">
        <f t="shared" si="29"/>
        <v>287265.95</v>
      </c>
      <c r="C1870" s="491">
        <v>287065.95</v>
      </c>
      <c r="D1870" s="747">
        <v>200</v>
      </c>
    </row>
    <row r="1871" spans="1:4" x14ac:dyDescent="0.2">
      <c r="A1871" s="514">
        <v>44971</v>
      </c>
      <c r="B1871" s="491">
        <f t="shared" si="29"/>
        <v>291765.95</v>
      </c>
      <c r="C1871" s="491">
        <v>291565.95</v>
      </c>
      <c r="D1871" s="747">
        <v>200</v>
      </c>
    </row>
    <row r="1872" spans="1:4" x14ac:dyDescent="0.2">
      <c r="A1872" s="514">
        <v>44972</v>
      </c>
      <c r="B1872" s="491">
        <f t="shared" si="29"/>
        <v>291800.28000000003</v>
      </c>
      <c r="C1872" s="491">
        <v>291600.28000000003</v>
      </c>
      <c r="D1872" s="747">
        <v>200</v>
      </c>
    </row>
    <row r="1873" spans="1:4" x14ac:dyDescent="0.2">
      <c r="A1873" s="514">
        <v>44973</v>
      </c>
      <c r="B1873" s="491">
        <f t="shared" si="29"/>
        <v>298342.23</v>
      </c>
      <c r="C1873" s="491">
        <v>298142.23</v>
      </c>
      <c r="D1873" s="747">
        <v>200</v>
      </c>
    </row>
    <row r="1874" spans="1:4" x14ac:dyDescent="0.2">
      <c r="A1874" s="514">
        <v>44974</v>
      </c>
      <c r="B1874" s="491">
        <f t="shared" si="29"/>
        <v>292633.62</v>
      </c>
      <c r="C1874" s="491">
        <v>292433.62</v>
      </c>
      <c r="D1874" s="747">
        <v>200</v>
      </c>
    </row>
    <row r="1875" spans="1:4" x14ac:dyDescent="0.2">
      <c r="A1875" s="514">
        <v>44977</v>
      </c>
      <c r="B1875" s="491">
        <f t="shared" si="29"/>
        <v>292633.62</v>
      </c>
      <c r="C1875" s="491">
        <f t="shared" si="28"/>
        <v>292433.62</v>
      </c>
      <c r="D1875" s="747">
        <v>200</v>
      </c>
    </row>
    <row r="1876" spans="1:4" x14ac:dyDescent="0.2">
      <c r="A1876" s="514">
        <v>44978</v>
      </c>
      <c r="B1876" s="491">
        <f t="shared" si="29"/>
        <v>325449.82</v>
      </c>
      <c r="C1876" s="491">
        <v>325249.82</v>
      </c>
      <c r="D1876" s="747">
        <v>200</v>
      </c>
    </row>
    <row r="1877" spans="1:4" x14ac:dyDescent="0.2">
      <c r="A1877" s="514">
        <v>44979</v>
      </c>
      <c r="B1877" s="491">
        <f t="shared" si="29"/>
        <v>325449.82</v>
      </c>
      <c r="C1877" s="491">
        <f t="shared" si="28"/>
        <v>325249.82</v>
      </c>
      <c r="D1877" s="747">
        <v>200</v>
      </c>
    </row>
    <row r="1878" spans="1:4" x14ac:dyDescent="0.2">
      <c r="A1878" s="514">
        <v>44980</v>
      </c>
      <c r="B1878" s="491">
        <f t="shared" si="29"/>
        <v>346374.29</v>
      </c>
      <c r="C1878" s="491">
        <v>346174.29</v>
      </c>
      <c r="D1878" s="747">
        <v>200</v>
      </c>
    </row>
    <row r="1879" spans="1:4" x14ac:dyDescent="0.2">
      <c r="A1879" s="514">
        <v>44981</v>
      </c>
      <c r="B1879" s="491">
        <f t="shared" si="29"/>
        <v>346393.96</v>
      </c>
      <c r="C1879" s="491">
        <v>346193.96</v>
      </c>
      <c r="D1879" s="747">
        <v>200</v>
      </c>
    </row>
    <row r="1880" spans="1:4" x14ac:dyDescent="0.2">
      <c r="A1880" s="514">
        <v>44984</v>
      </c>
      <c r="B1880" s="491">
        <f t="shared" si="29"/>
        <v>335309.93</v>
      </c>
      <c r="C1880" s="491">
        <v>335109.93</v>
      </c>
      <c r="D1880" s="747">
        <v>200</v>
      </c>
    </row>
    <row r="1881" spans="1:4" x14ac:dyDescent="0.2">
      <c r="A1881" s="514">
        <v>44985</v>
      </c>
      <c r="B1881" s="491">
        <f t="shared" si="29"/>
        <v>342685.26</v>
      </c>
      <c r="C1881" s="491">
        <v>342485.26</v>
      </c>
      <c r="D1881" s="747">
        <v>200</v>
      </c>
    </row>
    <row r="1882" spans="1:4" x14ac:dyDescent="0.2">
      <c r="A1882" s="514"/>
      <c r="C1882" s="491"/>
      <c r="D1882" s="747"/>
    </row>
    <row r="1883" spans="1:4" x14ac:dyDescent="0.2">
      <c r="A1883" s="519" t="s">
        <v>269</v>
      </c>
      <c r="B1883" s="491">
        <f>MAX(B$1840:B1882)</f>
        <v>432698.4</v>
      </c>
    </row>
    <row r="1884" spans="1:4" x14ac:dyDescent="0.2">
      <c r="A1884" s="519" t="s">
        <v>270</v>
      </c>
      <c r="B1884" s="491">
        <f>MIN(B$1840:B1881)</f>
        <v>259972.42</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412</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413</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108</v>
      </c>
      <c r="B5" s="64"/>
      <c r="C5" s="64"/>
      <c r="D5" s="64"/>
      <c r="E5" s="64"/>
      <c r="F5" s="64"/>
      <c r="G5" s="974" t="s">
        <v>49</v>
      </c>
      <c r="H5" s="974"/>
      <c r="I5" s="974"/>
      <c r="J5" s="974"/>
      <c r="K5" s="974"/>
      <c r="L5" s="415" t="s">
        <v>181</v>
      </c>
      <c r="M5" s="412" t="s">
        <v>193</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100</v>
      </c>
      <c r="C7" s="87"/>
      <c r="D7" s="87"/>
      <c r="E7" s="87"/>
      <c r="F7" s="87"/>
      <c r="G7" s="744" t="s">
        <v>408</v>
      </c>
      <c r="H7" s="745" t="s">
        <v>409</v>
      </c>
      <c r="I7" s="745" t="s">
        <v>414</v>
      </c>
      <c r="J7" s="745"/>
      <c r="K7" s="744" t="s">
        <v>415</v>
      </c>
      <c r="L7" s="975" t="s">
        <v>416</v>
      </c>
      <c r="M7" s="975"/>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0" t="s">
        <v>101</v>
      </c>
      <c r="D8" s="420"/>
      <c r="E8" s="420"/>
      <c r="F8" s="73"/>
      <c r="G8" s="326">
        <v>360098</v>
      </c>
      <c r="H8" s="326">
        <v>315760.04333000001</v>
      </c>
      <c r="I8" s="326">
        <v>675858.04333000001</v>
      </c>
      <c r="J8" s="326"/>
      <c r="K8" s="263">
        <v>811777</v>
      </c>
      <c r="L8" s="378">
        <v>-135918.95666999999</v>
      </c>
      <c r="M8" s="413">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0" t="s">
        <v>150</v>
      </c>
      <c r="D9" s="420"/>
      <c r="E9" s="420"/>
      <c r="F9" s="73"/>
      <c r="G9" s="322">
        <v>41504</v>
      </c>
      <c r="H9" s="322">
        <v>25300</v>
      </c>
      <c r="I9" s="322">
        <v>66804</v>
      </c>
      <c r="J9" s="322"/>
      <c r="K9" s="264">
        <v>175000</v>
      </c>
      <c r="L9" s="506">
        <v>-108196</v>
      </c>
      <c r="M9" s="413">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0" t="s">
        <v>179</v>
      </c>
      <c r="D10" s="420"/>
      <c r="E10" s="420"/>
      <c r="F10" s="73"/>
      <c r="G10" s="322">
        <v>14147</v>
      </c>
      <c r="H10" s="322">
        <v>24011.0864</v>
      </c>
      <c r="I10" s="322">
        <v>38158.0864</v>
      </c>
      <c r="J10" s="322"/>
      <c r="K10" s="264">
        <v>49619</v>
      </c>
      <c r="L10" s="506">
        <v>-11460.9136</v>
      </c>
      <c r="M10" s="413">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0" t="s">
        <v>102</v>
      </c>
      <c r="D11" s="420"/>
      <c r="E11" s="420"/>
      <c r="F11" s="73"/>
      <c r="G11" s="322"/>
      <c r="H11" s="322"/>
      <c r="I11" s="322">
        <v>0</v>
      </c>
      <c r="J11" s="322"/>
      <c r="K11" s="264"/>
      <c r="L11" s="506"/>
      <c r="M11" s="413"/>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0" t="s">
        <v>139</v>
      </c>
      <c r="E12" s="420"/>
      <c r="F12" s="73"/>
      <c r="G12" s="322">
        <v>103487</v>
      </c>
      <c r="H12" s="322">
        <v>87197.56</v>
      </c>
      <c r="I12" s="322">
        <v>190684.56</v>
      </c>
      <c r="J12" s="322"/>
      <c r="K12" s="264">
        <v>196175</v>
      </c>
      <c r="L12" s="506">
        <v>-5490.4400000000023</v>
      </c>
      <c r="M12" s="413">
        <v>-2.7987460175863399E-2</v>
      </c>
      <c r="N12" s="68"/>
      <c r="O12" s="469"/>
      <c r="P12" s="468"/>
      <c r="Q12" s="4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0" t="s">
        <v>159</v>
      </c>
      <c r="E13" s="420"/>
      <c r="F13" s="73"/>
      <c r="G13" s="322">
        <v>9000</v>
      </c>
      <c r="H13" s="322">
        <v>9000</v>
      </c>
      <c r="I13" s="322">
        <v>18000</v>
      </c>
      <c r="J13" s="322"/>
      <c r="K13" s="264">
        <v>18000</v>
      </c>
      <c r="L13" s="506">
        <v>0</v>
      </c>
      <c r="M13" s="413">
        <v>0</v>
      </c>
      <c r="N13" s="68"/>
      <c r="O13" s="387"/>
      <c r="P13" s="470"/>
      <c r="Q13" s="361"/>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0"/>
      <c r="D14" s="420" t="s">
        <v>404</v>
      </c>
      <c r="E14" s="420"/>
      <c r="F14" s="73"/>
      <c r="G14" s="322">
        <v>48393</v>
      </c>
      <c r="H14" s="322">
        <v>58479.097600000001</v>
      </c>
      <c r="I14" s="322">
        <v>106872.09760000001</v>
      </c>
      <c r="J14" s="322"/>
      <c r="K14" s="264">
        <v>169400</v>
      </c>
      <c r="L14" s="506">
        <v>-62527.902399999992</v>
      </c>
      <c r="M14" s="413">
        <v>-0.36911394569067291</v>
      </c>
      <c r="N14" s="68"/>
      <c r="O14" s="387"/>
      <c r="P14" s="470"/>
      <c r="Q14" s="361"/>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0" t="s">
        <v>377</v>
      </c>
      <c r="D15" s="420"/>
      <c r="E15" s="420"/>
      <c r="F15" s="73"/>
      <c r="G15" s="322">
        <v>5140</v>
      </c>
      <c r="H15" s="322">
        <v>5045</v>
      </c>
      <c r="I15" s="322">
        <v>10185</v>
      </c>
      <c r="J15" s="322"/>
      <c r="K15" s="264">
        <v>17000</v>
      </c>
      <c r="L15" s="506">
        <v>-6815</v>
      </c>
      <c r="M15" s="413">
        <v>-0.40088235294117647</v>
      </c>
      <c r="N15" s="68"/>
      <c r="O15" s="387"/>
      <c r="P15" s="470"/>
      <c r="Q15" s="361"/>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0" t="s">
        <v>110</v>
      </c>
      <c r="D16" s="420"/>
      <c r="E16" s="420"/>
      <c r="F16" s="73"/>
      <c r="G16" s="322">
        <v>701</v>
      </c>
      <c r="H16" s="322">
        <v>592.29</v>
      </c>
      <c r="I16" s="322">
        <v>1293.29</v>
      </c>
      <c r="J16" s="322"/>
      <c r="K16" s="264">
        <v>1200</v>
      </c>
      <c r="L16" s="506">
        <v>93.289999999999964</v>
      </c>
      <c r="M16" s="413">
        <v>7.7741666666666639E-2</v>
      </c>
      <c r="N16" s="68"/>
      <c r="O16" s="387"/>
      <c r="P16" s="470"/>
      <c r="Q16" s="361"/>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0" t="s">
        <v>237</v>
      </c>
      <c r="D17" s="420"/>
      <c r="E17" s="420"/>
      <c r="F17" s="73"/>
      <c r="G17" s="322">
        <v>2152</v>
      </c>
      <c r="H17" s="322">
        <v>1900</v>
      </c>
      <c r="I17" s="322">
        <v>4052</v>
      </c>
      <c r="J17" s="322"/>
      <c r="K17" s="264">
        <v>4200</v>
      </c>
      <c r="L17" s="506">
        <v>-148</v>
      </c>
      <c r="M17" s="413">
        <v>-3.5238095238095235E-2</v>
      </c>
      <c r="N17" s="68"/>
      <c r="O17" s="387"/>
      <c r="P17" s="470"/>
      <c r="Q17" s="361"/>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0" t="s">
        <v>320</v>
      </c>
      <c r="D18" s="420"/>
      <c r="E18" s="420"/>
      <c r="F18" s="73"/>
      <c r="G18" s="322">
        <v>-2942</v>
      </c>
      <c r="H18" s="322">
        <v>0</v>
      </c>
      <c r="I18" s="322">
        <v>-2942</v>
      </c>
      <c r="J18" s="322"/>
      <c r="K18" s="264">
        <v>1500</v>
      </c>
      <c r="L18" s="506">
        <v>-4442</v>
      </c>
      <c r="M18" s="413">
        <v>-2.9613333333333332</v>
      </c>
      <c r="N18" s="68"/>
      <c r="O18" s="387"/>
      <c r="P18" s="470"/>
      <c r="Q18" s="361"/>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0" t="s">
        <v>417</v>
      </c>
      <c r="D19" s="420"/>
      <c r="E19" s="420"/>
      <c r="F19" s="73"/>
      <c r="G19" s="322"/>
      <c r="H19" s="322"/>
      <c r="I19" s="322">
        <v>0</v>
      </c>
      <c r="J19" s="322"/>
      <c r="K19" s="264"/>
      <c r="L19" s="506">
        <v>0</v>
      </c>
      <c r="M19" s="413"/>
      <c r="N19" s="68"/>
      <c r="O19" s="387"/>
      <c r="P19" s="470"/>
      <c r="Q19" s="361"/>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0"/>
      <c r="D20" s="420" t="s">
        <v>11</v>
      </c>
      <c r="E20" s="420"/>
      <c r="F20" s="73"/>
      <c r="G20" s="322">
        <v>15479.72</v>
      </c>
      <c r="H20" s="322">
        <v>16194.880000000001</v>
      </c>
      <c r="I20" s="322">
        <v>31674.6</v>
      </c>
      <c r="J20" s="322"/>
      <c r="K20" s="264">
        <v>29543</v>
      </c>
      <c r="L20" s="506">
        <v>2131.5999999999985</v>
      </c>
      <c r="M20" s="413">
        <v>7.2152455742477015E-2</v>
      </c>
      <c r="N20" s="68"/>
      <c r="O20" s="387"/>
      <c r="P20" s="470"/>
      <c r="Q20" s="361"/>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0"/>
      <c r="D21" s="420" t="s">
        <v>395</v>
      </c>
      <c r="E21" s="420"/>
      <c r="F21" s="420"/>
      <c r="G21" s="322">
        <v>4073</v>
      </c>
      <c r="H21" s="322">
        <v>1960.0200000000002</v>
      </c>
      <c r="I21" s="322">
        <v>6033.02</v>
      </c>
      <c r="J21" s="322"/>
      <c r="K21" s="264">
        <v>5000</v>
      </c>
      <c r="L21" s="506">
        <v>1033.0200000000004</v>
      </c>
      <c r="M21" s="413">
        <v>0.20660400000000009</v>
      </c>
      <c r="N21" s="68"/>
      <c r="O21" s="387"/>
      <c r="P21" s="470"/>
      <c r="Q21" s="361"/>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40"/>
      <c r="D22" s="420" t="s">
        <v>17</v>
      </c>
      <c r="E22" s="740"/>
      <c r="F22" s="740"/>
      <c r="G22" s="322">
        <v>25000</v>
      </c>
      <c r="H22" s="322">
        <v>25000</v>
      </c>
      <c r="I22" s="322">
        <v>50000</v>
      </c>
      <c r="J22" s="322"/>
      <c r="K22" s="264">
        <v>50000</v>
      </c>
      <c r="L22" s="506">
        <v>0</v>
      </c>
      <c r="M22" s="413">
        <v>0</v>
      </c>
      <c r="N22" s="68"/>
      <c r="O22" s="387"/>
      <c r="P22" s="470"/>
      <c r="Q22" s="361"/>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40"/>
      <c r="D23" s="420" t="s">
        <v>418</v>
      </c>
      <c r="E23" s="740"/>
      <c r="F23" s="740"/>
      <c r="G23" s="322">
        <v>15000</v>
      </c>
      <c r="H23" s="322">
        <v>0</v>
      </c>
      <c r="I23" s="322">
        <v>15000</v>
      </c>
      <c r="J23" s="322"/>
      <c r="K23" s="264">
        <v>0</v>
      </c>
      <c r="L23" s="506">
        <v>15000</v>
      </c>
      <c r="M23" s="413"/>
      <c r="N23" s="68"/>
      <c r="O23" s="387"/>
      <c r="P23" s="470"/>
      <c r="Q23" s="361"/>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40"/>
      <c r="D24" s="420" t="s">
        <v>419</v>
      </c>
      <c r="E24" s="740"/>
      <c r="F24" s="740"/>
      <c r="G24" s="322">
        <v>5488</v>
      </c>
      <c r="H24" s="322">
        <v>0</v>
      </c>
      <c r="I24" s="322">
        <v>5488</v>
      </c>
      <c r="J24" s="322"/>
      <c r="K24" s="264">
        <v>0</v>
      </c>
      <c r="L24" s="506">
        <v>5488</v>
      </c>
      <c r="M24" s="413"/>
      <c r="N24" s="68"/>
      <c r="O24" s="387"/>
      <c r="P24" s="470"/>
      <c r="Q24" s="361"/>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0" t="s">
        <v>322</v>
      </c>
      <c r="D25" s="740"/>
      <c r="E25" s="740"/>
      <c r="F25" s="740"/>
      <c r="G25" s="322">
        <v>0</v>
      </c>
      <c r="H25" s="322">
        <v>0</v>
      </c>
      <c r="I25" s="322">
        <v>0</v>
      </c>
      <c r="J25" s="322"/>
      <c r="K25" s="264">
        <v>2000</v>
      </c>
      <c r="L25" s="506">
        <v>-2000</v>
      </c>
      <c r="M25" s="413">
        <v>-1</v>
      </c>
      <c r="N25" s="68"/>
      <c r="O25" s="387"/>
      <c r="P25" s="470"/>
      <c r="Q25" s="361"/>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0" t="s">
        <v>109</v>
      </c>
      <c r="D26" s="740"/>
      <c r="E26" s="740"/>
      <c r="F26" s="740"/>
      <c r="G26" s="322">
        <v>23288</v>
      </c>
      <c r="H26" s="322">
        <v>23288</v>
      </c>
      <c r="I26" s="322">
        <v>46576</v>
      </c>
      <c r="J26" s="322"/>
      <c r="K26" s="322">
        <v>46576</v>
      </c>
      <c r="L26" s="506">
        <v>0</v>
      </c>
      <c r="M26" s="413">
        <v>0</v>
      </c>
      <c r="N26" s="68"/>
      <c r="O26" s="387"/>
      <c r="P26" s="470"/>
      <c r="Q26" s="361"/>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0" t="s">
        <v>420</v>
      </c>
      <c r="D27" s="740"/>
      <c r="E27" s="740"/>
      <c r="F27" s="740"/>
      <c r="G27" s="322">
        <v>11328.2</v>
      </c>
      <c r="H27" s="322">
        <v>10450</v>
      </c>
      <c r="I27" s="322">
        <v>21778.2</v>
      </c>
      <c r="J27" s="322"/>
      <c r="K27" s="322">
        <v>3500</v>
      </c>
      <c r="L27" s="506">
        <v>18278.2</v>
      </c>
      <c r="M27" s="413">
        <v>5.2223428571428574</v>
      </c>
      <c r="N27" s="68"/>
      <c r="O27" s="387"/>
      <c r="P27" s="470"/>
      <c r="Q27" s="361"/>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0" t="s">
        <v>102</v>
      </c>
      <c r="D28" s="740"/>
      <c r="E28" s="740"/>
      <c r="F28" s="740"/>
      <c r="G28" s="322">
        <v>9500</v>
      </c>
      <c r="H28" s="322">
        <v>9499.7799999999988</v>
      </c>
      <c r="I28" s="322">
        <v>18999.78</v>
      </c>
      <c r="J28" s="322"/>
      <c r="K28" s="322">
        <v>19000</v>
      </c>
      <c r="L28" s="506">
        <v>-0.22000000000116415</v>
      </c>
      <c r="M28" s="413">
        <v>-1.1578947368482324E-5</v>
      </c>
      <c r="N28" s="68"/>
      <c r="O28" s="387"/>
      <c r="P28" s="470"/>
      <c r="Q28" s="36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0" t="s">
        <v>319</v>
      </c>
      <c r="D29" s="740"/>
      <c r="E29" s="740"/>
      <c r="F29" s="740"/>
      <c r="G29" s="322">
        <v>26000</v>
      </c>
      <c r="H29" s="322">
        <v>20800.019999999997</v>
      </c>
      <c r="I29" s="322">
        <v>46800.02</v>
      </c>
      <c r="J29" s="322"/>
      <c r="K29" s="322">
        <v>53000</v>
      </c>
      <c r="L29" s="506">
        <v>-6199.9800000000032</v>
      </c>
      <c r="M29" s="413">
        <v>-0.11698075471698119</v>
      </c>
      <c r="N29" s="68"/>
      <c r="O29" s="387"/>
      <c r="P29" s="470"/>
      <c r="Q29" s="361"/>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0" t="s">
        <v>321</v>
      </c>
      <c r="D30" s="740"/>
      <c r="E30" s="740"/>
      <c r="F30" s="740"/>
      <c r="G30" s="322">
        <v>5764.37</v>
      </c>
      <c r="H30" s="322">
        <v>5781</v>
      </c>
      <c r="I30" s="322">
        <v>11545.369999999999</v>
      </c>
      <c r="J30" s="322"/>
      <c r="K30" s="322">
        <v>16835</v>
      </c>
      <c r="L30" s="506">
        <v>-5289.630000000001</v>
      </c>
      <c r="M30" s="413">
        <v>-0.31420433620433624</v>
      </c>
      <c r="N30" s="68"/>
      <c r="O30" s="387"/>
      <c r="P30" s="470"/>
      <c r="Q30" s="361"/>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0"/>
      <c r="D31" s="73" t="s">
        <v>105</v>
      </c>
      <c r="E31" s="420"/>
      <c r="F31" s="73"/>
      <c r="G31" s="749">
        <v>722601.28999999992</v>
      </c>
      <c r="H31" s="749">
        <v>640258.77733000007</v>
      </c>
      <c r="I31" s="749">
        <v>1362860.0673300002</v>
      </c>
      <c r="J31" s="749"/>
      <c r="K31" s="749">
        <v>1669325</v>
      </c>
      <c r="L31" s="750">
        <v>-306464.93267000001</v>
      </c>
      <c r="M31" s="751">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0"/>
      <c r="D32" s="73"/>
      <c r="E32" s="420"/>
      <c r="F32" s="73"/>
      <c r="G32" s="322"/>
      <c r="H32" s="322"/>
      <c r="I32" s="322"/>
      <c r="J32" s="322"/>
      <c r="K32" s="591"/>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111</v>
      </c>
      <c r="C33" s="87"/>
      <c r="D33" s="87"/>
      <c r="E33" s="87"/>
      <c r="F33" s="87"/>
      <c r="G33" s="322"/>
      <c r="H33" s="322"/>
      <c r="I33" s="322"/>
      <c r="J33" s="322"/>
      <c r="K33" s="3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112</v>
      </c>
      <c r="D34" s="79"/>
      <c r="E34" s="79"/>
      <c r="F34" s="79"/>
      <c r="G34" s="232">
        <v>447013.99</v>
      </c>
      <c r="H34" s="322">
        <v>440623.07</v>
      </c>
      <c r="I34" s="322">
        <v>887637.06</v>
      </c>
      <c r="J34" s="322"/>
      <c r="K34" s="752">
        <v>1102996</v>
      </c>
      <c r="L34" s="506">
        <v>-215358.93999999994</v>
      </c>
      <c r="M34" s="436">
        <v>-0.19524906708637196</v>
      </c>
    </row>
    <row r="35" spans="1:57" s="68" customFormat="1" ht="20.25" x14ac:dyDescent="0.2">
      <c r="A35" s="67"/>
      <c r="B35" s="67"/>
      <c r="C35" s="79" t="s">
        <v>113</v>
      </c>
      <c r="D35" s="79"/>
      <c r="E35" s="79"/>
      <c r="F35" s="79"/>
      <c r="G35" s="232">
        <v>102132.08</v>
      </c>
      <c r="H35" s="322">
        <v>85992.050000000017</v>
      </c>
      <c r="I35" s="322">
        <v>188124.13</v>
      </c>
      <c r="J35" s="322"/>
      <c r="K35" s="753">
        <v>224967</v>
      </c>
      <c r="L35" s="506">
        <v>-36842.869999999995</v>
      </c>
      <c r="M35" s="436">
        <v>-0.16377010850480292</v>
      </c>
    </row>
    <row r="36" spans="1:57" s="68" customFormat="1" ht="20.25" x14ac:dyDescent="0.2">
      <c r="A36" s="67"/>
      <c r="B36" s="67"/>
      <c r="C36" s="79" t="s">
        <v>114</v>
      </c>
      <c r="D36" s="79"/>
      <c r="E36" s="79"/>
      <c r="F36" s="79"/>
      <c r="G36" s="232">
        <v>900</v>
      </c>
      <c r="H36" s="322">
        <v>900</v>
      </c>
      <c r="I36" s="322">
        <v>1800</v>
      </c>
      <c r="J36" s="322"/>
      <c r="K36" s="753">
        <v>1800</v>
      </c>
      <c r="L36" s="506">
        <v>0</v>
      </c>
      <c r="M36" s="436">
        <v>0</v>
      </c>
    </row>
    <row r="37" spans="1:57" s="68" customFormat="1" ht="20.25" x14ac:dyDescent="0.2">
      <c r="A37" s="67"/>
      <c r="B37" s="67"/>
      <c r="C37" s="79" t="s">
        <v>104</v>
      </c>
      <c r="D37" s="79"/>
      <c r="E37" s="79"/>
      <c r="F37" s="79"/>
      <c r="G37" s="232">
        <v>23288</v>
      </c>
      <c r="H37" s="322">
        <v>23288</v>
      </c>
      <c r="I37" s="322">
        <v>46576</v>
      </c>
      <c r="J37" s="322"/>
      <c r="K37" s="753">
        <v>46576</v>
      </c>
      <c r="L37" s="506">
        <v>0</v>
      </c>
      <c r="M37" s="436">
        <v>0</v>
      </c>
    </row>
    <row r="38" spans="1:57" s="68" customFormat="1" ht="20.25" x14ac:dyDescent="0.2">
      <c r="A38" s="67"/>
      <c r="B38" s="67"/>
      <c r="C38" s="79" t="s">
        <v>115</v>
      </c>
      <c r="D38" s="79"/>
      <c r="E38" s="79"/>
      <c r="F38" s="79"/>
      <c r="G38" s="232">
        <v>10831.87</v>
      </c>
      <c r="H38" s="322">
        <v>10418.370000000001</v>
      </c>
      <c r="I38" s="322">
        <v>21250.240000000002</v>
      </c>
      <c r="J38" s="322"/>
      <c r="K38" s="753">
        <v>19050</v>
      </c>
      <c r="L38" s="506">
        <v>2200.2400000000016</v>
      </c>
      <c r="M38" s="436">
        <v>0.11549816272965888</v>
      </c>
    </row>
    <row r="39" spans="1:57" s="68" customFormat="1" ht="20.25" x14ac:dyDescent="0.2">
      <c r="A39" s="67"/>
      <c r="B39" s="67"/>
      <c r="C39" s="79" t="s">
        <v>116</v>
      </c>
      <c r="D39" s="79"/>
      <c r="E39" s="79"/>
      <c r="F39" s="79"/>
      <c r="G39" s="232">
        <v>1224.3499999999999</v>
      </c>
      <c r="H39" s="322">
        <v>1207.24</v>
      </c>
      <c r="I39" s="322">
        <v>2431.59</v>
      </c>
      <c r="J39" s="322"/>
      <c r="K39" s="753">
        <v>3377</v>
      </c>
      <c r="L39" s="506">
        <v>-945.40999999999985</v>
      </c>
      <c r="M39" s="436">
        <v>-0.27995558187740593</v>
      </c>
    </row>
    <row r="40" spans="1:57" s="68" customFormat="1" ht="20.25" x14ac:dyDescent="0.2">
      <c r="A40" s="67"/>
      <c r="B40" s="67"/>
      <c r="C40" s="79" t="s">
        <v>117</v>
      </c>
      <c r="D40" s="79"/>
      <c r="E40" s="79"/>
      <c r="F40" s="79"/>
      <c r="G40" s="232">
        <v>1941.95</v>
      </c>
      <c r="H40" s="322">
        <v>1791.4500000000003</v>
      </c>
      <c r="I40" s="322">
        <v>3733.4000000000005</v>
      </c>
      <c r="J40" s="322"/>
      <c r="K40" s="753">
        <v>4254</v>
      </c>
      <c r="L40" s="506">
        <v>-520.59999999999945</v>
      </c>
      <c r="M40" s="436">
        <v>-0.12237893747061576</v>
      </c>
    </row>
    <row r="41" spans="1:57" s="68" customFormat="1" ht="20.25" x14ac:dyDescent="0.2">
      <c r="A41" s="67"/>
      <c r="B41" s="67"/>
      <c r="C41" s="79" t="s">
        <v>118</v>
      </c>
      <c r="D41" s="79"/>
      <c r="E41" s="79"/>
      <c r="F41" s="79"/>
      <c r="G41" s="232">
        <v>525.84</v>
      </c>
      <c r="H41" s="322">
        <v>1029.27</v>
      </c>
      <c r="I41" s="322">
        <v>1555.1100000000001</v>
      </c>
      <c r="J41" s="322"/>
      <c r="K41" s="753">
        <v>12334</v>
      </c>
      <c r="L41" s="506">
        <v>-10778.89</v>
      </c>
      <c r="M41" s="436">
        <v>-0.8739168153072806</v>
      </c>
    </row>
    <row r="42" spans="1:57" s="68" customFormat="1" ht="20.25" x14ac:dyDescent="0.2">
      <c r="A42" s="67"/>
      <c r="B42" s="67"/>
      <c r="C42" s="79" t="s">
        <v>119</v>
      </c>
      <c r="D42" s="79"/>
      <c r="E42" s="79"/>
      <c r="F42" s="79"/>
      <c r="G42" s="232">
        <v>18906.52</v>
      </c>
      <c r="H42" s="322">
        <v>15450</v>
      </c>
      <c r="I42" s="322">
        <v>34356.520000000004</v>
      </c>
      <c r="J42" s="322"/>
      <c r="K42" s="753">
        <v>38115</v>
      </c>
      <c r="L42" s="506">
        <v>-3758.4799999999959</v>
      </c>
      <c r="M42" s="436">
        <v>-9.8608946608946507E-2</v>
      </c>
    </row>
    <row r="43" spans="1:57" s="68" customFormat="1" ht="20.25" x14ac:dyDescent="0.2">
      <c r="A43" s="67"/>
      <c r="B43" s="67"/>
      <c r="C43" s="79" t="s">
        <v>120</v>
      </c>
      <c r="D43" s="79"/>
      <c r="E43" s="79"/>
      <c r="F43" s="79"/>
      <c r="G43" s="232">
        <v>672.76</v>
      </c>
      <c r="H43" s="322">
        <v>828.07</v>
      </c>
      <c r="I43" s="322">
        <v>1500.83</v>
      </c>
      <c r="J43" s="322"/>
      <c r="K43" s="753">
        <v>5448</v>
      </c>
      <c r="L43" s="506">
        <v>-3947.17</v>
      </c>
      <c r="M43" s="436">
        <v>-0.72451725403817913</v>
      </c>
    </row>
    <row r="44" spans="1:57" s="68" customFormat="1" ht="20.25" x14ac:dyDescent="0.2">
      <c r="A44" s="67"/>
      <c r="B44" s="67"/>
      <c r="C44" s="79" t="s">
        <v>121</v>
      </c>
      <c r="D44" s="79"/>
      <c r="E44" s="79"/>
      <c r="F44" s="79"/>
      <c r="G44" s="232">
        <v>419</v>
      </c>
      <c r="H44" s="322">
        <v>588.96333333333337</v>
      </c>
      <c r="I44" s="322">
        <v>1007.9633333333334</v>
      </c>
      <c r="J44" s="322"/>
      <c r="K44" s="753">
        <v>1262</v>
      </c>
      <c r="L44" s="506">
        <v>-254.03666666666663</v>
      </c>
      <c r="M44" s="436">
        <v>-0.20129688325409401</v>
      </c>
    </row>
    <row r="45" spans="1:57" s="68" customFormat="1" ht="20.25" x14ac:dyDescent="0.2">
      <c r="A45" s="67"/>
      <c r="B45" s="67"/>
      <c r="C45" s="79" t="s">
        <v>166</v>
      </c>
      <c r="D45" s="79"/>
      <c r="E45" s="79"/>
      <c r="F45" s="79"/>
      <c r="G45" s="232">
        <v>7425</v>
      </c>
      <c r="H45" s="322">
        <v>2735</v>
      </c>
      <c r="I45" s="322">
        <v>10160</v>
      </c>
      <c r="J45" s="322"/>
      <c r="K45" s="753">
        <v>12600</v>
      </c>
      <c r="L45" s="506">
        <v>-2440</v>
      </c>
      <c r="M45" s="436">
        <v>-0.19365079365079366</v>
      </c>
    </row>
    <row r="46" spans="1:57" s="68" customFormat="1" ht="20.25" x14ac:dyDescent="0.2">
      <c r="A46" s="67"/>
      <c r="B46" s="67"/>
      <c r="C46" s="976" t="s">
        <v>324</v>
      </c>
      <c r="D46" s="976"/>
      <c r="E46" s="976"/>
      <c r="F46" s="976"/>
      <c r="G46" s="232">
        <v>67</v>
      </c>
      <c r="H46" s="322">
        <v>0</v>
      </c>
      <c r="I46" s="322">
        <v>67</v>
      </c>
      <c r="J46" s="322"/>
      <c r="K46" s="753">
        <v>0</v>
      </c>
      <c r="L46" s="506">
        <v>67</v>
      </c>
      <c r="M46" s="436"/>
      <c r="O46" s="732"/>
    </row>
    <row r="47" spans="1:57" s="68" customFormat="1" ht="20.25" x14ac:dyDescent="0.2">
      <c r="A47" s="67"/>
      <c r="B47" s="67"/>
      <c r="C47" s="79" t="s">
        <v>122</v>
      </c>
      <c r="D47" s="79"/>
      <c r="E47" s="79"/>
      <c r="F47" s="79"/>
      <c r="G47" s="322">
        <v>9698.2999999999993</v>
      </c>
      <c r="H47" s="322">
        <v>6282.170000000001</v>
      </c>
      <c r="I47" s="322">
        <v>15980.470000000001</v>
      </c>
      <c r="J47" s="322"/>
      <c r="K47" s="753">
        <v>12425</v>
      </c>
      <c r="L47" s="506">
        <v>3555.4700000000012</v>
      </c>
      <c r="M47" s="436">
        <v>0.28615452716297796</v>
      </c>
    </row>
    <row r="48" spans="1:57" s="68" customFormat="1" ht="20.25" x14ac:dyDescent="0.2">
      <c r="A48" s="67"/>
      <c r="B48" s="67"/>
      <c r="C48" s="79" t="s">
        <v>123</v>
      </c>
      <c r="D48" s="79"/>
      <c r="E48" s="79"/>
      <c r="F48" s="79"/>
      <c r="G48" s="322">
        <v>5409.5</v>
      </c>
      <c r="H48" s="322">
        <v>6493.7800000000007</v>
      </c>
      <c r="I48" s="322">
        <v>11903.28</v>
      </c>
      <c r="J48" s="322"/>
      <c r="K48" s="753">
        <v>11716</v>
      </c>
      <c r="L48" s="506">
        <v>187.28000000000065</v>
      </c>
      <c r="M48" s="436">
        <v>1.5984977808125696E-2</v>
      </c>
      <c r="O48" s="732"/>
    </row>
    <row r="49" spans="1:17" s="68" customFormat="1" ht="20.25" x14ac:dyDescent="0.2">
      <c r="A49" s="67"/>
      <c r="B49" s="67"/>
      <c r="C49" s="79" t="s">
        <v>130</v>
      </c>
      <c r="D49" s="79"/>
      <c r="E49" s="79"/>
      <c r="F49" s="79"/>
      <c r="G49" s="232">
        <v>733.4</v>
      </c>
      <c r="H49" s="322">
        <v>410</v>
      </c>
      <c r="I49" s="322">
        <v>1143.4000000000001</v>
      </c>
      <c r="J49" s="322"/>
      <c r="K49" s="753">
        <v>1280</v>
      </c>
      <c r="L49" s="506">
        <v>-136.59999999999991</v>
      </c>
      <c r="M49" s="436">
        <v>-0.10671874999999993</v>
      </c>
    </row>
    <row r="50" spans="1:17" s="68" customFormat="1" ht="20.25" x14ac:dyDescent="0.2">
      <c r="A50" s="67"/>
      <c r="B50" s="67"/>
      <c r="C50" s="79" t="s">
        <v>124</v>
      </c>
      <c r="D50" s="79"/>
      <c r="E50" s="79"/>
      <c r="F50" s="79"/>
      <c r="G50" s="322">
        <v>540.31999999999994</v>
      </c>
      <c r="H50" s="322">
        <v>0</v>
      </c>
      <c r="I50" s="322">
        <v>540.31999999999994</v>
      </c>
      <c r="J50" s="322"/>
      <c r="K50" s="753">
        <v>10470</v>
      </c>
      <c r="L50" s="506">
        <v>-9929.68</v>
      </c>
      <c r="M50" s="436">
        <v>-0.94839350525310417</v>
      </c>
      <c r="O50" s="732"/>
    </row>
    <row r="51" spans="1:17" s="68" customFormat="1" ht="20.25" customHeight="1" x14ac:dyDescent="0.2">
      <c r="A51" s="67"/>
      <c r="B51" s="67"/>
      <c r="C51" s="79" t="s">
        <v>199</v>
      </c>
      <c r="D51" s="79"/>
      <c r="E51" s="79"/>
      <c r="F51" s="79"/>
      <c r="G51" s="232">
        <v>2381.4</v>
      </c>
      <c r="H51" s="322">
        <v>300</v>
      </c>
      <c r="I51" s="322">
        <v>2681.4</v>
      </c>
      <c r="J51" s="322"/>
      <c r="K51" s="753">
        <v>20850</v>
      </c>
      <c r="L51" s="506">
        <v>-18168.599999999999</v>
      </c>
      <c r="M51" s="436">
        <v>-0.87139568345323737</v>
      </c>
    </row>
    <row r="52" spans="1:17" s="76" customFormat="1" ht="20.25" x14ac:dyDescent="0.2">
      <c r="A52" s="79"/>
      <c r="B52" s="79"/>
      <c r="C52" s="79" t="s">
        <v>126</v>
      </c>
      <c r="D52" s="79"/>
      <c r="E52" s="79"/>
      <c r="F52" s="79"/>
      <c r="G52" s="322">
        <v>23932</v>
      </c>
      <c r="H52" s="322">
        <v>4454</v>
      </c>
      <c r="I52" s="322">
        <v>28386</v>
      </c>
      <c r="J52" s="322"/>
      <c r="K52" s="753">
        <v>12937</v>
      </c>
      <c r="L52" s="506">
        <v>15449</v>
      </c>
      <c r="M52" s="436">
        <v>1.1941717554301616</v>
      </c>
    </row>
    <row r="53" spans="1:17" s="68" customFormat="1" ht="20.25" x14ac:dyDescent="0.2">
      <c r="A53" s="67"/>
      <c r="B53" s="67"/>
      <c r="C53" s="79" t="s">
        <v>165</v>
      </c>
      <c r="D53" s="79"/>
      <c r="E53" s="79"/>
      <c r="F53" s="79"/>
      <c r="G53" s="232">
        <v>31384.95</v>
      </c>
      <c r="H53" s="322">
        <v>23455</v>
      </c>
      <c r="I53" s="322">
        <v>54839.95</v>
      </c>
      <c r="J53" s="322"/>
      <c r="K53" s="753">
        <v>60011</v>
      </c>
      <c r="L53" s="506">
        <v>-5171.0500000000029</v>
      </c>
      <c r="M53" s="436">
        <v>-8.6168369132325784E-2</v>
      </c>
      <c r="Q53" s="341"/>
    </row>
    <row r="54" spans="1:17" s="68" customFormat="1" ht="20.25" x14ac:dyDescent="0.2">
      <c r="A54" s="67"/>
      <c r="B54" s="67"/>
      <c r="C54" s="79" t="s">
        <v>127</v>
      </c>
      <c r="D54" s="79"/>
      <c r="E54" s="79"/>
      <c r="F54" s="79"/>
      <c r="G54" s="232">
        <v>31753.16</v>
      </c>
      <c r="H54" s="322">
        <v>14675</v>
      </c>
      <c r="I54" s="322">
        <v>46428.160000000003</v>
      </c>
      <c r="J54" s="322"/>
      <c r="K54" s="753">
        <v>61119</v>
      </c>
      <c r="L54" s="506">
        <v>-14690.839999999997</v>
      </c>
      <c r="M54" s="436">
        <v>-0.2403645347600582</v>
      </c>
    </row>
    <row r="55" spans="1:17" s="68" customFormat="1" ht="21" thickBot="1" x14ac:dyDescent="0.25">
      <c r="A55" s="67"/>
      <c r="B55" s="67"/>
      <c r="C55" s="79" t="s">
        <v>406</v>
      </c>
      <c r="D55" s="79"/>
      <c r="E55" s="79"/>
      <c r="F55" s="79"/>
      <c r="G55" s="241">
        <v>297</v>
      </c>
      <c r="H55" s="398">
        <v>990</v>
      </c>
      <c r="I55" s="398">
        <v>1287</v>
      </c>
      <c r="J55" s="398"/>
      <c r="K55" s="754">
        <v>0</v>
      </c>
      <c r="L55" s="509">
        <v>1287</v>
      </c>
      <c r="M55" s="508"/>
    </row>
    <row r="56" spans="1:17" s="76" customFormat="1" ht="20.25" x14ac:dyDescent="0.2">
      <c r="A56" s="79"/>
      <c r="B56" s="79"/>
      <c r="C56" s="67"/>
      <c r="D56" s="67"/>
      <c r="G56" s="322">
        <v>721478.3899999999</v>
      </c>
      <c r="H56" s="322">
        <v>641911.43333333335</v>
      </c>
      <c r="I56" s="322">
        <v>1363389.8233333332</v>
      </c>
      <c r="J56" s="322"/>
      <c r="K56" s="322">
        <v>1663587</v>
      </c>
      <c r="L56" s="322">
        <v>-300197.17666666652</v>
      </c>
      <c r="M56" s="751">
        <v>-0.18045174473391926</v>
      </c>
    </row>
    <row r="57" spans="1:17" s="76" customFormat="1" ht="8.25" customHeight="1" x14ac:dyDescent="0.2">
      <c r="A57" s="79"/>
      <c r="B57" s="79"/>
      <c r="C57" s="67"/>
      <c r="D57" s="67"/>
      <c r="G57" s="322"/>
      <c r="H57" s="322"/>
      <c r="I57" s="322"/>
      <c r="J57" s="322"/>
      <c r="K57" s="322"/>
    </row>
    <row r="58" spans="1:17" s="76" customFormat="1" ht="20.25" x14ac:dyDescent="0.2">
      <c r="A58" s="79"/>
      <c r="B58" s="79"/>
      <c r="C58" s="755" t="s">
        <v>421</v>
      </c>
      <c r="D58"/>
      <c r="E58" s="67"/>
      <c r="F58" s="67"/>
      <c r="G58" s="242">
        <v>1122.9000000000233</v>
      </c>
      <c r="H58" s="242">
        <v>-1652.6560033332789</v>
      </c>
      <c r="I58" s="242">
        <v>-529.75600333325565</v>
      </c>
      <c r="J58" s="232"/>
      <c r="K58" s="242">
        <v>5738</v>
      </c>
      <c r="L58" s="756">
        <v>-6267.7560033332556</v>
      </c>
      <c r="M58" s="751">
        <v>-1.0923241553386642</v>
      </c>
    </row>
    <row r="59" spans="1:17" s="76" customFormat="1" ht="9" customHeight="1" x14ac:dyDescent="0.2">
      <c r="A59" s="79"/>
      <c r="B59" s="79"/>
      <c r="C59" s="79"/>
      <c r="D59" s="79"/>
      <c r="E59" s="79"/>
      <c r="F59" s="79"/>
      <c r="G59" s="232"/>
      <c r="H59" s="232"/>
      <c r="I59" s="232"/>
      <c r="J59" s="232"/>
      <c r="K59" s="232"/>
    </row>
    <row r="60" spans="1:17" s="76" customFormat="1" ht="20.25" x14ac:dyDescent="0.2">
      <c r="A60" s="79"/>
      <c r="B60" s="79"/>
      <c r="C60" s="79" t="s">
        <v>125</v>
      </c>
      <c r="D60" s="79"/>
      <c r="F60" s="79"/>
      <c r="G60" s="232">
        <v>19500</v>
      </c>
      <c r="H60" s="232">
        <v>19720</v>
      </c>
      <c r="I60" s="232">
        <v>39220</v>
      </c>
      <c r="J60" s="232"/>
      <c r="K60" s="232">
        <v>39797</v>
      </c>
    </row>
    <row r="61" spans="1:17" s="76" customFormat="1" ht="9" customHeight="1" x14ac:dyDescent="0.2">
      <c r="A61" s="79"/>
      <c r="B61" s="79"/>
      <c r="C61" s="79"/>
      <c r="D61" s="79"/>
      <c r="E61" s="79"/>
      <c r="F61" s="79"/>
      <c r="G61" s="232"/>
      <c r="H61" s="232"/>
      <c r="I61" s="232"/>
      <c r="J61" s="232"/>
      <c r="K61" s="232"/>
    </row>
    <row r="62" spans="1:17" s="68" customFormat="1" ht="21" thickBot="1" x14ac:dyDescent="0.25">
      <c r="A62" s="67"/>
      <c r="B62" s="67"/>
      <c r="C62" s="755" t="s">
        <v>422</v>
      </c>
      <c r="D62"/>
      <c r="E62"/>
      <c r="F62"/>
      <c r="G62" s="757">
        <v>-18377.099999999977</v>
      </c>
      <c r="H62" s="757">
        <v>-21372.656003333279</v>
      </c>
      <c r="I62" s="757">
        <v>-39749.756003333256</v>
      </c>
      <c r="J62" s="237"/>
      <c r="K62" s="757">
        <v>-34059</v>
      </c>
    </row>
    <row r="63" spans="1:17" s="68" customFormat="1" ht="21" thickTop="1" x14ac:dyDescent="0.2">
      <c r="A63" s="67"/>
      <c r="B63" s="67"/>
      <c r="C63" s="67"/>
      <c r="D63" s="67"/>
      <c r="E63" s="67"/>
      <c r="F63" s="67"/>
      <c r="G63" s="237"/>
      <c r="H63" s="237"/>
      <c r="I63" s="237"/>
      <c r="J63" s="237"/>
      <c r="K63" s="237"/>
    </row>
    <row r="64" spans="1:17" s="68" customFormat="1" ht="23.25" x14ac:dyDescent="0.2">
      <c r="A64" s="67"/>
      <c r="B64" s="271"/>
      <c r="C64" s="67"/>
      <c r="D64" s="67"/>
      <c r="E64" s="67"/>
      <c r="F64" s="67" t="s">
        <v>423</v>
      </c>
      <c r="G64" s="232"/>
      <c r="H64" s="232"/>
      <c r="I64" s="232"/>
      <c r="J64" s="232"/>
      <c r="K64" s="232"/>
    </row>
    <row r="65" spans="1:11" s="76" customFormat="1" ht="20.25" x14ac:dyDescent="0.2">
      <c r="A65" s="79"/>
      <c r="B65" s="79"/>
      <c r="D65" s="79"/>
      <c r="E65" s="79"/>
      <c r="F65" s="759" t="s">
        <v>424</v>
      </c>
      <c r="G65" s="232"/>
      <c r="H65" s="232"/>
      <c r="I65" s="232"/>
      <c r="J65" s="232"/>
      <c r="K65" s="232"/>
    </row>
    <row r="66" spans="1:11" s="76" customFormat="1" ht="20.25" x14ac:dyDescent="0.2">
      <c r="A66" s="79"/>
      <c r="B66" s="79"/>
      <c r="D66" s="79"/>
      <c r="E66" s="79"/>
      <c r="F66" s="759" t="s">
        <v>429</v>
      </c>
      <c r="G66" s="232"/>
      <c r="H66" s="232"/>
      <c r="I66" s="232"/>
      <c r="J66" s="232"/>
      <c r="K66" s="232"/>
    </row>
    <row r="67" spans="1:11" s="68" customFormat="1" ht="20.25" x14ac:dyDescent="0.2">
      <c r="A67" s="67"/>
      <c r="B67" s="67"/>
      <c r="D67" s="79"/>
      <c r="E67" s="67"/>
      <c r="F67" s="759" t="s">
        <v>425</v>
      </c>
      <c r="G67" s="232"/>
      <c r="H67" s="232"/>
      <c r="I67" s="232"/>
      <c r="J67" s="232"/>
      <c r="K67" s="232"/>
    </row>
    <row r="68" spans="1:11" s="68" customFormat="1" ht="23.25" x14ac:dyDescent="0.2">
      <c r="A68" s="67"/>
      <c r="B68" s="271"/>
      <c r="C68" s="67"/>
      <c r="D68" s="67"/>
      <c r="E68" s="67"/>
      <c r="F68" s="759" t="s">
        <v>426</v>
      </c>
      <c r="G68" s="237"/>
      <c r="H68" s="237"/>
      <c r="I68" s="237"/>
      <c r="J68" s="237"/>
      <c r="K68" s="237"/>
    </row>
    <row r="69" spans="1:11" s="68" customFormat="1" ht="20.25" x14ac:dyDescent="0.2">
      <c r="A69" s="67"/>
      <c r="B69" s="67"/>
      <c r="C69" s="67"/>
      <c r="D69" s="67"/>
      <c r="E69" s="67"/>
      <c r="F69" s="759" t="s">
        <v>427</v>
      </c>
      <c r="G69" s="232"/>
      <c r="H69" s="232"/>
      <c r="I69" s="232"/>
      <c r="J69" s="232"/>
      <c r="K69" s="232"/>
    </row>
    <row r="70" spans="1:11" s="82" customFormat="1" ht="26.25" x14ac:dyDescent="0.2">
      <c r="A70" s="268"/>
      <c r="B70" s="268"/>
      <c r="C70" s="268"/>
      <c r="D70" s="268"/>
      <c r="E70" s="268"/>
      <c r="F70" s="759" t="s">
        <v>428</v>
      </c>
      <c r="G70" s="237"/>
      <c r="H70" s="237"/>
      <c r="I70" s="237"/>
      <c r="J70" s="237"/>
      <c r="K70" s="237"/>
    </row>
    <row r="71" spans="1:11" s="18" customFormat="1" ht="20.25" x14ac:dyDescent="0.3">
      <c r="A71" s="122"/>
      <c r="B71" s="122"/>
      <c r="C71" s="122"/>
      <c r="D71" s="122"/>
      <c r="E71" s="122"/>
      <c r="F71" s="760"/>
      <c r="G71" s="277"/>
      <c r="H71" s="277"/>
      <c r="I71" s="277"/>
      <c r="J71" s="277"/>
      <c r="K71" s="277"/>
    </row>
    <row r="72" spans="1:11" ht="20.25" x14ac:dyDescent="0.3">
      <c r="F72" s="761"/>
      <c r="G72" s="277"/>
      <c r="H72" s="277"/>
      <c r="I72" s="277"/>
      <c r="J72" s="277"/>
      <c r="K72" s="277"/>
    </row>
    <row r="73" spans="1:11" ht="20.25" x14ac:dyDescent="0.3">
      <c r="F73" s="761"/>
      <c r="G73" s="758"/>
      <c r="H73" s="277"/>
      <c r="I73" s="277"/>
      <c r="J73" s="277"/>
      <c r="K73" s="277"/>
    </row>
    <row r="74" spans="1:11" ht="20.25" x14ac:dyDescent="0.3">
      <c r="F74" s="761"/>
      <c r="G74" s="274"/>
      <c r="H74" s="274"/>
      <c r="I74" s="274"/>
      <c r="J74" s="274"/>
      <c r="K74" s="274"/>
    </row>
    <row r="75" spans="1:11" ht="18" x14ac:dyDescent="0.25">
      <c r="F75" s="761"/>
    </row>
    <row r="76" spans="1:11" ht="18" x14ac:dyDescent="0.25">
      <c r="F76" s="761"/>
    </row>
    <row r="77" spans="1:11" ht="18" x14ac:dyDescent="0.25">
      <c r="F77" s="761"/>
    </row>
    <row r="78" spans="1:11" ht="18" x14ac:dyDescent="0.25">
      <c r="F78" s="761"/>
    </row>
    <row r="79" spans="1:11" ht="18" x14ac:dyDescent="0.25">
      <c r="F79" s="761"/>
    </row>
    <row r="80" spans="1:11" ht="18" x14ac:dyDescent="0.25">
      <c r="F80" s="761"/>
    </row>
    <row r="81" spans="6:6" ht="18" x14ac:dyDescent="0.25">
      <c r="F81" s="761"/>
    </row>
    <row r="82" spans="6:6" ht="18" x14ac:dyDescent="0.25">
      <c r="F82" s="761"/>
    </row>
    <row r="83" spans="6:6" ht="18" x14ac:dyDescent="0.25">
      <c r="F83" s="762"/>
    </row>
    <row r="84" spans="6:6" ht="18" x14ac:dyDescent="0.25">
      <c r="F84" s="762"/>
    </row>
  </sheetData>
  <mergeCells count="3">
    <mergeCell ref="G5:K5"/>
    <mergeCell ref="L7:M7"/>
    <mergeCell ref="C46:F4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S96"/>
  <sheetViews>
    <sheetView topLeftCell="A31" zoomScale="85" zoomScaleNormal="85" workbookViewId="0">
      <selection activeCell="H55" sqref="H55"/>
    </sheetView>
  </sheetViews>
  <sheetFormatPr defaultRowHeight="14.25" x14ac:dyDescent="0.2"/>
  <cols>
    <col min="1" max="1" width="50" style="4" customWidth="1"/>
    <col min="2" max="2" width="26" style="4" customWidth="1"/>
    <col min="3" max="3" width="17.25" style="774" customWidth="1"/>
    <col min="4" max="4" width="13.625" style="774" customWidth="1"/>
    <col min="5" max="5" width="12.75" style="774"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669" width="9" style="1"/>
  </cols>
  <sheetData>
    <row r="1" spans="1:669"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row>
    <row r="2" spans="1:669"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row>
    <row r="3" spans="1:669" s="15" customFormat="1" ht="18" x14ac:dyDescent="0.25">
      <c r="A3" s="16" t="s">
        <v>613</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1"/>
      <c r="WB3" s="31"/>
      <c r="WC3" s="31"/>
      <c r="WD3" s="31"/>
      <c r="WE3" s="31"/>
      <c r="WF3" s="31"/>
      <c r="WG3" s="31"/>
      <c r="WH3" s="31"/>
      <c r="WI3" s="31"/>
      <c r="WJ3" s="31"/>
      <c r="WK3" s="31"/>
      <c r="WL3" s="31"/>
      <c r="WM3" s="31"/>
      <c r="WN3" s="31"/>
      <c r="WO3" s="31"/>
      <c r="WP3" s="31"/>
      <c r="WQ3" s="31"/>
      <c r="WR3" s="31"/>
      <c r="WS3" s="31"/>
      <c r="WT3" s="31"/>
      <c r="WU3" s="31"/>
      <c r="WV3" s="31"/>
      <c r="WW3" s="31"/>
      <c r="WX3" s="31"/>
      <c r="WY3" s="31"/>
      <c r="WZ3" s="31"/>
      <c r="XA3" s="31"/>
      <c r="XB3" s="31"/>
      <c r="XC3" s="31"/>
      <c r="XD3" s="31"/>
      <c r="XE3" s="31"/>
      <c r="XF3" s="31"/>
      <c r="XG3" s="31"/>
      <c r="XH3" s="31"/>
      <c r="XI3" s="31"/>
      <c r="XJ3" s="31"/>
      <c r="XK3" s="31"/>
      <c r="XL3" s="31"/>
      <c r="XM3" s="31"/>
      <c r="XN3" s="31"/>
      <c r="XO3" s="31"/>
      <c r="XP3" s="31"/>
      <c r="XQ3" s="31"/>
      <c r="XR3" s="31"/>
      <c r="XS3" s="31"/>
      <c r="XT3" s="31"/>
      <c r="XU3" s="31"/>
      <c r="XV3" s="31"/>
      <c r="XW3" s="31"/>
      <c r="XX3" s="31"/>
      <c r="XY3" s="31"/>
      <c r="XZ3" s="31"/>
      <c r="YA3" s="31"/>
      <c r="YB3" s="31"/>
      <c r="YC3" s="31"/>
      <c r="YD3" s="31"/>
      <c r="YE3" s="31"/>
      <c r="YF3" s="31"/>
      <c r="YG3" s="31"/>
      <c r="YH3" s="31"/>
      <c r="YI3" s="31"/>
      <c r="YJ3" s="31"/>
      <c r="YK3" s="31"/>
      <c r="YL3" s="31"/>
      <c r="YM3" s="31"/>
      <c r="YN3" s="31"/>
      <c r="YO3" s="31"/>
      <c r="YP3" s="31"/>
      <c r="YQ3" s="31"/>
      <c r="YR3" s="31"/>
      <c r="YS3" s="31"/>
    </row>
    <row r="4" spans="1:669"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row>
    <row r="5" spans="1:669" s="24" customFormat="1" ht="16.5" thickBot="1" x14ac:dyDescent="0.25">
      <c r="A5" s="253" t="s">
        <v>158</v>
      </c>
      <c r="B5" s="254"/>
      <c r="C5" s="254"/>
      <c r="D5" s="254"/>
      <c r="E5" s="254"/>
      <c r="F5" s="254"/>
      <c r="G5" s="254"/>
      <c r="H5" s="254"/>
      <c r="I5" s="254"/>
      <c r="J5" s="254"/>
      <c r="K5" s="255"/>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row>
    <row r="6" spans="1:669" s="23" customFormat="1" ht="30.75" thickBot="1" x14ac:dyDescent="0.25">
      <c r="A6" s="314" t="s">
        <v>22</v>
      </c>
      <c r="B6" s="840" t="s">
        <v>12</v>
      </c>
      <c r="C6" s="314" t="s">
        <v>1</v>
      </c>
      <c r="D6" s="840" t="s">
        <v>2</v>
      </c>
      <c r="E6" s="314" t="s">
        <v>3</v>
      </c>
      <c r="F6" s="765" t="s">
        <v>9</v>
      </c>
      <c r="G6" s="319" t="s">
        <v>27</v>
      </c>
      <c r="H6" s="765" t="s">
        <v>196</v>
      </c>
      <c r="I6" s="964" t="s">
        <v>26</v>
      </c>
      <c r="J6" s="319" t="s">
        <v>19</v>
      </c>
      <c r="K6" s="967" t="s">
        <v>93</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row>
    <row r="7" spans="1:669" hidden="1" x14ac:dyDescent="0.2">
      <c r="A7" s="712" t="s">
        <v>327</v>
      </c>
      <c r="B7" s="839" t="s">
        <v>14</v>
      </c>
      <c r="C7" s="291" t="s">
        <v>341</v>
      </c>
      <c r="D7" s="7">
        <v>43466</v>
      </c>
      <c r="E7" s="290">
        <v>43830</v>
      </c>
      <c r="F7" s="764"/>
      <c r="G7" s="293"/>
      <c r="H7" s="308"/>
      <c r="I7" s="965"/>
      <c r="J7" s="307"/>
      <c r="K7" s="968"/>
      <c r="L7" s="46"/>
      <c r="M7" s="29"/>
      <c r="N7" s="29"/>
    </row>
    <row r="8" spans="1:669" hidden="1" x14ac:dyDescent="0.2">
      <c r="A8" s="712" t="s">
        <v>488</v>
      </c>
      <c r="B8" s="916" t="s">
        <v>14</v>
      </c>
      <c r="C8" s="291"/>
      <c r="D8" s="917">
        <v>44287</v>
      </c>
      <c r="E8" s="290">
        <v>44635</v>
      </c>
      <c r="F8" s="918">
        <v>29668</v>
      </c>
      <c r="G8" s="293">
        <f>F8</f>
        <v>29668</v>
      </c>
      <c r="H8" s="919">
        <f>'February''23 AR Aging '!G6</f>
        <v>0</v>
      </c>
      <c r="I8" s="843">
        <v>29668</v>
      </c>
      <c r="J8" s="735">
        <f>F8-I8</f>
        <v>0</v>
      </c>
      <c r="K8" s="969"/>
      <c r="L8" s="46"/>
      <c r="M8" s="29"/>
      <c r="N8" s="29"/>
    </row>
    <row r="9" spans="1:669" hidden="1" x14ac:dyDescent="0.2">
      <c r="A9" s="925" t="s">
        <v>572</v>
      </c>
      <c r="B9" s="934" t="s">
        <v>14</v>
      </c>
      <c r="C9" s="939"/>
      <c r="D9" s="920">
        <v>44652</v>
      </c>
      <c r="E9" s="842">
        <v>45016</v>
      </c>
      <c r="F9" s="949"/>
      <c r="G9" s="921"/>
      <c r="H9" s="807"/>
      <c r="I9" s="921"/>
      <c r="J9" s="949"/>
      <c r="K9" s="970"/>
      <c r="L9" s="248"/>
      <c r="M9" s="282"/>
      <c r="N9" s="29"/>
    </row>
    <row r="10" spans="1:669" x14ac:dyDescent="0.2">
      <c r="A10" s="926" t="s">
        <v>614</v>
      </c>
      <c r="B10" s="935" t="s">
        <v>13</v>
      </c>
      <c r="C10" s="940" t="s">
        <v>341</v>
      </c>
      <c r="D10" s="719">
        <v>44927</v>
      </c>
      <c r="E10" s="779">
        <v>45291</v>
      </c>
      <c r="F10" s="950">
        <v>141001</v>
      </c>
      <c r="G10" s="766">
        <f>I10-H10</f>
        <v>0</v>
      </c>
      <c r="H10" s="306">
        <f>'February''23 AR Aging '!G7</f>
        <v>23401.39</v>
      </c>
      <c r="I10" s="766">
        <v>23401.39</v>
      </c>
      <c r="J10" s="953">
        <f>F10-I10</f>
        <v>117599.61</v>
      </c>
      <c r="K10" s="945"/>
      <c r="L10" s="781"/>
      <c r="M10" s="282"/>
      <c r="N10" s="29"/>
    </row>
    <row r="11" spans="1:669" hidden="1" x14ac:dyDescent="0.2">
      <c r="A11" s="922" t="s">
        <v>463</v>
      </c>
      <c r="B11" s="617" t="s">
        <v>13</v>
      </c>
      <c r="C11" s="6" t="s">
        <v>340</v>
      </c>
      <c r="D11" s="290">
        <v>44378</v>
      </c>
      <c r="E11" s="7">
        <v>44742</v>
      </c>
      <c r="F11" s="951"/>
      <c r="G11" s="308"/>
      <c r="H11" s="293"/>
      <c r="I11" s="308"/>
      <c r="J11" s="307"/>
      <c r="K11" s="968"/>
      <c r="L11" s="781"/>
      <c r="M11" s="282"/>
      <c r="N11" s="29"/>
    </row>
    <row r="12" spans="1:669" x14ac:dyDescent="0.2">
      <c r="A12" s="924" t="s">
        <v>573</v>
      </c>
      <c r="B12" s="935" t="s">
        <v>13</v>
      </c>
      <c r="C12" s="915" t="s">
        <v>340</v>
      </c>
      <c r="D12" s="719">
        <v>44743</v>
      </c>
      <c r="E12" s="779">
        <v>45107</v>
      </c>
      <c r="F12" s="952">
        <v>300000</v>
      </c>
      <c r="G12" s="766">
        <f>I12-H12</f>
        <v>79646.030000000013</v>
      </c>
      <c r="H12" s="306">
        <f>'February''23 AR Aging '!G13</f>
        <v>109099.17</v>
      </c>
      <c r="I12" s="766">
        <v>188745.2</v>
      </c>
      <c r="J12" s="953">
        <f>F12-I12</f>
        <v>111254.79999999999</v>
      </c>
      <c r="K12" s="971"/>
      <c r="L12" s="781"/>
      <c r="M12" s="282"/>
      <c r="N12" s="29"/>
    </row>
    <row r="13" spans="1:669" hidden="1" x14ac:dyDescent="0.2">
      <c r="A13" s="922" t="s">
        <v>342</v>
      </c>
      <c r="B13" s="617" t="s">
        <v>13</v>
      </c>
      <c r="C13" s="6" t="s">
        <v>155</v>
      </c>
      <c r="D13" s="290">
        <v>43374</v>
      </c>
      <c r="E13" s="7">
        <v>43585</v>
      </c>
      <c r="F13" s="307"/>
      <c r="G13" s="308"/>
      <c r="H13" s="293"/>
      <c r="I13" s="308"/>
      <c r="J13" s="307"/>
      <c r="K13" s="968"/>
      <c r="L13" s="781"/>
      <c r="M13" s="282"/>
      <c r="N13" s="29"/>
    </row>
    <row r="14" spans="1:669" hidden="1" x14ac:dyDescent="0.2">
      <c r="A14" s="922" t="s">
        <v>459</v>
      </c>
      <c r="B14" s="617" t="s">
        <v>13</v>
      </c>
      <c r="C14" s="6" t="s">
        <v>364</v>
      </c>
      <c r="D14" s="290">
        <v>44409</v>
      </c>
      <c r="E14" s="7">
        <v>44773</v>
      </c>
      <c r="F14" s="307"/>
      <c r="G14" s="308"/>
      <c r="H14" s="293"/>
      <c r="I14" s="308"/>
      <c r="J14" s="307"/>
      <c r="K14" s="923"/>
      <c r="L14" s="781"/>
      <c r="M14" s="282"/>
      <c r="N14" s="29"/>
    </row>
    <row r="15" spans="1:669" x14ac:dyDescent="0.2">
      <c r="A15" s="924" t="s">
        <v>574</v>
      </c>
      <c r="B15" s="935" t="s">
        <v>13</v>
      </c>
      <c r="C15" s="915" t="s">
        <v>364</v>
      </c>
      <c r="D15" s="719">
        <v>44774</v>
      </c>
      <c r="E15" s="779">
        <v>45137</v>
      </c>
      <c r="F15" s="953">
        <v>330000</v>
      </c>
      <c r="G15" s="766">
        <f>I15-H15</f>
        <v>44057.070000000007</v>
      </c>
      <c r="H15" s="306">
        <f>'February''23 AR Aging '!G31</f>
        <v>134923.12</v>
      </c>
      <c r="I15" s="766">
        <v>178980.19</v>
      </c>
      <c r="J15" s="953">
        <f>F15-I15</f>
        <v>151019.81</v>
      </c>
      <c r="K15" s="945"/>
      <c r="L15" s="782"/>
      <c r="M15" s="282"/>
      <c r="N15" s="29"/>
    </row>
    <row r="16" spans="1:669" s="3" customFormat="1" hidden="1" x14ac:dyDescent="0.2">
      <c r="A16" s="927" t="s">
        <v>400</v>
      </c>
      <c r="B16" s="936" t="s">
        <v>16</v>
      </c>
      <c r="C16" s="941" t="s">
        <v>5</v>
      </c>
      <c r="D16" s="720">
        <v>43831</v>
      </c>
      <c r="E16" s="780">
        <v>44196</v>
      </c>
      <c r="F16" s="954"/>
      <c r="G16" s="959"/>
      <c r="H16" s="293"/>
      <c r="I16" s="959"/>
      <c r="J16" s="954"/>
      <c r="K16" s="946"/>
      <c r="L16" s="781"/>
      <c r="M16" s="282"/>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row>
    <row r="17" spans="1:669" s="3" customFormat="1" ht="13.5" hidden="1" customHeight="1" x14ac:dyDescent="0.2">
      <c r="A17" s="922"/>
      <c r="B17" s="617"/>
      <c r="C17" s="6"/>
      <c r="D17" s="290"/>
      <c r="E17" s="7"/>
      <c r="F17" s="307"/>
      <c r="G17" s="308"/>
      <c r="H17" s="293"/>
      <c r="I17" s="966"/>
      <c r="J17" s="307"/>
      <c r="K17" s="923"/>
      <c r="L17" s="248"/>
      <c r="M17" s="282"/>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row>
    <row r="18" spans="1:669" s="3" customFormat="1" hidden="1" x14ac:dyDescent="0.2">
      <c r="A18" s="928" t="s">
        <v>432</v>
      </c>
      <c r="B18" s="617" t="s">
        <v>16</v>
      </c>
      <c r="C18" s="6" t="s">
        <v>21</v>
      </c>
      <c r="D18" s="290">
        <v>44287</v>
      </c>
      <c r="E18" s="7">
        <v>44468</v>
      </c>
      <c r="F18" s="307"/>
      <c r="G18" s="308"/>
      <c r="H18" s="293"/>
      <c r="I18" s="308"/>
      <c r="J18" s="307"/>
      <c r="K18" s="923"/>
      <c r="L18" s="248"/>
      <c r="M18" s="282"/>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row>
    <row r="19" spans="1:669" s="3" customFormat="1" hidden="1" x14ac:dyDescent="0.2">
      <c r="A19" s="922"/>
      <c r="B19" s="617" t="s">
        <v>16</v>
      </c>
      <c r="C19" s="6" t="s">
        <v>21</v>
      </c>
      <c r="D19" s="290">
        <v>42644</v>
      </c>
      <c r="E19" s="7">
        <v>43008</v>
      </c>
      <c r="F19" s="307"/>
      <c r="G19" s="308"/>
      <c r="H19" s="307"/>
      <c r="I19" s="308"/>
      <c r="J19" s="307"/>
      <c r="K19" s="972"/>
      <c r="L19" s="248"/>
      <c r="M19" s="282"/>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row>
    <row r="20" spans="1:669" s="3" customFormat="1" hidden="1" x14ac:dyDescent="0.2">
      <c r="A20" s="922" t="s">
        <v>195</v>
      </c>
      <c r="B20" s="617" t="s">
        <v>16</v>
      </c>
      <c r="C20" s="6" t="s">
        <v>21</v>
      </c>
      <c r="D20" s="290">
        <v>43556</v>
      </c>
      <c r="E20" s="7">
        <v>43921</v>
      </c>
      <c r="F20" s="307"/>
      <c r="G20" s="308"/>
      <c r="H20" s="307"/>
      <c r="I20" s="308"/>
      <c r="J20" s="307"/>
      <c r="K20" s="972"/>
      <c r="L20" s="248"/>
      <c r="M20" s="282"/>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row>
    <row r="21" spans="1:669" s="3" customFormat="1" ht="12.75" hidden="1" customHeight="1" x14ac:dyDescent="0.2">
      <c r="A21" s="922" t="s">
        <v>195</v>
      </c>
      <c r="B21" s="617" t="s">
        <v>16</v>
      </c>
      <c r="C21" s="6" t="s">
        <v>21</v>
      </c>
      <c r="D21" s="290">
        <v>43922</v>
      </c>
      <c r="E21" s="7">
        <v>44286</v>
      </c>
      <c r="F21" s="955"/>
      <c r="G21" s="308"/>
      <c r="H21" s="307"/>
      <c r="I21" s="308"/>
      <c r="J21" s="307"/>
      <c r="K21" s="923"/>
      <c r="L21" s="248"/>
      <c r="M21" s="282"/>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row>
    <row r="22" spans="1:669" s="3" customFormat="1" ht="12.75" hidden="1" customHeight="1" x14ac:dyDescent="0.2">
      <c r="A22" s="922" t="s">
        <v>470</v>
      </c>
      <c r="B22" s="617" t="s">
        <v>16</v>
      </c>
      <c r="C22" s="6" t="s">
        <v>5</v>
      </c>
      <c r="D22" s="290">
        <v>44562</v>
      </c>
      <c r="E22" s="7">
        <v>44926</v>
      </c>
      <c r="F22" s="955"/>
      <c r="G22" s="308"/>
      <c r="H22" s="307"/>
      <c r="I22" s="308"/>
      <c r="J22" s="307"/>
      <c r="K22" s="923"/>
      <c r="L22" s="248"/>
      <c r="M22" s="282"/>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row>
    <row r="23" spans="1:669" s="3" customFormat="1" ht="12.95" customHeight="1" x14ac:dyDescent="0.2">
      <c r="A23" s="929" t="s">
        <v>575</v>
      </c>
      <c r="B23" s="617" t="s">
        <v>16</v>
      </c>
      <c r="C23" s="6" t="s">
        <v>21</v>
      </c>
      <c r="D23" s="290">
        <v>44927</v>
      </c>
      <c r="E23" s="7">
        <v>45291</v>
      </c>
      <c r="F23" s="955">
        <v>47500</v>
      </c>
      <c r="G23" s="308">
        <f>I23-H23</f>
        <v>3958.336666666667</v>
      </c>
      <c r="H23" s="307">
        <f>'February''23 AR Aging '!G39</f>
        <v>3958.33</v>
      </c>
      <c r="I23" s="308">
        <f>47500/12*2</f>
        <v>7916.666666666667</v>
      </c>
      <c r="J23" s="307">
        <f>F23-I23</f>
        <v>39583.333333333336</v>
      </c>
      <c r="K23" s="923"/>
      <c r="L23" s="248"/>
      <c r="M23" s="282"/>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row>
    <row r="24" spans="1:669" s="3" customFormat="1" ht="12.75" customHeight="1" x14ac:dyDescent="0.25">
      <c r="A24" s="922" t="s">
        <v>615</v>
      </c>
      <c r="B24" s="617" t="s">
        <v>16</v>
      </c>
      <c r="C24" s="6" t="s">
        <v>21</v>
      </c>
      <c r="D24" s="290">
        <v>44866</v>
      </c>
      <c r="E24" s="7">
        <v>45199</v>
      </c>
      <c r="F24" s="955">
        <v>14282</v>
      </c>
      <c r="G24" s="308">
        <f>I24-H24</f>
        <v>716</v>
      </c>
      <c r="H24" s="307">
        <f>'February''23 AR Aging '!G48</f>
        <v>247</v>
      </c>
      <c r="I24" s="308">
        <v>963</v>
      </c>
      <c r="J24" s="307">
        <f>F24-I24</f>
        <v>13319</v>
      </c>
      <c r="K24" s="923"/>
      <c r="L24" s="248"/>
      <c r="M24" s="282"/>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row>
    <row r="25" spans="1:669" s="3" customFormat="1" ht="15" customHeight="1" x14ac:dyDescent="0.2">
      <c r="A25" s="924" t="s">
        <v>455</v>
      </c>
      <c r="B25" s="935" t="s">
        <v>16</v>
      </c>
      <c r="C25" s="915" t="s">
        <v>21</v>
      </c>
      <c r="D25" s="719">
        <v>44652</v>
      </c>
      <c r="E25" s="779">
        <v>45016</v>
      </c>
      <c r="F25" s="956">
        <v>147911</v>
      </c>
      <c r="G25" s="766">
        <f>I25-H25</f>
        <v>109691.49</v>
      </c>
      <c r="H25" s="953">
        <f>'February''23 AR Aging '!G50</f>
        <v>21658.76</v>
      </c>
      <c r="I25" s="766">
        <v>131350.25</v>
      </c>
      <c r="J25" s="953">
        <f>F25-I25</f>
        <v>16560.75</v>
      </c>
      <c r="K25" s="945"/>
      <c r="L25" s="248"/>
      <c r="M25" s="282"/>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row>
    <row r="26" spans="1:669" s="3" customFormat="1" ht="12.75" hidden="1" customHeight="1" x14ac:dyDescent="0.2">
      <c r="A26" s="930" t="s">
        <v>437</v>
      </c>
      <c r="B26" s="937" t="s">
        <v>389</v>
      </c>
      <c r="C26" s="501" t="s">
        <v>21</v>
      </c>
      <c r="D26" s="786">
        <v>44256</v>
      </c>
      <c r="E26" s="785">
        <v>44621</v>
      </c>
      <c r="F26" s="955"/>
      <c r="G26" s="308"/>
      <c r="H26" s="307"/>
      <c r="I26" s="308"/>
      <c r="J26" s="307"/>
      <c r="K26" s="923"/>
      <c r="L26" s="248"/>
      <c r="M26" s="282"/>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row>
    <row r="27" spans="1:669" s="3" customFormat="1" ht="12.75" hidden="1" customHeight="1" x14ac:dyDescent="0.2">
      <c r="A27" s="930"/>
      <c r="B27" s="937"/>
      <c r="C27" s="501"/>
      <c r="D27" s="786"/>
      <c r="E27" s="785"/>
      <c r="F27" s="955"/>
      <c r="G27" s="308"/>
      <c r="H27" s="307"/>
      <c r="I27" s="308"/>
      <c r="J27" s="307"/>
      <c r="K27" s="923"/>
      <c r="L27" s="248"/>
      <c r="M27" s="282"/>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row>
    <row r="28" spans="1:669" s="717" customFormat="1" ht="15.75" hidden="1" customHeight="1" x14ac:dyDescent="0.2">
      <c r="A28" s="930" t="s">
        <v>471</v>
      </c>
      <c r="B28" s="937" t="s">
        <v>389</v>
      </c>
      <c r="C28" s="501" t="s">
        <v>21</v>
      </c>
      <c r="D28" s="786">
        <v>44562</v>
      </c>
      <c r="E28" s="785">
        <v>44926</v>
      </c>
      <c r="F28" s="957"/>
      <c r="G28" s="960"/>
      <c r="H28" s="962"/>
      <c r="I28" s="960"/>
      <c r="J28" s="962"/>
      <c r="K28" s="947"/>
      <c r="L28" s="713"/>
      <c r="M28" s="714"/>
      <c r="N28" s="715"/>
      <c r="O28" s="715"/>
      <c r="P28" s="715"/>
      <c r="Q28" s="715"/>
      <c r="R28" s="715"/>
      <c r="S28" s="715"/>
      <c r="T28" s="715"/>
      <c r="U28" s="715"/>
      <c r="V28" s="715"/>
      <c r="W28" s="715"/>
      <c r="X28" s="715"/>
      <c r="Y28" s="715"/>
      <c r="Z28" s="715"/>
      <c r="AA28" s="715"/>
      <c r="AB28" s="716"/>
      <c r="AC28" s="716"/>
      <c r="AD28" s="716"/>
      <c r="AE28" s="716"/>
      <c r="AF28" s="716"/>
      <c r="AG28" s="716"/>
      <c r="AH28" s="716"/>
      <c r="AI28" s="716"/>
      <c r="AJ28" s="716"/>
      <c r="AK28" s="716"/>
      <c r="AL28" s="716"/>
      <c r="AM28" s="368"/>
      <c r="AN28" s="368"/>
      <c r="AO28" s="368"/>
      <c r="AP28" s="368"/>
      <c r="AQ28" s="368"/>
      <c r="AR28" s="368"/>
      <c r="AS28" s="368"/>
      <c r="AT28" s="368"/>
      <c r="AU28" s="368"/>
      <c r="AV28" s="368"/>
      <c r="AW28" s="368"/>
      <c r="AX28" s="368"/>
      <c r="AY28" s="368"/>
      <c r="AZ28" s="368"/>
      <c r="BA28" s="368"/>
      <c r="BB28" s="368"/>
      <c r="BC28" s="368"/>
      <c r="BD28" s="368"/>
      <c r="BE28" s="368"/>
      <c r="BF28" s="368"/>
      <c r="BG28" s="368"/>
      <c r="BH28" s="368"/>
      <c r="BI28" s="368"/>
      <c r="BJ28" s="368"/>
      <c r="BK28" s="368"/>
      <c r="BL28" s="368"/>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c r="CP28" s="368"/>
      <c r="CQ28" s="368"/>
      <c r="CR28" s="368"/>
      <c r="CS28" s="368"/>
      <c r="CT28" s="368"/>
      <c r="CU28" s="368"/>
      <c r="CV28" s="368"/>
      <c r="CW28" s="368"/>
      <c r="CX28" s="368"/>
      <c r="CY28" s="368"/>
      <c r="CZ28" s="368"/>
      <c r="DA28" s="368"/>
      <c r="DB28" s="368"/>
      <c r="DC28" s="368"/>
      <c r="DD28" s="368"/>
      <c r="DE28" s="368"/>
      <c r="DF28" s="368"/>
      <c r="DG28" s="368"/>
      <c r="DH28" s="368"/>
      <c r="DI28" s="368"/>
      <c r="DJ28" s="368"/>
      <c r="DK28" s="368"/>
      <c r="DL28" s="368"/>
      <c r="DM28" s="368"/>
      <c r="DN28" s="368"/>
      <c r="DO28" s="368"/>
      <c r="DP28" s="368"/>
      <c r="DQ28" s="368"/>
      <c r="DR28" s="368"/>
      <c r="DS28" s="368"/>
      <c r="DT28" s="368"/>
      <c r="DU28" s="368"/>
      <c r="DV28" s="368"/>
      <c r="DW28" s="368"/>
      <c r="DX28" s="368"/>
      <c r="DY28" s="368"/>
      <c r="DZ28" s="368"/>
      <c r="EA28" s="368"/>
      <c r="EB28" s="368"/>
      <c r="EC28" s="368"/>
      <c r="ED28" s="368"/>
      <c r="EE28" s="368"/>
      <c r="EF28" s="368"/>
      <c r="EG28" s="368"/>
      <c r="EH28" s="368"/>
      <c r="EI28" s="368"/>
      <c r="EJ28" s="368"/>
      <c r="EK28" s="368"/>
      <c r="EL28" s="368"/>
      <c r="EM28" s="368"/>
      <c r="EN28" s="368"/>
      <c r="EO28" s="368"/>
      <c r="EP28" s="368"/>
      <c r="EQ28" s="368"/>
      <c r="ER28" s="368"/>
      <c r="ES28" s="368"/>
      <c r="ET28" s="368"/>
      <c r="EU28" s="368"/>
      <c r="EV28" s="368"/>
      <c r="EW28" s="368"/>
      <c r="EX28" s="368"/>
      <c r="EY28" s="368"/>
      <c r="EZ28" s="368"/>
      <c r="FA28" s="368"/>
      <c r="FB28" s="368"/>
      <c r="FC28" s="368"/>
      <c r="FD28" s="368"/>
      <c r="FE28" s="368"/>
      <c r="FF28" s="368"/>
      <c r="FG28" s="368"/>
      <c r="FH28" s="368"/>
      <c r="FI28" s="368"/>
      <c r="FJ28" s="368"/>
      <c r="FK28" s="368"/>
      <c r="FL28" s="368"/>
      <c r="FM28" s="368"/>
      <c r="FN28" s="368"/>
      <c r="FO28" s="368"/>
      <c r="FP28" s="368"/>
      <c r="FQ28" s="368"/>
      <c r="FR28" s="368"/>
      <c r="FS28" s="368"/>
      <c r="FT28" s="368"/>
      <c r="FU28" s="368"/>
      <c r="FV28" s="368"/>
      <c r="FW28" s="368"/>
      <c r="FX28" s="368"/>
      <c r="FY28" s="368"/>
      <c r="FZ28" s="368"/>
      <c r="GA28" s="368"/>
      <c r="GB28" s="368"/>
      <c r="GC28" s="368"/>
      <c r="GD28" s="368"/>
      <c r="GE28" s="368"/>
      <c r="GF28" s="368"/>
      <c r="GG28" s="368"/>
      <c r="GH28" s="368"/>
      <c r="GI28" s="368"/>
      <c r="GJ28" s="368"/>
      <c r="GK28" s="368"/>
      <c r="GL28" s="368"/>
      <c r="GM28" s="368"/>
      <c r="GN28" s="368"/>
      <c r="GO28" s="368"/>
      <c r="GP28" s="368"/>
      <c r="GQ28" s="368"/>
      <c r="GR28" s="368"/>
      <c r="GS28" s="368"/>
      <c r="GT28" s="368"/>
      <c r="GU28" s="368"/>
      <c r="GV28" s="368"/>
      <c r="GW28" s="368"/>
      <c r="GX28" s="368"/>
      <c r="GY28" s="368"/>
      <c r="GZ28" s="368"/>
      <c r="HA28" s="368"/>
      <c r="HB28" s="368"/>
      <c r="HC28" s="368"/>
      <c r="HD28" s="368"/>
      <c r="HE28" s="368"/>
      <c r="HF28" s="368"/>
      <c r="HG28" s="368"/>
      <c r="HH28" s="368"/>
      <c r="HI28" s="368"/>
      <c r="HJ28" s="368"/>
      <c r="HK28" s="368"/>
      <c r="HL28" s="368"/>
      <c r="HM28" s="368"/>
      <c r="HN28" s="368"/>
      <c r="HO28" s="368"/>
      <c r="HP28" s="368"/>
      <c r="HQ28" s="368"/>
      <c r="HR28" s="368"/>
      <c r="HS28" s="368"/>
      <c r="HT28" s="368"/>
      <c r="HU28" s="368"/>
      <c r="HV28" s="368"/>
      <c r="HW28" s="368"/>
      <c r="HX28" s="368"/>
      <c r="HY28" s="368"/>
      <c r="HZ28" s="368"/>
      <c r="IA28" s="368"/>
      <c r="IB28" s="368"/>
      <c r="IC28" s="368"/>
      <c r="ID28" s="368"/>
      <c r="IE28" s="368"/>
      <c r="IF28" s="368"/>
      <c r="IG28" s="368"/>
      <c r="IH28" s="368"/>
      <c r="II28" s="368"/>
      <c r="IJ28" s="368"/>
      <c r="IK28" s="368"/>
      <c r="IL28" s="368"/>
      <c r="IM28" s="368"/>
      <c r="IN28" s="368"/>
      <c r="IO28" s="368"/>
      <c r="IP28" s="368"/>
      <c r="IQ28" s="368"/>
      <c r="IR28" s="368"/>
      <c r="IS28" s="368"/>
      <c r="IT28" s="368"/>
      <c r="IU28" s="368"/>
      <c r="IV28" s="368"/>
      <c r="IW28" s="368"/>
      <c r="IX28" s="368"/>
      <c r="IY28" s="368"/>
      <c r="IZ28" s="368"/>
      <c r="JA28" s="368"/>
      <c r="JB28" s="368"/>
      <c r="JC28" s="368"/>
      <c r="JD28" s="368"/>
      <c r="JE28" s="368"/>
      <c r="JF28" s="368"/>
      <c r="JG28" s="368"/>
      <c r="JH28" s="368"/>
      <c r="JI28" s="368"/>
      <c r="JJ28" s="368"/>
      <c r="JK28" s="368"/>
      <c r="JL28" s="368"/>
      <c r="JM28" s="368"/>
      <c r="JN28" s="368"/>
      <c r="JO28" s="368"/>
      <c r="JP28" s="368"/>
      <c r="JQ28" s="368"/>
      <c r="JR28" s="368"/>
      <c r="JS28" s="368"/>
      <c r="JT28" s="368"/>
      <c r="JU28" s="368"/>
      <c r="JV28" s="368"/>
      <c r="JW28" s="368"/>
      <c r="JX28" s="368"/>
      <c r="JY28" s="368"/>
      <c r="JZ28" s="368"/>
      <c r="KA28" s="368"/>
      <c r="KB28" s="368"/>
      <c r="KC28" s="368"/>
      <c r="KD28" s="368"/>
      <c r="KE28" s="368"/>
      <c r="KF28" s="368"/>
      <c r="KG28" s="368"/>
      <c r="KH28" s="368"/>
      <c r="KI28" s="368"/>
      <c r="KJ28" s="368"/>
      <c r="KK28" s="368"/>
      <c r="KL28" s="368"/>
      <c r="KM28" s="368"/>
      <c r="KN28" s="368"/>
      <c r="KO28" s="368"/>
      <c r="KP28" s="368"/>
      <c r="KQ28" s="368"/>
      <c r="KR28" s="368"/>
      <c r="KS28" s="368"/>
      <c r="KT28" s="368"/>
      <c r="KU28" s="368"/>
      <c r="KV28" s="368"/>
      <c r="KW28" s="368"/>
      <c r="KX28" s="368"/>
      <c r="KY28" s="368"/>
      <c r="KZ28" s="368"/>
      <c r="LA28" s="368"/>
      <c r="LB28" s="368"/>
      <c r="LC28" s="368"/>
      <c r="LD28" s="368"/>
      <c r="LE28" s="368"/>
      <c r="LF28" s="368"/>
      <c r="LG28" s="368"/>
      <c r="LH28" s="368"/>
      <c r="LI28" s="368"/>
      <c r="LJ28" s="368"/>
      <c r="LK28" s="368"/>
      <c r="LL28" s="368"/>
      <c r="LM28" s="368"/>
      <c r="LN28" s="368"/>
      <c r="LO28" s="368"/>
      <c r="LP28" s="368"/>
      <c r="LQ28" s="368"/>
      <c r="LR28" s="368"/>
      <c r="LS28" s="368"/>
      <c r="LT28" s="368"/>
      <c r="LU28" s="368"/>
      <c r="LV28" s="368"/>
      <c r="LW28" s="368"/>
      <c r="LX28" s="368"/>
      <c r="LY28" s="368"/>
      <c r="LZ28" s="368"/>
      <c r="MA28" s="368"/>
      <c r="MB28" s="368"/>
      <c r="MC28" s="368"/>
      <c r="MD28" s="368"/>
      <c r="ME28" s="368"/>
      <c r="MF28" s="368"/>
      <c r="MG28" s="368"/>
      <c r="MH28" s="368"/>
      <c r="MI28" s="368"/>
      <c r="MJ28" s="368"/>
      <c r="MK28" s="368"/>
      <c r="ML28" s="368"/>
      <c r="MM28" s="368"/>
      <c r="MN28" s="368"/>
      <c r="MO28" s="368"/>
      <c r="MP28" s="368"/>
      <c r="MQ28" s="368"/>
      <c r="MR28" s="368"/>
      <c r="MS28" s="368"/>
      <c r="MT28" s="368"/>
      <c r="MU28" s="368"/>
      <c r="MV28" s="368"/>
      <c r="MW28" s="368"/>
      <c r="MX28" s="368"/>
      <c r="MY28" s="368"/>
      <c r="MZ28" s="368"/>
      <c r="NA28" s="368"/>
      <c r="NB28" s="368"/>
      <c r="NC28" s="368"/>
      <c r="ND28" s="368"/>
      <c r="NE28" s="368"/>
      <c r="NF28" s="368"/>
      <c r="NG28" s="368"/>
      <c r="NH28" s="368"/>
      <c r="NI28" s="368"/>
      <c r="NJ28" s="368"/>
      <c r="NK28" s="368"/>
      <c r="NL28" s="368"/>
      <c r="NM28" s="368"/>
      <c r="NN28" s="368"/>
      <c r="NO28" s="368"/>
      <c r="NP28" s="368"/>
      <c r="NQ28" s="368"/>
      <c r="NR28" s="368"/>
      <c r="NS28" s="368"/>
      <c r="NT28" s="368"/>
      <c r="NU28" s="368"/>
      <c r="NV28" s="368"/>
      <c r="NW28" s="368"/>
      <c r="NX28" s="368"/>
      <c r="NY28" s="368"/>
      <c r="NZ28" s="368"/>
      <c r="OA28" s="368"/>
      <c r="OB28" s="368"/>
      <c r="OC28" s="368"/>
      <c r="OD28" s="368"/>
      <c r="OE28" s="368"/>
      <c r="OF28" s="368"/>
      <c r="OG28" s="368"/>
      <c r="OH28" s="368"/>
      <c r="OI28" s="368"/>
      <c r="OJ28" s="368"/>
      <c r="OK28" s="368"/>
      <c r="OL28" s="368"/>
      <c r="OM28" s="368"/>
      <c r="ON28" s="368"/>
      <c r="OO28" s="368"/>
      <c r="OP28" s="368"/>
      <c r="OQ28" s="368"/>
      <c r="OR28" s="368"/>
      <c r="OS28" s="368"/>
      <c r="OT28" s="368"/>
      <c r="OU28" s="368"/>
      <c r="OV28" s="368"/>
      <c r="OW28" s="368"/>
      <c r="OX28" s="368"/>
      <c r="OY28" s="368"/>
      <c r="OZ28" s="368"/>
      <c r="PA28" s="368"/>
      <c r="PB28" s="368"/>
      <c r="PC28" s="368"/>
      <c r="PD28" s="368"/>
      <c r="PE28" s="368"/>
      <c r="PF28" s="368"/>
      <c r="PG28" s="368"/>
      <c r="PH28" s="368"/>
      <c r="PI28" s="368"/>
      <c r="PJ28" s="368"/>
      <c r="PK28" s="368"/>
      <c r="PL28" s="368"/>
      <c r="PM28" s="368"/>
      <c r="PN28" s="368"/>
      <c r="PO28" s="368"/>
      <c r="PP28" s="368"/>
      <c r="PQ28" s="368"/>
      <c r="PR28" s="368"/>
      <c r="PS28" s="368"/>
      <c r="PT28" s="368"/>
      <c r="PU28" s="368"/>
      <c r="PV28" s="368"/>
      <c r="PW28" s="368"/>
      <c r="PX28" s="368"/>
      <c r="PY28" s="368"/>
      <c r="PZ28" s="368"/>
      <c r="QA28" s="368"/>
      <c r="QB28" s="368"/>
      <c r="QC28" s="368"/>
      <c r="QD28" s="368"/>
      <c r="QE28" s="368"/>
      <c r="QF28" s="368"/>
      <c r="QG28" s="368"/>
      <c r="QH28" s="368"/>
      <c r="QI28" s="368"/>
      <c r="QJ28" s="368"/>
      <c r="QK28" s="368"/>
      <c r="QL28" s="368"/>
      <c r="QM28" s="368"/>
      <c r="QN28" s="368"/>
      <c r="QO28" s="368"/>
      <c r="QP28" s="368"/>
      <c r="QQ28" s="368"/>
      <c r="QR28" s="368"/>
      <c r="QS28" s="368"/>
      <c r="QT28" s="368"/>
      <c r="QU28" s="368"/>
      <c r="QV28" s="368"/>
      <c r="QW28" s="368"/>
      <c r="QX28" s="368"/>
      <c r="QY28" s="368"/>
      <c r="QZ28" s="368"/>
      <c r="RA28" s="368"/>
      <c r="RB28" s="368"/>
      <c r="RC28" s="368"/>
      <c r="RD28" s="368"/>
      <c r="RE28" s="368"/>
      <c r="RF28" s="368"/>
      <c r="RG28" s="368"/>
      <c r="RH28" s="368"/>
      <c r="RI28" s="368"/>
      <c r="RJ28" s="368"/>
      <c r="RK28" s="368"/>
      <c r="RL28" s="368"/>
      <c r="RM28" s="368"/>
      <c r="RN28" s="368"/>
      <c r="RO28" s="368"/>
      <c r="RP28" s="368"/>
      <c r="RQ28" s="368"/>
      <c r="RR28" s="368"/>
      <c r="RS28" s="368"/>
      <c r="RT28" s="368"/>
      <c r="RU28" s="368"/>
      <c r="RV28" s="368"/>
      <c r="RW28" s="368"/>
      <c r="RX28" s="368"/>
      <c r="RY28" s="368"/>
      <c r="RZ28" s="368"/>
      <c r="SA28" s="368"/>
      <c r="SB28" s="368"/>
      <c r="SC28" s="368"/>
      <c r="SD28" s="368"/>
      <c r="SE28" s="368"/>
      <c r="SF28" s="368"/>
      <c r="SG28" s="368"/>
      <c r="SH28" s="368"/>
      <c r="SI28" s="368"/>
      <c r="SJ28" s="368"/>
      <c r="SK28" s="368"/>
      <c r="SL28" s="368"/>
      <c r="SM28" s="368"/>
      <c r="SN28" s="368"/>
      <c r="SO28" s="368"/>
      <c r="SP28" s="368"/>
      <c r="SQ28" s="368"/>
      <c r="SR28" s="368"/>
      <c r="SS28" s="368"/>
      <c r="ST28" s="368"/>
      <c r="SU28" s="368"/>
      <c r="SV28" s="368"/>
      <c r="SW28" s="368"/>
      <c r="SX28" s="368"/>
      <c r="SY28" s="368"/>
      <c r="SZ28" s="368"/>
      <c r="TA28" s="368"/>
      <c r="TB28" s="368"/>
      <c r="TC28" s="368"/>
      <c r="TD28" s="368"/>
      <c r="TE28" s="368"/>
      <c r="TF28" s="368"/>
      <c r="TG28" s="368"/>
      <c r="TH28" s="368"/>
      <c r="TI28" s="368"/>
      <c r="TJ28" s="368"/>
      <c r="TK28" s="368"/>
      <c r="TL28" s="368"/>
      <c r="TM28" s="368"/>
      <c r="TN28" s="368"/>
      <c r="TO28" s="368"/>
      <c r="TP28" s="368"/>
      <c r="TQ28" s="368"/>
      <c r="TR28" s="368"/>
      <c r="TS28" s="368"/>
      <c r="TT28" s="368"/>
      <c r="TU28" s="368"/>
      <c r="TV28" s="368"/>
      <c r="TW28" s="368"/>
      <c r="TX28" s="368"/>
      <c r="TY28" s="368"/>
      <c r="TZ28" s="368"/>
      <c r="UA28" s="368"/>
      <c r="UB28" s="368"/>
      <c r="UC28" s="368"/>
      <c r="UD28" s="368"/>
      <c r="UE28" s="368"/>
      <c r="UF28" s="368"/>
      <c r="UG28" s="368"/>
      <c r="UH28" s="368"/>
      <c r="UI28" s="368"/>
      <c r="UJ28" s="368"/>
      <c r="UK28" s="368"/>
      <c r="UL28" s="368"/>
      <c r="UM28" s="368"/>
      <c r="UN28" s="368"/>
      <c r="UO28" s="368"/>
      <c r="UP28" s="368"/>
      <c r="UQ28" s="368"/>
      <c r="UR28" s="368"/>
      <c r="US28" s="368"/>
      <c r="UT28" s="368"/>
      <c r="UU28" s="368"/>
      <c r="UV28" s="368"/>
      <c r="UW28" s="368"/>
      <c r="UX28" s="368"/>
      <c r="UY28" s="368"/>
      <c r="UZ28" s="368"/>
      <c r="VA28" s="368"/>
      <c r="VB28" s="368"/>
      <c r="VC28" s="368"/>
      <c r="VD28" s="368"/>
      <c r="VE28" s="368"/>
      <c r="VF28" s="368"/>
      <c r="VG28" s="368"/>
      <c r="VH28" s="368"/>
      <c r="VI28" s="368"/>
      <c r="VJ28" s="368"/>
      <c r="VK28" s="368"/>
      <c r="VL28" s="368"/>
      <c r="VM28" s="368"/>
      <c r="VN28" s="368"/>
      <c r="VO28" s="368"/>
      <c r="VP28" s="368"/>
      <c r="VQ28" s="368"/>
      <c r="VR28" s="368"/>
      <c r="VS28" s="368"/>
      <c r="VT28" s="368"/>
      <c r="VU28" s="368"/>
      <c r="VV28" s="368"/>
      <c r="VW28" s="368"/>
      <c r="VX28" s="368"/>
      <c r="VY28" s="368"/>
      <c r="VZ28" s="368"/>
      <c r="WA28" s="368"/>
      <c r="WB28" s="368"/>
      <c r="WC28" s="368"/>
      <c r="WD28" s="368"/>
      <c r="WE28" s="368"/>
      <c r="WF28" s="368"/>
      <c r="WG28" s="368"/>
      <c r="WH28" s="368"/>
      <c r="WI28" s="368"/>
      <c r="WJ28" s="368"/>
      <c r="WK28" s="368"/>
      <c r="WL28" s="368"/>
      <c r="WM28" s="368"/>
      <c r="WN28" s="368"/>
      <c r="WO28" s="368"/>
      <c r="WP28" s="368"/>
      <c r="WQ28" s="368"/>
      <c r="WR28" s="368"/>
      <c r="WS28" s="368"/>
      <c r="WT28" s="368"/>
      <c r="WU28" s="368"/>
      <c r="WV28" s="368"/>
      <c r="WW28" s="368"/>
      <c r="WX28" s="368"/>
      <c r="WY28" s="368"/>
      <c r="WZ28" s="368"/>
      <c r="XA28" s="368"/>
      <c r="XB28" s="368"/>
      <c r="XC28" s="368"/>
      <c r="XD28" s="368"/>
      <c r="XE28" s="368"/>
      <c r="XF28" s="368"/>
      <c r="XG28" s="368"/>
      <c r="XH28" s="368"/>
      <c r="XI28" s="368"/>
      <c r="XJ28" s="368"/>
      <c r="XK28" s="368"/>
      <c r="XL28" s="368"/>
      <c r="XM28" s="368"/>
      <c r="XN28" s="368"/>
      <c r="XO28" s="368"/>
      <c r="XP28" s="368"/>
      <c r="XQ28" s="368"/>
      <c r="XR28" s="368"/>
      <c r="XS28" s="368"/>
      <c r="XT28" s="368"/>
      <c r="XU28" s="368"/>
      <c r="XV28" s="368"/>
      <c r="XW28" s="368"/>
      <c r="XX28" s="368"/>
      <c r="XY28" s="368"/>
      <c r="XZ28" s="368"/>
      <c r="YA28" s="368"/>
      <c r="YB28" s="368"/>
      <c r="YC28" s="368"/>
      <c r="YD28" s="368"/>
      <c r="YE28" s="368"/>
      <c r="YF28" s="368"/>
      <c r="YG28" s="368"/>
      <c r="YH28" s="368"/>
      <c r="YI28" s="368"/>
      <c r="YJ28" s="368"/>
      <c r="YK28" s="368"/>
      <c r="YL28" s="368"/>
      <c r="YM28" s="368"/>
      <c r="YN28" s="368"/>
      <c r="YO28" s="368"/>
      <c r="YP28" s="368"/>
      <c r="YQ28" s="368"/>
      <c r="YR28" s="368"/>
      <c r="YS28" s="368"/>
    </row>
    <row r="29" spans="1:669" s="3" customFormat="1" ht="15" customHeight="1" x14ac:dyDescent="0.2">
      <c r="A29" s="931" t="s">
        <v>576</v>
      </c>
      <c r="B29" s="938" t="s">
        <v>389</v>
      </c>
      <c r="C29" s="942" t="s">
        <v>21</v>
      </c>
      <c r="D29" s="784">
        <v>44927</v>
      </c>
      <c r="E29" s="783">
        <v>45016</v>
      </c>
      <c r="F29" s="958">
        <v>34809</v>
      </c>
      <c r="G29" s="961">
        <f>I29-H29</f>
        <v>0</v>
      </c>
      <c r="H29" s="963">
        <f>'February''23 AR Aging '!G70</f>
        <v>20188.84</v>
      </c>
      <c r="I29" s="961">
        <v>20188.84</v>
      </c>
      <c r="J29" s="963">
        <f>F29-I29</f>
        <v>14620.16</v>
      </c>
      <c r="K29" s="945"/>
      <c r="L29" s="248"/>
      <c r="M29" s="282"/>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row>
    <row r="30" spans="1:669" s="3" customFormat="1" ht="15" hidden="1" x14ac:dyDescent="0.25">
      <c r="A30" s="922" t="s">
        <v>472</v>
      </c>
      <c r="B30" s="617" t="s">
        <v>305</v>
      </c>
      <c r="C30" s="6" t="s">
        <v>21</v>
      </c>
      <c r="D30" s="290">
        <v>44562</v>
      </c>
      <c r="E30" s="7">
        <v>44926</v>
      </c>
      <c r="F30" s="307"/>
      <c r="G30" s="308"/>
      <c r="H30" s="307"/>
      <c r="I30" s="308"/>
      <c r="J30" s="307"/>
      <c r="K30" s="923"/>
      <c r="L30" s="705"/>
      <c r="M30" s="282"/>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row>
    <row r="31" spans="1:669" s="3" customFormat="1" ht="15" x14ac:dyDescent="0.25">
      <c r="A31" s="924" t="s">
        <v>472</v>
      </c>
      <c r="B31" s="935" t="s">
        <v>305</v>
      </c>
      <c r="C31" s="915" t="s">
        <v>21</v>
      </c>
      <c r="D31" s="719">
        <v>44927</v>
      </c>
      <c r="E31" s="779">
        <v>45291</v>
      </c>
      <c r="F31" s="953">
        <v>18000</v>
      </c>
      <c r="G31" s="766">
        <f>I31-H31</f>
        <v>0</v>
      </c>
      <c r="H31" s="953">
        <f>'February''23 AR Aging '!G40</f>
        <v>3000</v>
      </c>
      <c r="I31" s="766">
        <f>1500*2</f>
        <v>3000</v>
      </c>
      <c r="J31" s="953">
        <f>F31-I31</f>
        <v>15000</v>
      </c>
      <c r="K31" s="945"/>
      <c r="L31" s="248"/>
      <c r="M31" s="282"/>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row>
    <row r="32" spans="1:669" s="3" customFormat="1" hidden="1" x14ac:dyDescent="0.2">
      <c r="A32" s="924"/>
      <c r="B32" s="935"/>
      <c r="C32" s="915"/>
      <c r="D32" s="719"/>
      <c r="E32" s="779"/>
      <c r="F32" s="953"/>
      <c r="G32" s="766"/>
      <c r="H32" s="953"/>
      <c r="I32" s="766"/>
      <c r="J32" s="953"/>
      <c r="K32" s="945"/>
      <c r="L32" s="248"/>
      <c r="M32" s="282"/>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row>
    <row r="33" spans="1:669" s="3" customFormat="1" hidden="1" x14ac:dyDescent="0.2">
      <c r="A33" s="932" t="s">
        <v>430</v>
      </c>
      <c r="B33" s="606" t="s">
        <v>179</v>
      </c>
      <c r="C33" s="6" t="s">
        <v>453</v>
      </c>
      <c r="D33" s="290">
        <v>44083</v>
      </c>
      <c r="E33" s="7">
        <v>44435</v>
      </c>
      <c r="F33" s="302"/>
      <c r="G33" s="308"/>
      <c r="H33" s="307"/>
      <c r="I33" s="308"/>
      <c r="J33" s="307"/>
      <c r="K33" s="923"/>
      <c r="L33" s="248"/>
      <c r="M33" s="282"/>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row>
    <row r="34" spans="1:669" s="3" customFormat="1" ht="15" thickBot="1" x14ac:dyDescent="0.25">
      <c r="A34" s="933" t="s">
        <v>504</v>
      </c>
      <c r="B34" s="381" t="s">
        <v>179</v>
      </c>
      <c r="C34" s="943" t="s">
        <v>453</v>
      </c>
      <c r="D34" s="382">
        <v>44783</v>
      </c>
      <c r="E34" s="770">
        <v>45142</v>
      </c>
      <c r="F34" s="734">
        <v>67748</v>
      </c>
      <c r="G34" s="771">
        <f>I34-H34</f>
        <v>21010.019999999997</v>
      </c>
      <c r="H34" s="303">
        <f>'February''23 AR Aging '!G60</f>
        <v>4487.3500000000004</v>
      </c>
      <c r="I34" s="771">
        <v>25497.37</v>
      </c>
      <c r="J34" s="303">
        <f>F34-I34</f>
        <v>42250.630000000005</v>
      </c>
      <c r="K34" s="948"/>
      <c r="L34" s="248"/>
      <c r="M34" s="282"/>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row>
    <row r="35" spans="1:669" s="17" customFormat="1" ht="16.5" thickBot="1" x14ac:dyDescent="0.3">
      <c r="A35" s="257" t="s">
        <v>33</v>
      </c>
      <c r="B35" s="258"/>
      <c r="C35" s="259"/>
      <c r="D35" s="260"/>
      <c r="E35" s="260"/>
      <c r="F35" s="284"/>
      <c r="G35" s="284">
        <f>SUM(G9:G34)</f>
        <v>259078.94666666668</v>
      </c>
      <c r="H35" s="284">
        <f>SUM(H7:H34)</f>
        <v>320963.96000000002</v>
      </c>
      <c r="I35" s="284">
        <f>SUM(I9:I34)</f>
        <v>580042.90666666673</v>
      </c>
      <c r="J35" s="284">
        <f>SUM(J9:J34)</f>
        <v>521208.09333333327</v>
      </c>
      <c r="K35" s="284">
        <f>SUM(K9:K34)</f>
        <v>0</v>
      </c>
      <c r="L35" s="47"/>
      <c r="M35" s="37"/>
      <c r="N35" s="37"/>
      <c r="O35" s="37"/>
      <c r="P35" s="37"/>
      <c r="Q35" s="37"/>
      <c r="R35" s="37"/>
      <c r="S35" s="37"/>
      <c r="T35" s="37"/>
      <c r="U35" s="37"/>
      <c r="V35" s="37"/>
      <c r="W35" s="37"/>
      <c r="X35" s="37"/>
      <c r="Y35" s="37"/>
      <c r="Z35" s="37"/>
      <c r="AA35" s="37"/>
      <c r="AB35" s="38"/>
      <c r="AC35" s="38"/>
      <c r="AD35" s="38"/>
      <c r="AE35" s="38"/>
      <c r="AF35" s="38"/>
      <c r="AG35" s="38"/>
      <c r="AH35" s="38"/>
      <c r="AI35" s="38"/>
      <c r="AJ35" s="38"/>
      <c r="AK35" s="38"/>
      <c r="AL35" s="38"/>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c r="IT35" s="39"/>
      <c r="IU35" s="39"/>
      <c r="IV35" s="39"/>
      <c r="IW35" s="39"/>
      <c r="IX35" s="39"/>
      <c r="IY35" s="39"/>
      <c r="IZ35" s="39"/>
      <c r="JA35" s="39"/>
      <c r="JB35" s="39"/>
      <c r="JC35" s="39"/>
      <c r="JD35" s="39"/>
      <c r="JE35" s="39"/>
      <c r="JF35" s="39"/>
      <c r="JG35" s="39"/>
      <c r="JH35" s="39"/>
      <c r="JI35" s="39"/>
      <c r="JJ35" s="39"/>
      <c r="JK35" s="39"/>
      <c r="JL35" s="39"/>
      <c r="JM35" s="39"/>
      <c r="JN35" s="39"/>
      <c r="JO35" s="39"/>
      <c r="JP35" s="39"/>
      <c r="JQ35" s="39"/>
      <c r="JR35" s="39"/>
      <c r="JS35" s="39"/>
      <c r="JT35" s="39"/>
      <c r="JU35" s="39"/>
      <c r="JV35" s="39"/>
      <c r="JW35" s="39"/>
      <c r="JX35" s="39"/>
      <c r="JY35" s="39"/>
      <c r="JZ35" s="39"/>
      <c r="KA35" s="39"/>
      <c r="KB35" s="39"/>
      <c r="KC35" s="39"/>
      <c r="KD35" s="39"/>
      <c r="KE35" s="39"/>
      <c r="KF35" s="39"/>
      <c r="KG35" s="39"/>
      <c r="KH35" s="39"/>
      <c r="KI35" s="39"/>
      <c r="KJ35" s="39"/>
      <c r="KK35" s="39"/>
      <c r="KL35" s="39"/>
      <c r="KM35" s="39"/>
      <c r="KN35" s="39"/>
      <c r="KO35" s="39"/>
      <c r="KP35" s="39"/>
      <c r="KQ35" s="39"/>
      <c r="KR35" s="39"/>
      <c r="KS35" s="39"/>
      <c r="KT35" s="39"/>
      <c r="KU35" s="39"/>
      <c r="KV35" s="39"/>
      <c r="KW35" s="39"/>
      <c r="KX35" s="39"/>
      <c r="KY35" s="39"/>
      <c r="KZ35" s="39"/>
      <c r="LA35" s="39"/>
      <c r="LB35" s="39"/>
      <c r="LC35" s="39"/>
      <c r="LD35" s="39"/>
      <c r="LE35" s="39"/>
      <c r="LF35" s="39"/>
      <c r="LG35" s="39"/>
      <c r="LH35" s="39"/>
      <c r="LI35" s="39"/>
      <c r="LJ35" s="39"/>
      <c r="LK35" s="39"/>
      <c r="LL35" s="39"/>
      <c r="LM35" s="39"/>
      <c r="LN35" s="39"/>
      <c r="LO35" s="39"/>
      <c r="LP35" s="39"/>
      <c r="LQ35" s="39"/>
      <c r="LR35" s="39"/>
      <c r="LS35" s="39"/>
      <c r="LT35" s="39"/>
      <c r="LU35" s="39"/>
      <c r="LV35" s="39"/>
      <c r="LW35" s="39"/>
      <c r="LX35" s="39"/>
      <c r="LY35" s="39"/>
      <c r="LZ35" s="39"/>
      <c r="MA35" s="39"/>
      <c r="MB35" s="39"/>
      <c r="MC35" s="39"/>
      <c r="MD35" s="39"/>
      <c r="ME35" s="39"/>
      <c r="MF35" s="39"/>
      <c r="MG35" s="39"/>
      <c r="MH35" s="39"/>
      <c r="MI35" s="39"/>
      <c r="MJ35" s="39"/>
      <c r="MK35" s="39"/>
      <c r="ML35" s="39"/>
      <c r="MM35" s="39"/>
      <c r="MN35" s="39"/>
      <c r="MO35" s="39"/>
      <c r="MP35" s="39"/>
      <c r="MQ35" s="39"/>
      <c r="MR35" s="39"/>
      <c r="MS35" s="39"/>
      <c r="MT35" s="39"/>
      <c r="MU35" s="39"/>
      <c r="MV35" s="39"/>
      <c r="MW35" s="39"/>
      <c r="MX35" s="39"/>
      <c r="MY35" s="39"/>
      <c r="MZ35" s="39"/>
      <c r="NA35" s="39"/>
      <c r="NB35" s="39"/>
      <c r="NC35" s="39"/>
      <c r="ND35" s="39"/>
      <c r="NE35" s="39"/>
      <c r="NF35" s="39"/>
      <c r="NG35" s="39"/>
      <c r="NH35" s="39"/>
      <c r="NI35" s="39"/>
      <c r="NJ35" s="39"/>
      <c r="NK35" s="39"/>
      <c r="NL35" s="39"/>
      <c r="NM35" s="39"/>
      <c r="NN35" s="39"/>
      <c r="NO35" s="39"/>
      <c r="NP35" s="39"/>
      <c r="NQ35" s="39"/>
      <c r="NR35" s="39"/>
      <c r="NS35" s="39"/>
      <c r="NT35" s="39"/>
      <c r="NU35" s="39"/>
      <c r="NV35" s="39"/>
      <c r="NW35" s="39"/>
      <c r="NX35" s="39"/>
      <c r="NY35" s="39"/>
      <c r="NZ35" s="39"/>
      <c r="OA35" s="39"/>
      <c r="OB35" s="39"/>
      <c r="OC35" s="39"/>
      <c r="OD35" s="39"/>
      <c r="OE35" s="39"/>
      <c r="OF35" s="39"/>
      <c r="OG35" s="39"/>
      <c r="OH35" s="39"/>
      <c r="OI35" s="39"/>
      <c r="OJ35" s="39"/>
      <c r="OK35" s="39"/>
      <c r="OL35" s="39"/>
      <c r="OM35" s="39"/>
      <c r="ON35" s="39"/>
      <c r="OO35" s="39"/>
      <c r="OP35" s="39"/>
      <c r="OQ35" s="39"/>
      <c r="OR35" s="39"/>
      <c r="OS35" s="39"/>
      <c r="OT35" s="39"/>
      <c r="OU35" s="39"/>
      <c r="OV35" s="39"/>
      <c r="OW35" s="39"/>
      <c r="OX35" s="39"/>
      <c r="OY35" s="39"/>
      <c r="OZ35" s="39"/>
      <c r="PA35" s="39"/>
      <c r="PB35" s="39"/>
      <c r="PC35" s="39"/>
      <c r="PD35" s="39"/>
      <c r="PE35" s="39"/>
      <c r="PF35" s="39"/>
      <c r="PG35" s="39"/>
      <c r="PH35" s="39"/>
      <c r="PI35" s="39"/>
      <c r="PJ35" s="39"/>
      <c r="PK35" s="39"/>
      <c r="PL35" s="39"/>
      <c r="PM35" s="39"/>
      <c r="PN35" s="39"/>
      <c r="PO35" s="39"/>
      <c r="PP35" s="39"/>
      <c r="PQ35" s="39"/>
      <c r="PR35" s="39"/>
      <c r="PS35" s="39"/>
      <c r="PT35" s="39"/>
      <c r="PU35" s="39"/>
      <c r="PV35" s="39"/>
      <c r="PW35" s="39"/>
      <c r="PX35" s="39"/>
      <c r="PY35" s="39"/>
      <c r="PZ35" s="39"/>
      <c r="QA35" s="39"/>
      <c r="QB35" s="39"/>
      <c r="QC35" s="39"/>
      <c r="QD35" s="39"/>
      <c r="QE35" s="39"/>
      <c r="QF35" s="39"/>
      <c r="QG35" s="39"/>
      <c r="QH35" s="39"/>
      <c r="QI35" s="39"/>
      <c r="QJ35" s="39"/>
      <c r="QK35" s="39"/>
      <c r="QL35" s="39"/>
      <c r="QM35" s="39"/>
      <c r="QN35" s="39"/>
      <c r="QO35" s="39"/>
      <c r="QP35" s="39"/>
      <c r="QQ35" s="39"/>
      <c r="QR35" s="39"/>
      <c r="QS35" s="39"/>
      <c r="QT35" s="39"/>
      <c r="QU35" s="39"/>
      <c r="QV35" s="39"/>
      <c r="QW35" s="39"/>
      <c r="QX35" s="39"/>
      <c r="QY35" s="39"/>
      <c r="QZ35" s="39"/>
      <c r="RA35" s="39"/>
      <c r="RB35" s="39"/>
      <c r="RC35" s="39"/>
      <c r="RD35" s="39"/>
      <c r="RE35" s="39"/>
      <c r="RF35" s="39"/>
      <c r="RG35" s="39"/>
      <c r="RH35" s="39"/>
      <c r="RI35" s="39"/>
      <c r="RJ35" s="39"/>
      <c r="RK35" s="39"/>
      <c r="RL35" s="39"/>
      <c r="RM35" s="39"/>
      <c r="RN35" s="39"/>
      <c r="RO35" s="39"/>
      <c r="RP35" s="39"/>
      <c r="RQ35" s="39"/>
      <c r="RR35" s="39"/>
      <c r="RS35" s="39"/>
      <c r="RT35" s="39"/>
      <c r="RU35" s="39"/>
      <c r="RV35" s="39"/>
      <c r="RW35" s="39"/>
      <c r="RX35" s="39"/>
      <c r="RY35" s="39"/>
      <c r="RZ35" s="39"/>
      <c r="SA35" s="39"/>
      <c r="SB35" s="39"/>
      <c r="SC35" s="39"/>
      <c r="SD35" s="39"/>
      <c r="SE35" s="39"/>
      <c r="SF35" s="39"/>
      <c r="SG35" s="39"/>
      <c r="SH35" s="39"/>
      <c r="SI35" s="39"/>
      <c r="SJ35" s="39"/>
      <c r="SK35" s="39"/>
      <c r="SL35" s="39"/>
      <c r="SM35" s="39"/>
      <c r="SN35" s="39"/>
      <c r="SO35" s="39"/>
      <c r="SP35" s="39"/>
      <c r="SQ35" s="39"/>
      <c r="SR35" s="39"/>
      <c r="SS35" s="39"/>
      <c r="ST35" s="39"/>
      <c r="SU35" s="39"/>
      <c r="SV35" s="39"/>
      <c r="SW35" s="39"/>
      <c r="SX35" s="39"/>
      <c r="SY35" s="39"/>
      <c r="SZ35" s="39"/>
      <c r="TA35" s="39"/>
      <c r="TB35" s="39"/>
      <c r="TC35" s="39"/>
      <c r="TD35" s="39"/>
      <c r="TE35" s="39"/>
      <c r="TF35" s="39"/>
      <c r="TG35" s="39"/>
      <c r="TH35" s="39"/>
      <c r="TI35" s="39"/>
      <c r="TJ35" s="39"/>
      <c r="TK35" s="39"/>
      <c r="TL35" s="39"/>
      <c r="TM35" s="39"/>
      <c r="TN35" s="39"/>
      <c r="TO35" s="39"/>
      <c r="TP35" s="39"/>
      <c r="TQ35" s="39"/>
      <c r="TR35" s="39"/>
      <c r="TS35" s="39"/>
      <c r="TT35" s="39"/>
      <c r="TU35" s="39"/>
      <c r="TV35" s="39"/>
      <c r="TW35" s="39"/>
      <c r="TX35" s="39"/>
      <c r="TY35" s="39"/>
      <c r="TZ35" s="39"/>
      <c r="UA35" s="39"/>
      <c r="UB35" s="39"/>
      <c r="UC35" s="39"/>
      <c r="UD35" s="39"/>
      <c r="UE35" s="39"/>
      <c r="UF35" s="39"/>
      <c r="UG35" s="39"/>
      <c r="UH35" s="39"/>
      <c r="UI35" s="39"/>
      <c r="UJ35" s="39"/>
      <c r="UK35" s="39"/>
      <c r="UL35" s="39"/>
      <c r="UM35" s="39"/>
      <c r="UN35" s="39"/>
      <c r="UO35" s="39"/>
      <c r="UP35" s="39"/>
      <c r="UQ35" s="39"/>
      <c r="UR35" s="39"/>
      <c r="US35" s="39"/>
      <c r="UT35" s="39"/>
      <c r="UU35" s="39"/>
      <c r="UV35" s="39"/>
      <c r="UW35" s="39"/>
      <c r="UX35" s="39"/>
      <c r="UY35" s="39"/>
      <c r="UZ35" s="39"/>
      <c r="VA35" s="39"/>
      <c r="VB35" s="39"/>
      <c r="VC35" s="39"/>
      <c r="VD35" s="39"/>
      <c r="VE35" s="39"/>
      <c r="VF35" s="39"/>
      <c r="VG35" s="39"/>
      <c r="VH35" s="39"/>
      <c r="VI35" s="39"/>
      <c r="VJ35" s="39"/>
      <c r="VK35" s="39"/>
      <c r="VL35" s="39"/>
      <c r="VM35" s="39"/>
      <c r="VN35" s="39"/>
      <c r="VO35" s="39"/>
      <c r="VP35" s="39"/>
      <c r="VQ35" s="39"/>
      <c r="VR35" s="39"/>
      <c r="VS35" s="39"/>
      <c r="VT35" s="39"/>
      <c r="VU35" s="39"/>
      <c r="VV35" s="39"/>
      <c r="VW35" s="39"/>
      <c r="VX35" s="39"/>
      <c r="VY35" s="39"/>
      <c r="VZ35" s="39"/>
      <c r="WA35" s="39"/>
      <c r="WB35" s="39"/>
      <c r="WC35" s="39"/>
      <c r="WD35" s="39"/>
      <c r="WE35" s="39"/>
      <c r="WF35" s="39"/>
      <c r="WG35" s="39"/>
      <c r="WH35" s="39"/>
      <c r="WI35" s="39"/>
      <c r="WJ35" s="39"/>
      <c r="WK35" s="39"/>
      <c r="WL35" s="39"/>
      <c r="WM35" s="39"/>
      <c r="WN35" s="39"/>
      <c r="WO35" s="39"/>
      <c r="WP35" s="39"/>
      <c r="WQ35" s="39"/>
      <c r="WR35" s="39"/>
      <c r="WS35" s="39"/>
      <c r="WT35" s="39"/>
      <c r="WU35" s="39"/>
      <c r="WV35" s="39"/>
      <c r="WW35" s="39"/>
      <c r="WX35" s="39"/>
      <c r="WY35" s="39"/>
      <c r="WZ35" s="39"/>
      <c r="XA35" s="39"/>
      <c r="XB35" s="39"/>
      <c r="XC35" s="39"/>
      <c r="XD35" s="39"/>
      <c r="XE35" s="39"/>
      <c r="XF35" s="39"/>
      <c r="XG35" s="39"/>
      <c r="XH35" s="39"/>
      <c r="XI35" s="39"/>
      <c r="XJ35" s="39"/>
      <c r="XK35" s="39"/>
      <c r="XL35" s="39"/>
      <c r="XM35" s="39"/>
      <c r="XN35" s="39"/>
      <c r="XO35" s="39"/>
      <c r="XP35" s="39"/>
      <c r="XQ35" s="39"/>
      <c r="XR35" s="39"/>
      <c r="XS35" s="39"/>
      <c r="XT35" s="39"/>
      <c r="XU35" s="39"/>
      <c r="XV35" s="39"/>
      <c r="XW35" s="39"/>
      <c r="XX35" s="39"/>
      <c r="XY35" s="39"/>
      <c r="XZ35" s="39"/>
      <c r="YA35" s="39"/>
      <c r="YB35" s="39"/>
      <c r="YC35" s="39"/>
      <c r="YD35" s="39"/>
      <c r="YE35" s="39"/>
      <c r="YF35" s="39"/>
      <c r="YG35" s="39"/>
      <c r="YH35" s="39"/>
      <c r="YI35" s="39"/>
      <c r="YJ35" s="39"/>
      <c r="YK35" s="39"/>
      <c r="YL35" s="39"/>
      <c r="YM35" s="39"/>
      <c r="YN35" s="39"/>
      <c r="YO35" s="39"/>
      <c r="YP35" s="39"/>
      <c r="YQ35" s="39"/>
      <c r="YR35" s="39"/>
      <c r="YS35" s="39"/>
    </row>
    <row r="36" spans="1:669" s="18" customFormat="1" x14ac:dyDescent="0.2">
      <c r="A36" s="777"/>
      <c r="B36" s="777"/>
      <c r="C36" s="19"/>
      <c r="D36" s="777"/>
      <c r="E36" s="283"/>
      <c r="F36" s="29"/>
      <c r="G36" s="29"/>
      <c r="I36" s="29"/>
      <c r="J36" s="29"/>
      <c r="K36" s="29"/>
      <c r="L36" s="29"/>
      <c r="M36" s="29"/>
      <c r="N36" s="29"/>
      <c r="O36" s="29"/>
      <c r="P36" s="29"/>
      <c r="Q36" s="29"/>
      <c r="R36" s="29"/>
      <c r="S36" s="29"/>
      <c r="T36" s="29"/>
      <c r="U36" s="29"/>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row>
    <row r="37" spans="1:669" s="18" customFormat="1" ht="10.5" customHeight="1" thickBot="1" x14ac:dyDescent="0.25">
      <c r="A37" s="1"/>
      <c r="B37" s="44"/>
      <c r="C37" s="6"/>
      <c r="D37" s="6"/>
      <c r="E37" s="6"/>
      <c r="F37" s="29"/>
      <c r="G37" s="29"/>
      <c r="H37" s="29"/>
      <c r="I37" s="29"/>
      <c r="J37" s="29"/>
      <c r="K37" s="29"/>
      <c r="L37" s="29"/>
      <c r="M37" s="29"/>
      <c r="N37" s="29"/>
      <c r="O37" s="29"/>
      <c r="P37" s="29"/>
      <c r="Q37" s="29"/>
      <c r="R37" s="29"/>
      <c r="S37" s="29"/>
      <c r="T37" s="29"/>
      <c r="U37" s="29"/>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row>
    <row r="38" spans="1:669" s="22" customFormat="1" ht="16.5" thickBot="1" x14ac:dyDescent="0.3">
      <c r="A38" s="298" t="s">
        <v>35</v>
      </c>
      <c r="B38" s="156"/>
      <c r="C38" s="157"/>
      <c r="D38" s="157"/>
      <c r="E38" s="157"/>
      <c r="F38" s="158"/>
      <c r="G38" s="158"/>
      <c r="H38" s="158"/>
      <c r="I38" s="158"/>
      <c r="J38" s="158"/>
      <c r="K38" s="159"/>
      <c r="L38" s="29"/>
      <c r="M38" s="29"/>
      <c r="N38" s="29"/>
      <c r="O38" s="29"/>
      <c r="P38" s="29"/>
      <c r="Q38" s="29"/>
      <c r="R38" s="29"/>
      <c r="S38" s="29"/>
      <c r="T38" s="29"/>
      <c r="U38" s="29"/>
      <c r="V38" s="29"/>
      <c r="W38" s="29"/>
      <c r="X38" s="29"/>
      <c r="Y38" s="29"/>
      <c r="Z38" s="29"/>
      <c r="AA38" s="29"/>
      <c r="AB38" s="11"/>
      <c r="AC38" s="11"/>
      <c r="AD38" s="11"/>
      <c r="AE38" s="11"/>
      <c r="AF38" s="11"/>
      <c r="AG38" s="11"/>
      <c r="AH38" s="11"/>
      <c r="AI38" s="11"/>
      <c r="AJ38" s="11"/>
      <c r="AK38" s="11"/>
      <c r="AL38" s="1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row>
    <row r="39" spans="1:669" s="20" customFormat="1" ht="45.75" thickBot="1" x14ac:dyDescent="0.25">
      <c r="A39" s="314" t="s">
        <v>22</v>
      </c>
      <c r="B39" s="1012" t="s">
        <v>12</v>
      </c>
      <c r="C39" s="1013"/>
      <c r="D39" s="314" t="s">
        <v>2</v>
      </c>
      <c r="E39" s="908" t="s">
        <v>3</v>
      </c>
      <c r="F39" s="319" t="s">
        <v>23</v>
      </c>
      <c r="G39" s="319" t="s">
        <v>475</v>
      </c>
      <c r="H39" s="319" t="s">
        <v>163</v>
      </c>
      <c r="I39" s="319" t="s">
        <v>19</v>
      </c>
      <c r="J39" s="319" t="s">
        <v>331</v>
      </c>
      <c r="K39" s="319" t="s">
        <v>4</v>
      </c>
      <c r="L39" s="35"/>
      <c r="M39" s="35"/>
      <c r="N39" s="35"/>
      <c r="O39" s="35"/>
      <c r="P39" s="35"/>
      <c r="Q39" s="35"/>
      <c r="R39" s="35"/>
      <c r="S39" s="35"/>
      <c r="T39" s="35"/>
      <c r="U39" s="6"/>
      <c r="V39" s="35"/>
      <c r="W39" s="35"/>
      <c r="X39" s="35"/>
      <c r="Y39" s="35"/>
      <c r="Z39" s="35"/>
      <c r="AA39" s="35"/>
      <c r="AB39" s="36"/>
      <c r="AC39" s="36"/>
      <c r="AD39" s="36"/>
      <c r="AE39" s="36"/>
      <c r="AF39" s="36"/>
      <c r="AG39" s="36"/>
      <c r="AH39" s="36"/>
      <c r="AI39" s="36"/>
      <c r="AJ39" s="36"/>
      <c r="AK39" s="36"/>
      <c r="AL39" s="3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row>
    <row r="40" spans="1:669" hidden="1" x14ac:dyDescent="0.2">
      <c r="A40" s="286" t="s">
        <v>15</v>
      </c>
      <c r="B40" s="1018" t="s">
        <v>11</v>
      </c>
      <c r="C40" s="1019"/>
      <c r="D40" s="290">
        <v>41275</v>
      </c>
      <c r="E40" s="944">
        <v>41639</v>
      </c>
      <c r="F40" s="293"/>
      <c r="G40" s="293">
        <v>0</v>
      </c>
      <c r="H40" s="293"/>
      <c r="I40" s="293">
        <f>F40-H40</f>
        <v>0</v>
      </c>
      <c r="J40" s="293">
        <v>0</v>
      </c>
      <c r="K40" s="293">
        <f t="shared" ref="K40:K46" si="0">I40</f>
        <v>0</v>
      </c>
      <c r="L40" s="29"/>
      <c r="M40" s="29"/>
      <c r="N40" s="29"/>
    </row>
    <row r="41" spans="1:669" hidden="1" x14ac:dyDescent="0.2">
      <c r="A41" s="286" t="s">
        <v>262</v>
      </c>
      <c r="B41" s="1018" t="s">
        <v>11</v>
      </c>
      <c r="C41" s="1019"/>
      <c r="D41" s="290">
        <v>42736</v>
      </c>
      <c r="E41" s="944">
        <v>43100</v>
      </c>
      <c r="F41" s="293"/>
      <c r="G41" s="293">
        <v>0</v>
      </c>
      <c r="H41" s="293">
        <v>25000</v>
      </c>
      <c r="I41" s="293">
        <f>25000-H41</f>
        <v>0</v>
      </c>
      <c r="J41" s="293"/>
      <c r="K41" s="380">
        <f t="shared" si="0"/>
        <v>0</v>
      </c>
      <c r="L41" s="29"/>
      <c r="M41" s="29"/>
      <c r="N41" s="29"/>
    </row>
    <row r="42" spans="1:669" hidden="1" x14ac:dyDescent="0.2">
      <c r="A42" s="286" t="s">
        <v>316</v>
      </c>
      <c r="B42" s="1018" t="s">
        <v>11</v>
      </c>
      <c r="C42" s="1019"/>
      <c r="D42" s="290">
        <v>43466</v>
      </c>
      <c r="E42" s="944">
        <v>43830</v>
      </c>
      <c r="F42" s="293"/>
      <c r="G42" s="293"/>
      <c r="H42" s="293"/>
      <c r="I42" s="293"/>
      <c r="J42" s="293"/>
      <c r="K42" s="711"/>
      <c r="L42" s="29"/>
      <c r="M42" s="29"/>
      <c r="N42" s="29"/>
    </row>
    <row r="43" spans="1:669" ht="15" hidden="1" x14ac:dyDescent="0.25">
      <c r="A43" s="768" t="s">
        <v>401</v>
      </c>
      <c r="B43" s="1024" t="s">
        <v>11</v>
      </c>
      <c r="C43" s="1019"/>
      <c r="D43" s="769">
        <v>43831</v>
      </c>
      <c r="E43" s="7">
        <v>44196</v>
      </c>
      <c r="F43" s="735"/>
      <c r="G43" s="308"/>
      <c r="H43" s="735"/>
      <c r="I43" s="308">
        <f>F43-H43</f>
        <v>0</v>
      </c>
      <c r="J43" s="735"/>
      <c r="K43" s="773">
        <f>I43</f>
        <v>0</v>
      </c>
      <c r="L43" s="29"/>
      <c r="M43" s="29"/>
      <c r="N43" s="29"/>
    </row>
    <row r="44" spans="1:669" hidden="1" x14ac:dyDescent="0.2">
      <c r="A44" s="286"/>
      <c r="B44" s="1024"/>
      <c r="C44" s="1019"/>
      <c r="D44" s="290"/>
      <c r="E44" s="7"/>
      <c r="F44" s="293"/>
      <c r="G44" s="308"/>
      <c r="H44" s="293"/>
      <c r="I44" s="308"/>
      <c r="J44" s="293"/>
      <c r="K44" s="307"/>
      <c r="L44" s="29"/>
      <c r="M44" s="29"/>
      <c r="N44" s="29"/>
    </row>
    <row r="45" spans="1:669" hidden="1" x14ac:dyDescent="0.2">
      <c r="A45" s="286" t="s">
        <v>433</v>
      </c>
      <c r="B45" s="1024" t="s">
        <v>11</v>
      </c>
      <c r="C45" s="1019"/>
      <c r="D45" s="290">
        <v>44105</v>
      </c>
      <c r="E45" s="7" t="s">
        <v>403</v>
      </c>
      <c r="F45" s="293"/>
      <c r="G45" s="308"/>
      <c r="H45" s="293"/>
      <c r="I45" s="308"/>
      <c r="J45" s="293"/>
      <c r="K45" s="307"/>
      <c r="L45" s="29"/>
      <c r="M45" s="29"/>
      <c r="N45" s="29"/>
    </row>
    <row r="46" spans="1:669" ht="15" hidden="1" x14ac:dyDescent="0.25">
      <c r="A46" s="286" t="s">
        <v>473</v>
      </c>
      <c r="B46" s="1024" t="s">
        <v>11</v>
      </c>
      <c r="C46" s="1019"/>
      <c r="D46" s="290">
        <v>44562</v>
      </c>
      <c r="E46" s="7">
        <v>44926</v>
      </c>
      <c r="F46" s="293"/>
      <c r="G46" s="308"/>
      <c r="H46" s="293"/>
      <c r="I46" s="308"/>
      <c r="J46" s="293"/>
      <c r="K46" s="307"/>
      <c r="L46" s="29"/>
      <c r="M46" s="29"/>
      <c r="N46" s="29"/>
    </row>
    <row r="47" spans="1:669" ht="15" x14ac:dyDescent="0.25">
      <c r="A47" s="286" t="s">
        <v>577</v>
      </c>
      <c r="B47" s="1024" t="s">
        <v>11</v>
      </c>
      <c r="C47" s="1019"/>
      <c r="D47" s="290">
        <v>44927</v>
      </c>
      <c r="E47" s="7">
        <v>45291</v>
      </c>
      <c r="F47" s="293">
        <v>27500</v>
      </c>
      <c r="G47" s="308">
        <v>27500</v>
      </c>
      <c r="H47" s="293">
        <v>4521.3500000000004</v>
      </c>
      <c r="I47" s="308">
        <f>F47-H47</f>
        <v>22978.65</v>
      </c>
      <c r="J47" s="293"/>
      <c r="K47" s="307">
        <f t="shared" ref="K47" si="1">I47</f>
        <v>22978.65</v>
      </c>
      <c r="L47" s="29"/>
      <c r="M47" s="29"/>
      <c r="N47" s="29"/>
    </row>
    <row r="48" spans="1:669" hidden="1" x14ac:dyDescent="0.2">
      <c r="A48" s="286" t="s">
        <v>467</v>
      </c>
      <c r="B48" s="1024" t="s">
        <v>11</v>
      </c>
      <c r="C48" s="1019"/>
      <c r="D48" s="290">
        <v>44228</v>
      </c>
      <c r="E48" s="7">
        <v>44592</v>
      </c>
      <c r="F48" s="293"/>
      <c r="G48" s="308"/>
      <c r="H48" s="293"/>
      <c r="I48" s="308"/>
      <c r="J48" s="293"/>
      <c r="K48" s="307"/>
      <c r="L48" s="29"/>
      <c r="M48" s="29"/>
      <c r="N48" s="29"/>
    </row>
    <row r="49" spans="1:669" hidden="1" x14ac:dyDescent="0.2">
      <c r="A49" s="286" t="s">
        <v>474</v>
      </c>
      <c r="B49" s="1024" t="s">
        <v>11</v>
      </c>
      <c r="C49" s="1019"/>
      <c r="D49" s="290">
        <v>44228</v>
      </c>
      <c r="E49" s="7">
        <v>44592</v>
      </c>
      <c r="F49" s="293"/>
      <c r="G49" s="308"/>
      <c r="H49" s="293"/>
      <c r="I49" s="308"/>
      <c r="J49" s="293"/>
      <c r="K49" s="307"/>
      <c r="L49" s="29"/>
      <c r="M49" s="29"/>
      <c r="N49" s="29"/>
    </row>
    <row r="50" spans="1:669" ht="15" x14ac:dyDescent="0.25">
      <c r="A50" s="286" t="s">
        <v>616</v>
      </c>
      <c r="B50" s="1024" t="s">
        <v>11</v>
      </c>
      <c r="C50" s="1019"/>
      <c r="D50" s="290">
        <v>44896</v>
      </c>
      <c r="E50" s="7">
        <v>45322</v>
      </c>
      <c r="F50" s="293">
        <v>5000</v>
      </c>
      <c r="G50" s="308">
        <f>5000-413.29-750.54</f>
        <v>3836.17</v>
      </c>
      <c r="H50" s="293">
        <f>422.36+302.65</f>
        <v>725.01</v>
      </c>
      <c r="I50" s="308">
        <f>G50-H50</f>
        <v>3111.16</v>
      </c>
      <c r="J50" s="293"/>
      <c r="K50" s="307">
        <f>I50</f>
        <v>3111.16</v>
      </c>
      <c r="L50" s="29"/>
      <c r="M50" s="29"/>
      <c r="N50" s="29"/>
    </row>
    <row r="51" spans="1:669" x14ac:dyDescent="0.2">
      <c r="A51" s="286" t="s">
        <v>505</v>
      </c>
      <c r="B51" s="1024" t="s">
        <v>11</v>
      </c>
      <c r="C51" s="1019"/>
      <c r="D51" s="290">
        <v>44743</v>
      </c>
      <c r="E51" s="7">
        <v>45107</v>
      </c>
      <c r="F51" s="293">
        <v>100000</v>
      </c>
      <c r="G51" s="308">
        <v>100000</v>
      </c>
      <c r="H51" s="293">
        <v>7416.85</v>
      </c>
      <c r="I51" s="308">
        <f>G51-H51</f>
        <v>92583.15</v>
      </c>
      <c r="J51" s="293"/>
      <c r="K51" s="307">
        <f>I51</f>
        <v>92583.15</v>
      </c>
      <c r="L51" s="29"/>
      <c r="M51" s="29"/>
      <c r="N51" s="29"/>
    </row>
    <row r="52" spans="1:669" s="4" customFormat="1" x14ac:dyDescent="0.2">
      <c r="A52" s="286" t="s">
        <v>384</v>
      </c>
      <c r="B52" s="1022" t="s">
        <v>17</v>
      </c>
      <c r="C52" s="1023"/>
      <c r="D52" s="290">
        <v>44562</v>
      </c>
      <c r="E52" s="7">
        <v>45291</v>
      </c>
      <c r="F52" s="293">
        <v>100000</v>
      </c>
      <c r="G52" s="308">
        <v>50000</v>
      </c>
      <c r="H52" s="293">
        <v>8333.34</v>
      </c>
      <c r="I52" s="308">
        <f>G52-H52</f>
        <v>41666.660000000003</v>
      </c>
      <c r="J52" s="293"/>
      <c r="K52" s="307">
        <f>I52</f>
        <v>41666.660000000003</v>
      </c>
      <c r="L52" s="29"/>
      <c r="M52" s="29"/>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row>
    <row r="53" spans="1:669" s="4" customFormat="1" ht="15" hidden="1" x14ac:dyDescent="0.25">
      <c r="A53" s="286" t="s">
        <v>398</v>
      </c>
      <c r="B53" s="1015" t="s">
        <v>397</v>
      </c>
      <c r="C53" s="1015"/>
      <c r="D53" s="617"/>
      <c r="E53" s="777"/>
      <c r="F53" s="293"/>
      <c r="G53" s="308"/>
      <c r="H53" s="293"/>
      <c r="I53" s="308"/>
      <c r="J53" s="307"/>
      <c r="K53" s="380"/>
      <c r="L53" s="29"/>
      <c r="M53" s="29"/>
      <c r="N53" s="29"/>
      <c r="O53" s="29"/>
      <c r="P53" s="29"/>
      <c r="Q53" s="29"/>
      <c r="R53" s="29"/>
      <c r="S53" s="29"/>
      <c r="T53" s="29"/>
      <c r="U53" s="1"/>
      <c r="V53" s="29"/>
      <c r="W53" s="29"/>
      <c r="X53" s="29"/>
      <c r="Y53" s="29"/>
      <c r="Z53" s="29"/>
      <c r="AA53" s="29"/>
      <c r="AB53" s="11"/>
      <c r="AC53" s="11"/>
      <c r="AD53" s="11"/>
      <c r="AE53" s="11"/>
      <c r="AF53" s="11"/>
      <c r="AG53" s="11"/>
      <c r="AH53" s="11"/>
      <c r="AI53" s="11"/>
      <c r="AJ53" s="11"/>
      <c r="AK53" s="11"/>
      <c r="AL53" s="1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row>
    <row r="54" spans="1:669" s="18" customFormat="1" ht="15" x14ac:dyDescent="0.25">
      <c r="A54" s="286" t="s">
        <v>577</v>
      </c>
      <c r="B54" s="922" t="s">
        <v>402</v>
      </c>
      <c r="C54" s="906"/>
      <c r="D54" s="290">
        <v>44927</v>
      </c>
      <c r="E54" s="7">
        <v>45291</v>
      </c>
      <c r="F54" s="293">
        <v>50000</v>
      </c>
      <c r="G54" s="293">
        <v>50000</v>
      </c>
      <c r="H54" s="293">
        <f>50000/12*2</f>
        <v>8333.3333333333339</v>
      </c>
      <c r="I54" s="293">
        <f>G54-H54</f>
        <v>41666.666666666664</v>
      </c>
      <c r="J54" s="307">
        <f>I54</f>
        <v>41666.666666666664</v>
      </c>
      <c r="K54" s="380"/>
      <c r="L54" s="965"/>
      <c r="M54" s="308"/>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row>
    <row r="55" spans="1:669" s="2" customFormat="1" ht="15" thickBot="1" x14ac:dyDescent="0.25">
      <c r="A55" s="286" t="s">
        <v>18</v>
      </c>
      <c r="B55" s="1015" t="s">
        <v>39</v>
      </c>
      <c r="C55" s="1015"/>
      <c r="D55" s="290">
        <v>40226</v>
      </c>
      <c r="E55" s="6" t="s">
        <v>25</v>
      </c>
      <c r="F55" s="293">
        <f>8007.78+5000+50</f>
        <v>13057.779999999999</v>
      </c>
      <c r="G55" s="308">
        <v>898.7</v>
      </c>
      <c r="H55" s="293"/>
      <c r="I55" s="308">
        <f>+G55-H55</f>
        <v>898.7</v>
      </c>
      <c r="J55" s="293">
        <f>I55</f>
        <v>898.7</v>
      </c>
      <c r="K55" s="307"/>
      <c r="L55" s="29"/>
      <c r="M55" s="29"/>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row>
    <row r="56" spans="1:669" s="2" customFormat="1" ht="15" hidden="1" thickBot="1" x14ac:dyDescent="0.25">
      <c r="A56" s="286" t="s">
        <v>385</v>
      </c>
      <c r="B56" s="1015" t="s">
        <v>402</v>
      </c>
      <c r="C56" s="1015"/>
      <c r="D56" s="290">
        <v>43770</v>
      </c>
      <c r="E56" s="7">
        <v>44196</v>
      </c>
      <c r="F56" s="293"/>
      <c r="G56" s="308"/>
      <c r="H56" s="293"/>
      <c r="I56" s="308"/>
      <c r="J56" s="293"/>
      <c r="K56" s="307"/>
      <c r="L56" s="29"/>
      <c r="M56" s="29"/>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row>
    <row r="57" spans="1:669" s="2" customFormat="1" ht="15.75" thickBot="1" x14ac:dyDescent="0.3">
      <c r="A57" s="287"/>
      <c r="B57" s="1020"/>
      <c r="C57" s="1021"/>
      <c r="D57" s="382"/>
      <c r="E57" s="770"/>
      <c r="F57" s="734"/>
      <c r="G57" s="771"/>
      <c r="H57" s="294"/>
      <c r="I57" s="308"/>
      <c r="J57" s="294"/>
      <c r="K57" s="303"/>
      <c r="L57" s="772" t="s">
        <v>98</v>
      </c>
      <c r="M57" s="29"/>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row>
    <row r="58" spans="1:669" s="252" customFormat="1" ht="15.75" thickBot="1" x14ac:dyDescent="0.3">
      <c r="A58" s="285" t="s">
        <v>28</v>
      </c>
      <c r="B58" s="288"/>
      <c r="C58" s="288"/>
      <c r="D58" s="289"/>
      <c r="E58" s="289"/>
      <c r="F58" s="292">
        <f t="shared" ref="F58:K58" si="2">SUM(F40:F57)</f>
        <v>295557.78000000003</v>
      </c>
      <c r="G58" s="295">
        <f t="shared" si="2"/>
        <v>232234.87</v>
      </c>
      <c r="H58" s="787">
        <f t="shared" si="2"/>
        <v>54329.883333333339</v>
      </c>
      <c r="I58" s="788">
        <f t="shared" si="2"/>
        <v>202904.98666666666</v>
      </c>
      <c r="J58" s="296">
        <f t="shared" si="2"/>
        <v>42565.366666666661</v>
      </c>
      <c r="K58" s="297">
        <f t="shared" si="2"/>
        <v>160339.62</v>
      </c>
      <c r="L58" s="434">
        <f>K35+K58</f>
        <v>160339.62</v>
      </c>
      <c r="M58" s="250"/>
      <c r="N58" s="250"/>
      <c r="O58" s="250"/>
      <c r="P58" s="250"/>
      <c r="Q58" s="250"/>
      <c r="R58" s="250"/>
      <c r="S58" s="250"/>
      <c r="T58" s="250"/>
      <c r="U58" s="251"/>
      <c r="V58" s="250"/>
      <c r="W58" s="250"/>
      <c r="X58" s="250"/>
      <c r="Y58" s="250"/>
      <c r="Z58" s="250"/>
      <c r="AA58" s="250"/>
      <c r="AB58" s="250"/>
      <c r="AC58" s="250"/>
      <c r="AD58" s="250"/>
      <c r="AE58" s="250"/>
      <c r="AF58" s="250"/>
      <c r="AG58" s="250"/>
      <c r="AH58" s="250"/>
      <c r="AI58" s="250"/>
      <c r="AJ58" s="250"/>
      <c r="AK58" s="250"/>
      <c r="AL58" s="250"/>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1"/>
      <c r="IK58" s="251"/>
      <c r="IL58" s="251"/>
      <c r="IM58" s="251"/>
      <c r="IN58" s="251"/>
      <c r="IO58" s="251"/>
      <c r="IP58" s="251"/>
      <c r="IQ58" s="251"/>
      <c r="IR58" s="251"/>
      <c r="IS58" s="251"/>
      <c r="IT58" s="251"/>
      <c r="IU58" s="251"/>
      <c r="IV58" s="251"/>
      <c r="IW58" s="251"/>
      <c r="IX58" s="251"/>
      <c r="IY58" s="251"/>
      <c r="IZ58" s="251"/>
      <c r="JA58" s="251"/>
      <c r="JB58" s="251"/>
      <c r="JC58" s="251"/>
      <c r="JD58" s="251"/>
      <c r="JE58" s="251"/>
      <c r="JF58" s="251"/>
      <c r="JG58" s="251"/>
      <c r="JH58" s="251"/>
      <c r="JI58" s="251"/>
      <c r="JJ58" s="251"/>
      <c r="JK58" s="251"/>
      <c r="JL58" s="251"/>
      <c r="JM58" s="251"/>
      <c r="JN58" s="251"/>
      <c r="JO58" s="251"/>
      <c r="JP58" s="251"/>
      <c r="JQ58" s="251"/>
      <c r="JR58" s="251"/>
      <c r="JS58" s="251"/>
      <c r="JT58" s="251"/>
      <c r="JU58" s="251"/>
      <c r="JV58" s="251"/>
      <c r="JW58" s="251"/>
      <c r="JX58" s="251"/>
      <c r="JY58" s="251"/>
      <c r="JZ58" s="251"/>
      <c r="KA58" s="251"/>
      <c r="KB58" s="251"/>
      <c r="KC58" s="251"/>
      <c r="KD58" s="251"/>
      <c r="KE58" s="251"/>
      <c r="KF58" s="251"/>
      <c r="KG58" s="251"/>
      <c r="KH58" s="251"/>
      <c r="KI58" s="251"/>
      <c r="KJ58" s="251"/>
      <c r="KK58" s="251"/>
      <c r="KL58" s="251"/>
      <c r="KM58" s="251"/>
      <c r="KN58" s="251"/>
      <c r="KO58" s="251"/>
      <c r="KP58" s="251"/>
      <c r="KQ58" s="251"/>
      <c r="KR58" s="251"/>
      <c r="KS58" s="251"/>
      <c r="KT58" s="251"/>
      <c r="KU58" s="251"/>
      <c r="KV58" s="251"/>
      <c r="KW58" s="251"/>
      <c r="KX58" s="251"/>
      <c r="KY58" s="251"/>
      <c r="KZ58" s="251"/>
      <c r="LA58" s="251"/>
      <c r="LB58" s="251"/>
      <c r="LC58" s="251"/>
      <c r="LD58" s="251"/>
      <c r="LE58" s="251"/>
      <c r="LF58" s="251"/>
      <c r="LG58" s="251"/>
      <c r="LH58" s="251"/>
      <c r="LI58" s="251"/>
      <c r="LJ58" s="251"/>
      <c r="LK58" s="251"/>
      <c r="LL58" s="251"/>
      <c r="LM58" s="251"/>
      <c r="LN58" s="251"/>
      <c r="LO58" s="251"/>
      <c r="LP58" s="251"/>
      <c r="LQ58" s="251"/>
      <c r="LR58" s="251"/>
      <c r="LS58" s="251"/>
      <c r="LT58" s="251"/>
      <c r="LU58" s="251"/>
      <c r="LV58" s="251"/>
      <c r="LW58" s="251"/>
      <c r="LX58" s="251"/>
      <c r="LY58" s="251"/>
      <c r="LZ58" s="251"/>
      <c r="MA58" s="251"/>
      <c r="MB58" s="251"/>
      <c r="MC58" s="251"/>
      <c r="MD58" s="251"/>
      <c r="ME58" s="251"/>
      <c r="MF58" s="251"/>
      <c r="MG58" s="251"/>
      <c r="MH58" s="251"/>
      <c r="MI58" s="251"/>
      <c r="MJ58" s="251"/>
      <c r="MK58" s="251"/>
      <c r="ML58" s="251"/>
      <c r="MM58" s="251"/>
      <c r="MN58" s="251"/>
      <c r="MO58" s="251"/>
      <c r="MP58" s="251"/>
      <c r="MQ58" s="251"/>
      <c r="MR58" s="251"/>
      <c r="MS58" s="251"/>
      <c r="MT58" s="251"/>
      <c r="MU58" s="251"/>
      <c r="MV58" s="251"/>
      <c r="MW58" s="251"/>
      <c r="MX58" s="251"/>
      <c r="MY58" s="251"/>
      <c r="MZ58" s="251"/>
      <c r="NA58" s="251"/>
      <c r="NB58" s="251"/>
      <c r="NC58" s="251"/>
      <c r="ND58" s="251"/>
      <c r="NE58" s="251"/>
      <c r="NF58" s="251"/>
      <c r="NG58" s="251"/>
      <c r="NH58" s="251"/>
      <c r="NI58" s="251"/>
      <c r="NJ58" s="251"/>
      <c r="NK58" s="251"/>
      <c r="NL58" s="251"/>
      <c r="NM58" s="251"/>
      <c r="NN58" s="251"/>
      <c r="NO58" s="251"/>
      <c r="NP58" s="251"/>
      <c r="NQ58" s="251"/>
      <c r="NR58" s="251"/>
      <c r="NS58" s="251"/>
      <c r="NT58" s="251"/>
      <c r="NU58" s="251"/>
      <c r="NV58" s="251"/>
      <c r="NW58" s="251"/>
      <c r="NX58" s="251"/>
      <c r="NY58" s="251"/>
      <c r="NZ58" s="251"/>
      <c r="OA58" s="251"/>
      <c r="OB58" s="251"/>
      <c r="OC58" s="251"/>
      <c r="OD58" s="251"/>
      <c r="OE58" s="251"/>
      <c r="OF58" s="251"/>
      <c r="OG58" s="251"/>
      <c r="OH58" s="251"/>
      <c r="OI58" s="251"/>
      <c r="OJ58" s="251"/>
      <c r="OK58" s="251"/>
      <c r="OL58" s="251"/>
      <c r="OM58" s="251"/>
      <c r="ON58" s="251"/>
      <c r="OO58" s="251"/>
      <c r="OP58" s="251"/>
      <c r="OQ58" s="251"/>
      <c r="OR58" s="251"/>
      <c r="OS58" s="251"/>
      <c r="OT58" s="251"/>
      <c r="OU58" s="251"/>
      <c r="OV58" s="251"/>
      <c r="OW58" s="251"/>
      <c r="OX58" s="251"/>
      <c r="OY58" s="251"/>
      <c r="OZ58" s="251"/>
      <c r="PA58" s="251"/>
      <c r="PB58" s="251"/>
      <c r="PC58" s="251"/>
      <c r="PD58" s="251"/>
      <c r="PE58" s="251"/>
      <c r="PF58" s="251"/>
      <c r="PG58" s="251"/>
      <c r="PH58" s="251"/>
      <c r="PI58" s="251"/>
      <c r="PJ58" s="251"/>
      <c r="PK58" s="251"/>
      <c r="PL58" s="251"/>
      <c r="PM58" s="251"/>
      <c r="PN58" s="251"/>
      <c r="PO58" s="251"/>
      <c r="PP58" s="251"/>
      <c r="PQ58" s="251"/>
      <c r="PR58" s="251"/>
      <c r="PS58" s="251"/>
      <c r="PT58" s="251"/>
      <c r="PU58" s="251"/>
      <c r="PV58" s="251"/>
      <c r="PW58" s="251"/>
      <c r="PX58" s="251"/>
      <c r="PY58" s="251"/>
      <c r="PZ58" s="251"/>
      <c r="QA58" s="251"/>
      <c r="QB58" s="251"/>
      <c r="QC58" s="251"/>
      <c r="QD58" s="251"/>
      <c r="QE58" s="251"/>
      <c r="QF58" s="251"/>
      <c r="QG58" s="251"/>
      <c r="QH58" s="251"/>
      <c r="QI58" s="251"/>
      <c r="QJ58" s="251"/>
      <c r="QK58" s="251"/>
      <c r="QL58" s="251"/>
      <c r="QM58" s="251"/>
      <c r="QN58" s="251"/>
      <c r="QO58" s="251"/>
      <c r="QP58" s="251"/>
      <c r="QQ58" s="251"/>
      <c r="QR58" s="251"/>
      <c r="QS58" s="251"/>
      <c r="QT58" s="251"/>
      <c r="QU58" s="251"/>
      <c r="QV58" s="251"/>
      <c r="QW58" s="251"/>
      <c r="QX58" s="251"/>
      <c r="QY58" s="251"/>
      <c r="QZ58" s="251"/>
      <c r="RA58" s="251"/>
      <c r="RB58" s="251"/>
      <c r="RC58" s="251"/>
      <c r="RD58" s="251"/>
      <c r="RE58" s="251"/>
      <c r="RF58" s="251"/>
      <c r="RG58" s="251"/>
      <c r="RH58" s="251"/>
      <c r="RI58" s="251"/>
      <c r="RJ58" s="251"/>
      <c r="RK58" s="251"/>
      <c r="RL58" s="251"/>
      <c r="RM58" s="251"/>
      <c r="RN58" s="251"/>
      <c r="RO58" s="251"/>
      <c r="RP58" s="251"/>
      <c r="RQ58" s="251"/>
      <c r="RR58" s="251"/>
      <c r="RS58" s="251"/>
      <c r="RT58" s="251"/>
      <c r="RU58" s="251"/>
      <c r="RV58" s="251"/>
      <c r="RW58" s="251"/>
      <c r="RX58" s="251"/>
      <c r="RY58" s="251"/>
      <c r="RZ58" s="251"/>
      <c r="SA58" s="251"/>
      <c r="SB58" s="251"/>
      <c r="SC58" s="251"/>
      <c r="SD58" s="251"/>
      <c r="SE58" s="251"/>
      <c r="SF58" s="251"/>
      <c r="SG58" s="251"/>
      <c r="SH58" s="251"/>
      <c r="SI58" s="251"/>
      <c r="SJ58" s="251"/>
      <c r="SK58" s="251"/>
      <c r="SL58" s="251"/>
      <c r="SM58" s="251"/>
      <c r="SN58" s="251"/>
      <c r="SO58" s="251"/>
      <c r="SP58" s="251"/>
      <c r="SQ58" s="251"/>
      <c r="SR58" s="251"/>
      <c r="SS58" s="251"/>
      <c r="ST58" s="251"/>
      <c r="SU58" s="251"/>
      <c r="SV58" s="251"/>
      <c r="SW58" s="251"/>
      <c r="SX58" s="251"/>
      <c r="SY58" s="251"/>
      <c r="SZ58" s="251"/>
      <c r="TA58" s="251"/>
      <c r="TB58" s="251"/>
      <c r="TC58" s="251"/>
      <c r="TD58" s="251"/>
      <c r="TE58" s="251"/>
      <c r="TF58" s="251"/>
      <c r="TG58" s="251"/>
      <c r="TH58" s="251"/>
      <c r="TI58" s="251"/>
      <c r="TJ58" s="251"/>
      <c r="TK58" s="251"/>
      <c r="TL58" s="251"/>
      <c r="TM58" s="251"/>
      <c r="TN58" s="251"/>
      <c r="TO58" s="251"/>
      <c r="TP58" s="251"/>
      <c r="TQ58" s="251"/>
      <c r="TR58" s="251"/>
      <c r="TS58" s="251"/>
      <c r="TT58" s="251"/>
      <c r="TU58" s="251"/>
      <c r="TV58" s="251"/>
      <c r="TW58" s="251"/>
      <c r="TX58" s="251"/>
      <c r="TY58" s="251"/>
      <c r="TZ58" s="251"/>
      <c r="UA58" s="251"/>
      <c r="UB58" s="251"/>
      <c r="UC58" s="251"/>
      <c r="UD58" s="251"/>
      <c r="UE58" s="251"/>
      <c r="UF58" s="251"/>
      <c r="UG58" s="251"/>
      <c r="UH58" s="251"/>
      <c r="UI58" s="251"/>
      <c r="UJ58" s="251"/>
      <c r="UK58" s="251"/>
      <c r="UL58" s="251"/>
      <c r="UM58" s="251"/>
      <c r="UN58" s="251"/>
      <c r="UO58" s="251"/>
      <c r="UP58" s="251"/>
      <c r="UQ58" s="251"/>
      <c r="UR58" s="251"/>
      <c r="US58" s="251"/>
      <c r="UT58" s="251"/>
      <c r="UU58" s="251"/>
      <c r="UV58" s="251"/>
      <c r="UW58" s="251"/>
      <c r="UX58" s="251"/>
      <c r="UY58" s="251"/>
      <c r="UZ58" s="251"/>
      <c r="VA58" s="251"/>
      <c r="VB58" s="251"/>
      <c r="VC58" s="251"/>
      <c r="VD58" s="251"/>
      <c r="VE58" s="251"/>
      <c r="VF58" s="251"/>
      <c r="VG58" s="251"/>
      <c r="VH58" s="251"/>
      <c r="VI58" s="251"/>
      <c r="VJ58" s="251"/>
      <c r="VK58" s="251"/>
      <c r="VL58" s="251"/>
      <c r="VM58" s="251"/>
      <c r="VN58" s="251"/>
      <c r="VO58" s="251"/>
      <c r="VP58" s="251"/>
      <c r="VQ58" s="251"/>
      <c r="VR58" s="251"/>
      <c r="VS58" s="251"/>
      <c r="VT58" s="251"/>
      <c r="VU58" s="251"/>
      <c r="VV58" s="251"/>
      <c r="VW58" s="251"/>
      <c r="VX58" s="251"/>
      <c r="VY58" s="251"/>
      <c r="VZ58" s="251"/>
      <c r="WA58" s="251"/>
      <c r="WB58" s="251"/>
      <c r="WC58" s="251"/>
      <c r="WD58" s="251"/>
      <c r="WE58" s="251"/>
      <c r="WF58" s="251"/>
      <c r="WG58" s="251"/>
      <c r="WH58" s="251"/>
      <c r="WI58" s="251"/>
      <c r="WJ58" s="251"/>
      <c r="WK58" s="251"/>
      <c r="WL58" s="251"/>
      <c r="WM58" s="251"/>
      <c r="WN58" s="251"/>
      <c r="WO58" s="251"/>
      <c r="WP58" s="251"/>
      <c r="WQ58" s="251"/>
      <c r="WR58" s="251"/>
      <c r="WS58" s="251"/>
      <c r="WT58" s="251"/>
      <c r="WU58" s="251"/>
      <c r="WV58" s="251"/>
      <c r="WW58" s="251"/>
      <c r="WX58" s="251"/>
      <c r="WY58" s="251"/>
      <c r="WZ58" s="251"/>
      <c r="XA58" s="251"/>
      <c r="XB58" s="251"/>
      <c r="XC58" s="251"/>
      <c r="XD58" s="251"/>
      <c r="XE58" s="251"/>
      <c r="XF58" s="251"/>
      <c r="XG58" s="251"/>
      <c r="XH58" s="251"/>
      <c r="XI58" s="251"/>
      <c r="XJ58" s="251"/>
      <c r="XK58" s="251"/>
      <c r="XL58" s="251"/>
      <c r="XM58" s="251"/>
      <c r="XN58" s="251"/>
      <c r="XO58" s="251"/>
      <c r="XP58" s="251"/>
      <c r="XQ58" s="251"/>
      <c r="XR58" s="251"/>
      <c r="XS58" s="251"/>
      <c r="XT58" s="251"/>
      <c r="XU58" s="251"/>
      <c r="XV58" s="251"/>
      <c r="XW58" s="251"/>
      <c r="XX58" s="251"/>
      <c r="XY58" s="251"/>
      <c r="XZ58" s="251"/>
      <c r="YA58" s="251"/>
      <c r="YB58" s="251"/>
      <c r="YC58" s="251"/>
      <c r="YD58" s="251"/>
      <c r="YE58" s="251"/>
      <c r="YF58" s="251"/>
      <c r="YG58" s="251"/>
      <c r="YH58" s="251"/>
      <c r="YI58" s="251"/>
      <c r="YJ58" s="251"/>
      <c r="YK58" s="251"/>
      <c r="YL58" s="251"/>
      <c r="YM58" s="251"/>
      <c r="YN58" s="251"/>
      <c r="YO58" s="251"/>
      <c r="YP58" s="251"/>
      <c r="YQ58" s="251"/>
      <c r="YR58" s="251"/>
      <c r="YS58" s="251"/>
    </row>
    <row r="59" spans="1:669" s="18" customFormat="1" ht="15" thickBot="1" x14ac:dyDescent="0.25">
      <c r="B59" s="1"/>
      <c r="C59" s="6"/>
      <c r="D59" s="6"/>
      <c r="E59" s="6"/>
      <c r="F59" s="29"/>
      <c r="G59" s="29"/>
      <c r="H59" s="29"/>
      <c r="I59" s="29"/>
      <c r="J59" s="29"/>
      <c r="K59" s="29"/>
      <c r="L59" s="29"/>
      <c r="M59" s="29"/>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row>
    <row r="60" spans="1:669" s="21" customFormat="1" ht="18.75" thickBot="1" x14ac:dyDescent="0.3">
      <c r="A60" s="298" t="s">
        <v>138</v>
      </c>
      <c r="B60" s="299"/>
      <c r="C60" s="300"/>
      <c r="D60" s="300"/>
      <c r="E60" s="300"/>
      <c r="F60" s="301"/>
      <c r="G60" s="301"/>
      <c r="H60" s="301"/>
      <c r="I60" s="301"/>
      <c r="J60" s="301"/>
      <c r="K60" s="304"/>
      <c r="L60" s="301"/>
      <c r="M60" s="305"/>
      <c r="N60" s="40"/>
      <c r="O60" s="40"/>
      <c r="P60" s="40"/>
      <c r="Q60" s="40"/>
      <c r="R60" s="40"/>
      <c r="S60" s="40"/>
      <c r="T60" s="40"/>
      <c r="U60" s="41"/>
      <c r="V60" s="40"/>
      <c r="W60" s="40"/>
      <c r="X60" s="40"/>
      <c r="Y60" s="40"/>
      <c r="Z60" s="40"/>
      <c r="AA60" s="40"/>
      <c r="AB60" s="42"/>
      <c r="AC60" s="42"/>
      <c r="AD60" s="42"/>
      <c r="AE60" s="42"/>
      <c r="AF60" s="42"/>
      <c r="AG60" s="42"/>
      <c r="AH60" s="42"/>
      <c r="AI60" s="42"/>
      <c r="AJ60" s="42"/>
      <c r="AK60" s="42"/>
      <c r="AL60" s="42"/>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c r="ID60" s="41"/>
      <c r="IE60" s="41"/>
      <c r="IF60" s="41"/>
      <c r="IG60" s="41"/>
      <c r="IH60" s="41"/>
      <c r="II60" s="41"/>
      <c r="IJ60" s="41"/>
      <c r="IK60" s="41"/>
      <c r="IL60" s="41"/>
      <c r="IM60" s="41"/>
      <c r="IN60" s="41"/>
      <c r="IO60" s="41"/>
      <c r="IP60" s="41"/>
      <c r="IQ60" s="41"/>
      <c r="IR60" s="41"/>
      <c r="IS60" s="41"/>
      <c r="IT60" s="41"/>
      <c r="IU60" s="41"/>
      <c r="IV60" s="41"/>
      <c r="IW60" s="41"/>
      <c r="IX60" s="41"/>
      <c r="IY60" s="41"/>
      <c r="IZ60" s="41"/>
      <c r="JA60" s="41"/>
      <c r="JB60" s="41"/>
      <c r="JC60" s="41"/>
      <c r="JD60" s="41"/>
      <c r="JE60" s="41"/>
      <c r="JF60" s="41"/>
      <c r="JG60" s="41"/>
      <c r="JH60" s="41"/>
      <c r="JI60" s="41"/>
      <c r="JJ60" s="41"/>
      <c r="JK60" s="41"/>
      <c r="JL60" s="41"/>
      <c r="JM60" s="41"/>
      <c r="JN60" s="41"/>
      <c r="JO60" s="41"/>
      <c r="JP60" s="41"/>
      <c r="JQ60" s="41"/>
      <c r="JR60" s="41"/>
      <c r="JS60" s="41"/>
      <c r="JT60" s="41"/>
      <c r="JU60" s="41"/>
      <c r="JV60" s="41"/>
      <c r="JW60" s="41"/>
      <c r="JX60" s="41"/>
      <c r="JY60" s="41"/>
      <c r="JZ60" s="41"/>
      <c r="KA60" s="41"/>
      <c r="KB60" s="41"/>
      <c r="KC60" s="41"/>
      <c r="KD60" s="41"/>
      <c r="KE60" s="41"/>
      <c r="KF60" s="41"/>
      <c r="KG60" s="41"/>
      <c r="KH60" s="41"/>
      <c r="KI60" s="41"/>
      <c r="KJ60" s="41"/>
      <c r="KK60" s="41"/>
      <c r="KL60" s="41"/>
      <c r="KM60" s="41"/>
      <c r="KN60" s="41"/>
      <c r="KO60" s="41"/>
      <c r="KP60" s="41"/>
      <c r="KQ60" s="41"/>
      <c r="KR60" s="41"/>
      <c r="KS60" s="41"/>
      <c r="KT60" s="41"/>
      <c r="KU60" s="41"/>
      <c r="KV60" s="41"/>
      <c r="KW60" s="41"/>
      <c r="KX60" s="41"/>
      <c r="KY60" s="41"/>
      <c r="KZ60" s="41"/>
      <c r="LA60" s="41"/>
      <c r="LB60" s="41"/>
      <c r="LC60" s="41"/>
      <c r="LD60" s="41"/>
      <c r="LE60" s="41"/>
      <c r="LF60" s="41"/>
      <c r="LG60" s="41"/>
      <c r="LH60" s="41"/>
      <c r="LI60" s="41"/>
      <c r="LJ60" s="41"/>
      <c r="LK60" s="41"/>
      <c r="LL60" s="41"/>
      <c r="LM60" s="41"/>
      <c r="LN60" s="41"/>
      <c r="LO60" s="41"/>
      <c r="LP60" s="41"/>
      <c r="LQ60" s="41"/>
      <c r="LR60" s="41"/>
      <c r="LS60" s="41"/>
      <c r="LT60" s="41"/>
      <c r="LU60" s="41"/>
      <c r="LV60" s="41"/>
      <c r="LW60" s="41"/>
      <c r="LX60" s="41"/>
      <c r="LY60" s="41"/>
      <c r="LZ60" s="41"/>
      <c r="MA60" s="41"/>
      <c r="MB60" s="41"/>
      <c r="MC60" s="41"/>
      <c r="MD60" s="41"/>
      <c r="ME60" s="41"/>
      <c r="MF60" s="41"/>
      <c r="MG60" s="41"/>
      <c r="MH60" s="41"/>
      <c r="MI60" s="41"/>
      <c r="MJ60" s="41"/>
      <c r="MK60" s="41"/>
      <c r="ML60" s="41"/>
      <c r="MM60" s="41"/>
      <c r="MN60" s="41"/>
      <c r="MO60" s="41"/>
      <c r="MP60" s="41"/>
      <c r="MQ60" s="41"/>
      <c r="MR60" s="41"/>
      <c r="MS60" s="41"/>
      <c r="MT60" s="41"/>
      <c r="MU60" s="41"/>
      <c r="MV60" s="41"/>
      <c r="MW60" s="41"/>
      <c r="MX60" s="41"/>
      <c r="MY60" s="41"/>
      <c r="MZ60" s="41"/>
      <c r="NA60" s="41"/>
      <c r="NB60" s="41"/>
      <c r="NC60" s="41"/>
      <c r="ND60" s="41"/>
      <c r="NE60" s="41"/>
      <c r="NF60" s="41"/>
      <c r="NG60" s="41"/>
      <c r="NH60" s="41"/>
      <c r="NI60" s="41"/>
      <c r="NJ60" s="41"/>
      <c r="NK60" s="41"/>
      <c r="NL60" s="41"/>
      <c r="NM60" s="41"/>
      <c r="NN60" s="41"/>
      <c r="NO60" s="41"/>
      <c r="NP60" s="41"/>
      <c r="NQ60" s="41"/>
      <c r="NR60" s="41"/>
      <c r="NS60" s="41"/>
      <c r="NT60" s="41"/>
      <c r="NU60" s="41"/>
      <c r="NV60" s="41"/>
      <c r="NW60" s="41"/>
      <c r="NX60" s="41"/>
      <c r="NY60" s="41"/>
      <c r="NZ60" s="41"/>
      <c r="OA60" s="41"/>
      <c r="OB60" s="41"/>
      <c r="OC60" s="41"/>
      <c r="OD60" s="41"/>
      <c r="OE60" s="41"/>
      <c r="OF60" s="41"/>
      <c r="OG60" s="41"/>
      <c r="OH60" s="41"/>
      <c r="OI60" s="41"/>
      <c r="OJ60" s="41"/>
      <c r="OK60" s="41"/>
      <c r="OL60" s="41"/>
      <c r="OM60" s="41"/>
      <c r="ON60" s="41"/>
      <c r="OO60" s="41"/>
      <c r="OP60" s="41"/>
      <c r="OQ60" s="41"/>
      <c r="OR60" s="41"/>
      <c r="OS60" s="41"/>
      <c r="OT60" s="41"/>
      <c r="OU60" s="41"/>
      <c r="OV60" s="41"/>
      <c r="OW60" s="41"/>
      <c r="OX60" s="41"/>
      <c r="OY60" s="41"/>
      <c r="OZ60" s="41"/>
      <c r="PA60" s="41"/>
      <c r="PB60" s="41"/>
      <c r="PC60" s="41"/>
      <c r="PD60" s="41"/>
      <c r="PE60" s="41"/>
      <c r="PF60" s="41"/>
      <c r="PG60" s="41"/>
      <c r="PH60" s="41"/>
      <c r="PI60" s="41"/>
      <c r="PJ60" s="41"/>
      <c r="PK60" s="41"/>
      <c r="PL60" s="41"/>
      <c r="PM60" s="41"/>
      <c r="PN60" s="41"/>
      <c r="PO60" s="41"/>
      <c r="PP60" s="41"/>
      <c r="PQ60" s="41"/>
      <c r="PR60" s="41"/>
      <c r="PS60" s="41"/>
      <c r="PT60" s="41"/>
      <c r="PU60" s="41"/>
      <c r="PV60" s="41"/>
      <c r="PW60" s="41"/>
      <c r="PX60" s="41"/>
      <c r="PY60" s="41"/>
      <c r="PZ60" s="41"/>
      <c r="QA60" s="41"/>
      <c r="QB60" s="41"/>
      <c r="QC60" s="41"/>
      <c r="QD60" s="41"/>
      <c r="QE60" s="41"/>
      <c r="QF60" s="41"/>
      <c r="QG60" s="41"/>
      <c r="QH60" s="41"/>
      <c r="QI60" s="41"/>
      <c r="QJ60" s="41"/>
      <c r="QK60" s="41"/>
      <c r="QL60" s="41"/>
      <c r="QM60" s="41"/>
      <c r="QN60" s="41"/>
      <c r="QO60" s="41"/>
      <c r="QP60" s="41"/>
      <c r="QQ60" s="41"/>
      <c r="QR60" s="41"/>
      <c r="QS60" s="41"/>
      <c r="QT60" s="41"/>
      <c r="QU60" s="41"/>
      <c r="QV60" s="41"/>
      <c r="QW60" s="41"/>
      <c r="QX60" s="41"/>
      <c r="QY60" s="41"/>
      <c r="QZ60" s="41"/>
      <c r="RA60" s="41"/>
      <c r="RB60" s="41"/>
      <c r="RC60" s="41"/>
      <c r="RD60" s="41"/>
      <c r="RE60" s="41"/>
      <c r="RF60" s="41"/>
      <c r="RG60" s="41"/>
      <c r="RH60" s="41"/>
      <c r="RI60" s="41"/>
      <c r="RJ60" s="41"/>
      <c r="RK60" s="41"/>
      <c r="RL60" s="41"/>
      <c r="RM60" s="41"/>
      <c r="RN60" s="41"/>
      <c r="RO60" s="41"/>
      <c r="RP60" s="41"/>
      <c r="RQ60" s="41"/>
      <c r="RR60" s="41"/>
      <c r="RS60" s="41"/>
      <c r="RT60" s="41"/>
      <c r="RU60" s="41"/>
      <c r="RV60" s="41"/>
      <c r="RW60" s="41"/>
      <c r="RX60" s="41"/>
      <c r="RY60" s="41"/>
      <c r="RZ60" s="41"/>
      <c r="SA60" s="41"/>
      <c r="SB60" s="41"/>
      <c r="SC60" s="41"/>
      <c r="SD60" s="41"/>
      <c r="SE60" s="41"/>
      <c r="SF60" s="41"/>
      <c r="SG60" s="41"/>
      <c r="SH60" s="41"/>
      <c r="SI60" s="41"/>
      <c r="SJ60" s="41"/>
      <c r="SK60" s="41"/>
      <c r="SL60" s="41"/>
      <c r="SM60" s="41"/>
      <c r="SN60" s="41"/>
      <c r="SO60" s="41"/>
      <c r="SP60" s="41"/>
      <c r="SQ60" s="41"/>
      <c r="SR60" s="41"/>
      <c r="SS60" s="41"/>
      <c r="ST60" s="41"/>
      <c r="SU60" s="41"/>
      <c r="SV60" s="41"/>
      <c r="SW60" s="41"/>
      <c r="SX60" s="41"/>
      <c r="SY60" s="41"/>
      <c r="SZ60" s="41"/>
      <c r="TA60" s="41"/>
      <c r="TB60" s="41"/>
      <c r="TC60" s="41"/>
      <c r="TD60" s="41"/>
      <c r="TE60" s="41"/>
      <c r="TF60" s="41"/>
      <c r="TG60" s="41"/>
      <c r="TH60" s="41"/>
      <c r="TI60" s="41"/>
      <c r="TJ60" s="41"/>
      <c r="TK60" s="41"/>
      <c r="TL60" s="41"/>
      <c r="TM60" s="41"/>
      <c r="TN60" s="41"/>
      <c r="TO60" s="41"/>
      <c r="TP60" s="41"/>
      <c r="TQ60" s="41"/>
      <c r="TR60" s="41"/>
      <c r="TS60" s="41"/>
      <c r="TT60" s="41"/>
      <c r="TU60" s="41"/>
      <c r="TV60" s="41"/>
      <c r="TW60" s="41"/>
      <c r="TX60" s="41"/>
      <c r="TY60" s="41"/>
      <c r="TZ60" s="41"/>
      <c r="UA60" s="41"/>
      <c r="UB60" s="41"/>
      <c r="UC60" s="41"/>
      <c r="UD60" s="41"/>
      <c r="UE60" s="41"/>
      <c r="UF60" s="41"/>
      <c r="UG60" s="41"/>
      <c r="UH60" s="41"/>
      <c r="UI60" s="41"/>
      <c r="UJ60" s="41"/>
      <c r="UK60" s="41"/>
      <c r="UL60" s="41"/>
      <c r="UM60" s="41"/>
      <c r="UN60" s="41"/>
      <c r="UO60" s="41"/>
      <c r="UP60" s="41"/>
      <c r="UQ60" s="41"/>
      <c r="UR60" s="41"/>
      <c r="US60" s="41"/>
      <c r="UT60" s="41"/>
      <c r="UU60" s="41"/>
      <c r="UV60" s="41"/>
      <c r="UW60" s="41"/>
      <c r="UX60" s="41"/>
      <c r="UY60" s="41"/>
      <c r="UZ60" s="41"/>
      <c r="VA60" s="41"/>
      <c r="VB60" s="41"/>
      <c r="VC60" s="41"/>
      <c r="VD60" s="41"/>
      <c r="VE60" s="41"/>
      <c r="VF60" s="41"/>
      <c r="VG60" s="41"/>
      <c r="VH60" s="41"/>
      <c r="VI60" s="41"/>
      <c r="VJ60" s="41"/>
      <c r="VK60" s="41"/>
      <c r="VL60" s="41"/>
      <c r="VM60" s="41"/>
      <c r="VN60" s="41"/>
      <c r="VO60" s="41"/>
      <c r="VP60" s="41"/>
      <c r="VQ60" s="41"/>
      <c r="VR60" s="41"/>
      <c r="VS60" s="41"/>
      <c r="VT60" s="41"/>
      <c r="VU60" s="41"/>
      <c r="VV60" s="41"/>
      <c r="VW60" s="41"/>
      <c r="VX60" s="41"/>
      <c r="VY60" s="41"/>
      <c r="VZ60" s="41"/>
      <c r="WA60" s="41"/>
      <c r="WB60" s="41"/>
      <c r="WC60" s="41"/>
      <c r="WD60" s="41"/>
      <c r="WE60" s="41"/>
      <c r="WF60" s="41"/>
      <c r="WG60" s="41"/>
      <c r="WH60" s="41"/>
      <c r="WI60" s="41"/>
      <c r="WJ60" s="41"/>
      <c r="WK60" s="41"/>
      <c r="WL60" s="41"/>
      <c r="WM60" s="41"/>
      <c r="WN60" s="41"/>
      <c r="WO60" s="41"/>
      <c r="WP60" s="41"/>
      <c r="WQ60" s="41"/>
      <c r="WR60" s="41"/>
      <c r="WS60" s="41"/>
      <c r="WT60" s="41"/>
      <c r="WU60" s="41"/>
      <c r="WV60" s="41"/>
      <c r="WW60" s="41"/>
      <c r="WX60" s="41"/>
      <c r="WY60" s="41"/>
      <c r="WZ60" s="41"/>
      <c r="XA60" s="41"/>
      <c r="XB60" s="41"/>
      <c r="XC60" s="41"/>
      <c r="XD60" s="41"/>
      <c r="XE60" s="41"/>
      <c r="XF60" s="41"/>
      <c r="XG60" s="41"/>
      <c r="XH60" s="41"/>
      <c r="XI60" s="41"/>
      <c r="XJ60" s="41"/>
      <c r="XK60" s="41"/>
      <c r="XL60" s="41"/>
      <c r="XM60" s="41"/>
      <c r="XN60" s="41"/>
      <c r="XO60" s="41"/>
      <c r="XP60" s="41"/>
      <c r="XQ60" s="41"/>
      <c r="XR60" s="41"/>
      <c r="XS60" s="41"/>
      <c r="XT60" s="41"/>
      <c r="XU60" s="41"/>
      <c r="XV60" s="41"/>
      <c r="XW60" s="41"/>
      <c r="XX60" s="41"/>
      <c r="XY60" s="41"/>
      <c r="XZ60" s="41"/>
      <c r="YA60" s="41"/>
      <c r="YB60" s="41"/>
      <c r="YC60" s="41"/>
      <c r="YD60" s="41"/>
      <c r="YE60" s="41"/>
      <c r="YF60" s="41"/>
      <c r="YG60" s="41"/>
      <c r="YH60" s="41"/>
      <c r="YI60" s="41"/>
      <c r="YJ60" s="41"/>
      <c r="YK60" s="41"/>
      <c r="YL60" s="41"/>
      <c r="YM60" s="41"/>
      <c r="YN60" s="41"/>
      <c r="YO60" s="41"/>
      <c r="YP60" s="41"/>
      <c r="YQ60" s="41"/>
      <c r="YR60" s="41"/>
      <c r="YS60" s="41"/>
    </row>
    <row r="61" spans="1:669" s="23" customFormat="1" ht="33.75" customHeight="1" thickBot="1" x14ac:dyDescent="0.25">
      <c r="A61" s="314" t="s">
        <v>31</v>
      </c>
      <c r="B61" s="1012" t="s">
        <v>24</v>
      </c>
      <c r="C61" s="1013"/>
      <c r="D61" s="1013"/>
      <c r="E61" s="1017"/>
      <c r="F61" s="318" t="s">
        <v>36</v>
      </c>
      <c r="G61" s="256" t="s">
        <v>475</v>
      </c>
      <c r="H61" s="256" t="s">
        <v>162</v>
      </c>
      <c r="I61" s="256" t="s">
        <v>487</v>
      </c>
      <c r="J61" s="256" t="s">
        <v>163</v>
      </c>
      <c r="K61" s="256" t="s">
        <v>10</v>
      </c>
      <c r="L61" s="256" t="s">
        <v>330</v>
      </c>
      <c r="M61" s="256" t="s">
        <v>4</v>
      </c>
      <c r="N61" s="35"/>
      <c r="O61" s="35"/>
      <c r="P61" s="35"/>
      <c r="Q61" s="35"/>
      <c r="R61" s="35"/>
      <c r="S61" s="35"/>
      <c r="T61" s="35"/>
      <c r="U61" s="6"/>
      <c r="V61" s="35"/>
      <c r="W61" s="35"/>
      <c r="X61" s="35"/>
      <c r="Y61" s="35"/>
      <c r="Z61" s="35"/>
      <c r="AA61" s="35"/>
      <c r="AB61" s="36"/>
      <c r="AC61" s="36"/>
      <c r="AD61" s="36"/>
      <c r="AE61" s="36"/>
      <c r="AF61" s="36"/>
      <c r="AG61" s="36"/>
      <c r="AH61" s="36"/>
      <c r="AI61" s="36"/>
      <c r="AJ61" s="36"/>
      <c r="AK61" s="36"/>
      <c r="AL61" s="3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row>
    <row r="62" spans="1:669" s="18" customFormat="1" hidden="1" x14ac:dyDescent="0.2">
      <c r="A62" s="286" t="s">
        <v>476</v>
      </c>
      <c r="B62" s="821" t="s">
        <v>464</v>
      </c>
      <c r="C62" s="822"/>
      <c r="D62" s="822"/>
      <c r="E62" s="823"/>
      <c r="F62" s="293"/>
      <c r="G62" s="293"/>
      <c r="H62" s="293"/>
      <c r="I62" s="293"/>
      <c r="J62" s="307"/>
      <c r="K62" s="380"/>
      <c r="L62" s="293">
        <f>K62</f>
        <v>0</v>
      </c>
      <c r="M62" s="293"/>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row>
    <row r="63" spans="1:669" s="18" customFormat="1" hidden="1" x14ac:dyDescent="0.2">
      <c r="A63" s="286" t="s">
        <v>485</v>
      </c>
      <c r="B63" s="825" t="s">
        <v>479</v>
      </c>
      <c r="C63" s="826"/>
      <c r="D63" s="826"/>
      <c r="E63" s="827"/>
      <c r="F63" s="293"/>
      <c r="G63" s="293"/>
      <c r="H63" s="293"/>
      <c r="I63" s="293"/>
      <c r="J63" s="307"/>
      <c r="K63" s="380"/>
      <c r="L63" s="293">
        <f>K63</f>
        <v>0</v>
      </c>
      <c r="M63" s="293"/>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row>
    <row r="64" spans="1:669" s="18" customFormat="1" x14ac:dyDescent="0.2">
      <c r="A64" s="286" t="s">
        <v>617</v>
      </c>
      <c r="B64" s="905" t="s">
        <v>578</v>
      </c>
      <c r="C64" s="906"/>
      <c r="D64" s="906"/>
      <c r="E64" s="907"/>
      <c r="F64" s="293">
        <v>52000</v>
      </c>
      <c r="G64" s="293"/>
      <c r="H64" s="293">
        <v>52000</v>
      </c>
      <c r="I64" s="293">
        <f>'February''23 AR Aging '!G67</f>
        <v>52000</v>
      </c>
      <c r="J64" s="307">
        <f>52000/12*2</f>
        <v>8666.6666666666661</v>
      </c>
      <c r="K64" s="380">
        <f>H64-J64</f>
        <v>43333.333333333336</v>
      </c>
      <c r="L64" s="293">
        <f>K64</f>
        <v>43333.333333333336</v>
      </c>
      <c r="M64" s="293"/>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row>
    <row r="65" spans="1:669" s="18" customFormat="1" hidden="1" x14ac:dyDescent="0.2">
      <c r="A65" s="286" t="s">
        <v>477</v>
      </c>
      <c r="B65" s="1014" t="s">
        <v>465</v>
      </c>
      <c r="C65" s="1015"/>
      <c r="D65" s="1015"/>
      <c r="E65" s="1016"/>
      <c r="F65" s="293"/>
      <c r="G65" s="293"/>
      <c r="H65" s="293"/>
      <c r="I65" s="293"/>
      <c r="J65" s="307"/>
      <c r="K65" s="380"/>
      <c r="L65" s="293">
        <f>K65</f>
        <v>0</v>
      </c>
      <c r="M65" s="293"/>
      <c r="N65" s="29"/>
      <c r="O65" s="29"/>
      <c r="P65" s="29"/>
      <c r="Q65" s="29"/>
      <c r="R65" s="29"/>
      <c r="S65" s="29"/>
      <c r="T65" s="29"/>
      <c r="U65" s="1"/>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row>
    <row r="66" spans="1:669" s="18" customFormat="1" ht="15" x14ac:dyDescent="0.25">
      <c r="A66" s="286" t="s">
        <v>618</v>
      </c>
      <c r="B66" s="1014" t="s">
        <v>579</v>
      </c>
      <c r="C66" s="1015"/>
      <c r="D66" s="1015"/>
      <c r="E66" s="1016"/>
      <c r="F66" s="293">
        <v>21000</v>
      </c>
      <c r="G66" s="293"/>
      <c r="H66" s="293">
        <v>21000</v>
      </c>
      <c r="I66" s="293"/>
      <c r="J66" s="307">
        <f>21000/12*2</f>
        <v>3500</v>
      </c>
      <c r="K66" s="380">
        <f>H66-J66</f>
        <v>17500</v>
      </c>
      <c r="L66" s="293">
        <f>K66</f>
        <v>17500</v>
      </c>
      <c r="M66" s="293"/>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row>
    <row r="67" spans="1:669" s="18" customFormat="1" x14ac:dyDescent="0.2">
      <c r="A67" s="286" t="s">
        <v>478</v>
      </c>
      <c r="B67" s="821" t="s">
        <v>619</v>
      </c>
      <c r="C67" s="822"/>
      <c r="D67" s="822"/>
      <c r="E67" s="823"/>
      <c r="F67" s="293"/>
      <c r="G67" s="293"/>
      <c r="H67" s="293"/>
      <c r="I67" s="293"/>
      <c r="J67" s="307"/>
      <c r="K67" s="380"/>
      <c r="L67" s="293"/>
      <c r="M67" s="293"/>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row>
    <row r="68" spans="1:669" s="18" customFormat="1" hidden="1" x14ac:dyDescent="0.2">
      <c r="A68" s="286" t="s">
        <v>486</v>
      </c>
      <c r="B68" s="825" t="s">
        <v>466</v>
      </c>
      <c r="C68" s="826"/>
      <c r="D68" s="826"/>
      <c r="E68" s="827"/>
      <c r="F68" s="293" t="s">
        <v>480</v>
      </c>
      <c r="G68" s="293"/>
      <c r="H68" s="293"/>
      <c r="I68" s="293">
        <f>'February''23 AR Aging '!G64</f>
        <v>400</v>
      </c>
      <c r="J68" s="307">
        <v>13840</v>
      </c>
      <c r="K68" s="380"/>
      <c r="L68" s="293"/>
      <c r="M68" s="293"/>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row>
    <row r="69" spans="1:669" x14ac:dyDescent="0.2">
      <c r="A69" s="286" t="s">
        <v>20</v>
      </c>
      <c r="B69" s="1014" t="s">
        <v>431</v>
      </c>
      <c r="C69" s="1015"/>
      <c r="D69" s="1015"/>
      <c r="E69" s="1016"/>
      <c r="F69" s="293"/>
      <c r="G69" s="293">
        <v>0</v>
      </c>
      <c r="H69" s="293">
        <f>J69</f>
        <v>5998.07</v>
      </c>
      <c r="I69" s="293"/>
      <c r="J69" s="307">
        <v>5998.07</v>
      </c>
      <c r="K69" s="380">
        <f>H69-J69</f>
        <v>0</v>
      </c>
      <c r="L69" s="293">
        <v>0</v>
      </c>
      <c r="M69" s="293">
        <v>0</v>
      </c>
      <c r="N69" s="29"/>
    </row>
    <row r="70" spans="1:669" x14ac:dyDescent="0.2">
      <c r="A70" s="286" t="s">
        <v>20</v>
      </c>
      <c r="B70" s="1014" t="s">
        <v>6</v>
      </c>
      <c r="C70" s="1015"/>
      <c r="D70" s="1015"/>
      <c r="E70" s="1016"/>
      <c r="F70" s="293"/>
      <c r="G70" s="293">
        <v>374.76</v>
      </c>
      <c r="H70" s="293"/>
      <c r="I70" s="293"/>
      <c r="J70" s="307"/>
      <c r="K70" s="380">
        <f>G70+H70-J70</f>
        <v>374.76</v>
      </c>
      <c r="L70" s="293">
        <f>K70</f>
        <v>374.76</v>
      </c>
      <c r="M70" s="293">
        <v>0</v>
      </c>
      <c r="N70" s="29"/>
    </row>
    <row r="71" spans="1:669" x14ac:dyDescent="0.2">
      <c r="A71" s="286" t="s">
        <v>20</v>
      </c>
      <c r="B71" s="1014" t="s">
        <v>7</v>
      </c>
      <c r="C71" s="1015"/>
      <c r="D71" s="1015"/>
      <c r="E71" s="1016"/>
      <c r="F71" s="293"/>
      <c r="G71" s="293">
        <v>14792.17</v>
      </c>
      <c r="H71" s="293">
        <v>33.81</v>
      </c>
      <c r="I71" s="293">
        <v>0</v>
      </c>
      <c r="J71" s="307">
        <v>2435.25</v>
      </c>
      <c r="K71" s="380">
        <f>G71+H71-J71</f>
        <v>12390.73</v>
      </c>
      <c r="L71" s="293">
        <f>K71</f>
        <v>12390.73</v>
      </c>
      <c r="M71" s="293">
        <v>0</v>
      </c>
      <c r="N71" s="29"/>
    </row>
    <row r="72" spans="1:669" ht="15" thickBot="1" x14ac:dyDescent="0.25">
      <c r="A72" s="286" t="s">
        <v>20</v>
      </c>
      <c r="B72" s="1014" t="s">
        <v>8</v>
      </c>
      <c r="C72" s="1015"/>
      <c r="D72" s="1015"/>
      <c r="E72" s="1016"/>
      <c r="F72" s="293"/>
      <c r="G72" s="293">
        <v>9827.7800000000007</v>
      </c>
      <c r="H72" s="293"/>
      <c r="I72" s="293"/>
      <c r="J72" s="307">
        <v>1.98</v>
      </c>
      <c r="K72" s="380">
        <f>G72+H72-J72</f>
        <v>9825.8000000000011</v>
      </c>
      <c r="L72" s="293">
        <f>K72</f>
        <v>9825.8000000000011</v>
      </c>
      <c r="M72" s="293">
        <v>0</v>
      </c>
      <c r="N72" s="29"/>
    </row>
    <row r="73" spans="1:669" s="25" customFormat="1" ht="15" hidden="1" thickBot="1" x14ac:dyDescent="0.25">
      <c r="A73" s="286" t="s">
        <v>377</v>
      </c>
      <c r="B73" s="1014" t="s">
        <v>363</v>
      </c>
      <c r="C73" s="1015"/>
      <c r="D73" s="1015"/>
      <c r="E73" s="1016"/>
      <c r="F73" s="293"/>
      <c r="G73" s="293"/>
      <c r="H73" s="293"/>
      <c r="I73" s="293"/>
      <c r="J73" s="293"/>
      <c r="K73" s="293"/>
      <c r="L73" s="293"/>
      <c r="M73" s="293"/>
      <c r="N73" s="29"/>
      <c r="O73" s="29"/>
      <c r="P73" s="29"/>
      <c r="Q73" s="29"/>
      <c r="R73" s="29"/>
      <c r="S73" s="29"/>
      <c r="T73" s="29"/>
      <c r="U73" s="1"/>
      <c r="V73" s="29"/>
      <c r="W73" s="29"/>
      <c r="X73" s="29"/>
      <c r="Y73" s="29"/>
      <c r="Z73" s="29"/>
      <c r="AA73" s="29"/>
      <c r="AB73" s="11"/>
      <c r="AC73" s="11"/>
      <c r="AD73" s="11"/>
      <c r="AE73" s="11"/>
      <c r="AF73" s="11"/>
      <c r="AG73" s="11"/>
      <c r="AH73" s="11"/>
      <c r="AI73" s="11"/>
      <c r="AJ73" s="11"/>
      <c r="AK73" s="11"/>
      <c r="AL73" s="1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row>
    <row r="74" spans="1:669" s="25" customFormat="1" ht="15" hidden="1" thickBot="1" x14ac:dyDescent="0.25">
      <c r="A74" s="286" t="s">
        <v>20</v>
      </c>
      <c r="B74" s="776" t="s">
        <v>75</v>
      </c>
      <c r="C74" s="777"/>
      <c r="D74" s="777"/>
      <c r="E74" s="778"/>
      <c r="F74" s="293"/>
      <c r="G74" s="293"/>
      <c r="H74" s="293"/>
      <c r="I74" s="293"/>
      <c r="J74" s="293"/>
      <c r="K74" s="293"/>
      <c r="L74" s="293"/>
      <c r="M74" s="293"/>
      <c r="N74" s="29"/>
      <c r="O74" s="29"/>
      <c r="P74" s="29"/>
      <c r="Q74" s="29"/>
      <c r="R74" s="29"/>
      <c r="S74" s="29"/>
      <c r="T74" s="29"/>
      <c r="U74" s="1"/>
      <c r="V74" s="29"/>
      <c r="W74" s="29"/>
      <c r="X74" s="29"/>
      <c r="Y74" s="29"/>
      <c r="Z74" s="29"/>
      <c r="AA74" s="29"/>
      <c r="AB74" s="11"/>
      <c r="AC74" s="11"/>
      <c r="AD74" s="11"/>
      <c r="AE74" s="11"/>
      <c r="AF74" s="11"/>
      <c r="AG74" s="11"/>
      <c r="AH74" s="11"/>
      <c r="AI74" s="11"/>
      <c r="AJ74" s="11"/>
      <c r="AK74" s="11"/>
      <c r="AL74" s="1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row>
    <row r="75" spans="1:669" s="18" customFormat="1" ht="15" hidden="1" customHeight="1" thickBot="1" x14ac:dyDescent="0.25">
      <c r="A75" s="287"/>
      <c r="B75" s="1014"/>
      <c r="C75" s="1015"/>
      <c r="D75" s="1015"/>
      <c r="E75" s="1016"/>
      <c r="F75" s="294"/>
      <c r="G75" s="294">
        <v>0</v>
      </c>
      <c r="H75" s="294"/>
      <c r="I75" s="303"/>
      <c r="J75" s="294"/>
      <c r="K75" s="294"/>
      <c r="L75" s="294"/>
      <c r="M75" s="294">
        <v>0</v>
      </c>
      <c r="N75" s="29"/>
      <c r="O75" s="29"/>
      <c r="P75" s="29"/>
      <c r="Q75" s="29"/>
      <c r="R75" s="29"/>
      <c r="S75" s="29"/>
      <c r="T75" s="29"/>
      <c r="U75" s="1"/>
      <c r="V75" s="29"/>
      <c r="W75" s="29"/>
      <c r="X75" s="29"/>
      <c r="Y75" s="29"/>
      <c r="Z75" s="29"/>
      <c r="AA75" s="29"/>
      <c r="AB75" s="11"/>
      <c r="AC75" s="11"/>
      <c r="AD75" s="11"/>
      <c r="AE75" s="11"/>
      <c r="AF75" s="11"/>
      <c r="AG75" s="11"/>
      <c r="AH75" s="11"/>
      <c r="AI75" s="11"/>
      <c r="AJ75" s="11"/>
      <c r="AK75" s="11"/>
      <c r="AL75" s="1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row>
    <row r="76" spans="1:669" s="252" customFormat="1" ht="15.75" thickBot="1" x14ac:dyDescent="0.3">
      <c r="A76" s="315" t="s">
        <v>34</v>
      </c>
      <c r="B76" s="316"/>
      <c r="C76" s="316"/>
      <c r="D76" s="316"/>
      <c r="E76" s="317"/>
      <c r="F76" s="373">
        <f t="shared" ref="F76:M76" si="3">SUM(F62:F75)</f>
        <v>73000</v>
      </c>
      <c r="G76" s="374">
        <f t="shared" si="3"/>
        <v>24994.71</v>
      </c>
      <c r="H76" s="374">
        <f t="shared" si="3"/>
        <v>79031.88</v>
      </c>
      <c r="I76" s="374">
        <f t="shared" si="3"/>
        <v>52400</v>
      </c>
      <c r="J76" s="374">
        <f t="shared" si="3"/>
        <v>34441.966666666667</v>
      </c>
      <c r="K76" s="375">
        <f t="shared" si="3"/>
        <v>83424.623333333337</v>
      </c>
      <c r="L76" s="376">
        <f t="shared" si="3"/>
        <v>83424.623333333337</v>
      </c>
      <c r="M76" s="375">
        <f t="shared" si="3"/>
        <v>0</v>
      </c>
      <c r="N76" s="250"/>
      <c r="O76" s="250"/>
      <c r="P76" s="250"/>
      <c r="Q76" s="250"/>
      <c r="R76" s="250"/>
      <c r="S76" s="250"/>
      <c r="T76" s="250"/>
      <c r="U76" s="251"/>
      <c r="V76" s="250"/>
      <c r="W76" s="250"/>
      <c r="X76" s="250"/>
      <c r="Y76" s="250"/>
      <c r="Z76" s="250"/>
      <c r="AA76" s="250"/>
      <c r="AB76" s="250"/>
      <c r="AC76" s="250"/>
      <c r="AD76" s="250"/>
      <c r="AE76" s="250"/>
      <c r="AF76" s="250"/>
      <c r="AG76" s="250"/>
      <c r="AH76" s="250"/>
      <c r="AI76" s="250"/>
      <c r="AJ76" s="250"/>
      <c r="AK76" s="250"/>
      <c r="AL76" s="250"/>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251"/>
      <c r="MV76" s="251"/>
      <c r="MW76" s="251"/>
      <c r="MX76" s="251"/>
      <c r="MY76" s="251"/>
      <c r="MZ76" s="251"/>
      <c r="NA76" s="251"/>
      <c r="NB76" s="251"/>
      <c r="NC76" s="251"/>
      <c r="ND76" s="251"/>
      <c r="NE76" s="251"/>
      <c r="NF76" s="251"/>
      <c r="NG76" s="251"/>
      <c r="NH76" s="251"/>
      <c r="NI76" s="251"/>
      <c r="NJ76" s="251"/>
      <c r="NK76" s="251"/>
      <c r="NL76" s="251"/>
      <c r="NM76" s="251"/>
      <c r="NN76" s="251"/>
      <c r="NO76" s="251"/>
      <c r="NP76" s="251"/>
      <c r="NQ76" s="251"/>
      <c r="NR76" s="251"/>
      <c r="NS76" s="251"/>
      <c r="NT76" s="251"/>
      <c r="NU76" s="251"/>
      <c r="NV76" s="251"/>
      <c r="NW76" s="251"/>
      <c r="NX76" s="251"/>
      <c r="NY76" s="251"/>
      <c r="NZ76" s="251"/>
      <c r="OA76" s="251"/>
      <c r="OB76" s="251"/>
      <c r="OC76" s="251"/>
      <c r="OD76" s="251"/>
      <c r="OE76" s="251"/>
      <c r="OF76" s="251"/>
      <c r="OG76" s="251"/>
      <c r="OH76" s="251"/>
      <c r="OI76" s="251"/>
      <c r="OJ76" s="251"/>
      <c r="OK76" s="251"/>
      <c r="OL76" s="251"/>
      <c r="OM76" s="251"/>
      <c r="ON76" s="251"/>
      <c r="OO76" s="251"/>
      <c r="OP76" s="251"/>
      <c r="OQ76" s="251"/>
      <c r="OR76" s="251"/>
      <c r="OS76" s="251"/>
      <c r="OT76" s="251"/>
      <c r="OU76" s="251"/>
      <c r="OV76" s="251"/>
      <c r="OW76" s="251"/>
      <c r="OX76" s="251"/>
      <c r="OY76" s="251"/>
      <c r="OZ76" s="251"/>
      <c r="PA76" s="251"/>
      <c r="PB76" s="251"/>
      <c r="PC76" s="251"/>
      <c r="PD76" s="251"/>
      <c r="PE76" s="251"/>
      <c r="PF76" s="251"/>
      <c r="PG76" s="251"/>
      <c r="PH76" s="251"/>
      <c r="PI76" s="251"/>
      <c r="PJ76" s="251"/>
      <c r="PK76" s="251"/>
      <c r="PL76" s="251"/>
      <c r="PM76" s="251"/>
      <c r="PN76" s="251"/>
      <c r="PO76" s="251"/>
      <c r="PP76" s="251"/>
      <c r="PQ76" s="251"/>
      <c r="PR76" s="251"/>
      <c r="PS76" s="251"/>
      <c r="PT76" s="251"/>
      <c r="PU76" s="251"/>
      <c r="PV76" s="251"/>
      <c r="PW76" s="251"/>
      <c r="PX76" s="251"/>
      <c r="PY76" s="251"/>
      <c r="PZ76" s="251"/>
      <c r="QA76" s="251"/>
      <c r="QB76" s="251"/>
      <c r="QC76" s="251"/>
      <c r="QD76" s="251"/>
      <c r="QE76" s="251"/>
      <c r="QF76" s="251"/>
      <c r="QG76" s="251"/>
      <c r="QH76" s="251"/>
      <c r="QI76" s="251"/>
      <c r="QJ76" s="251"/>
      <c r="QK76" s="251"/>
      <c r="QL76" s="251"/>
      <c r="QM76" s="251"/>
      <c r="QN76" s="251"/>
      <c r="QO76" s="251"/>
      <c r="QP76" s="251"/>
      <c r="QQ76" s="251"/>
      <c r="QR76" s="251"/>
      <c r="QS76" s="251"/>
      <c r="QT76" s="251"/>
      <c r="QU76" s="251"/>
      <c r="QV76" s="251"/>
      <c r="QW76" s="251"/>
      <c r="QX76" s="251"/>
      <c r="QY76" s="251"/>
      <c r="QZ76" s="251"/>
      <c r="RA76" s="251"/>
      <c r="RB76" s="251"/>
      <c r="RC76" s="251"/>
      <c r="RD76" s="251"/>
      <c r="RE76" s="251"/>
      <c r="RF76" s="251"/>
      <c r="RG76" s="251"/>
      <c r="RH76" s="251"/>
      <c r="RI76" s="251"/>
      <c r="RJ76" s="251"/>
      <c r="RK76" s="251"/>
      <c r="RL76" s="251"/>
      <c r="RM76" s="251"/>
      <c r="RN76" s="251"/>
      <c r="RO76" s="251"/>
      <c r="RP76" s="251"/>
      <c r="RQ76" s="251"/>
      <c r="RR76" s="251"/>
      <c r="RS76" s="251"/>
      <c r="RT76" s="251"/>
      <c r="RU76" s="251"/>
      <c r="RV76" s="251"/>
      <c r="RW76" s="251"/>
      <c r="RX76" s="251"/>
      <c r="RY76" s="251"/>
      <c r="RZ76" s="251"/>
      <c r="SA76" s="251"/>
      <c r="SB76" s="251"/>
      <c r="SC76" s="251"/>
      <c r="SD76" s="251"/>
      <c r="SE76" s="251"/>
      <c r="SF76" s="251"/>
      <c r="SG76" s="251"/>
      <c r="SH76" s="251"/>
      <c r="SI76" s="251"/>
      <c r="SJ76" s="251"/>
      <c r="SK76" s="251"/>
      <c r="SL76" s="251"/>
      <c r="SM76" s="251"/>
      <c r="SN76" s="251"/>
      <c r="SO76" s="251"/>
      <c r="SP76" s="251"/>
      <c r="SQ76" s="251"/>
      <c r="SR76" s="251"/>
      <c r="SS76" s="251"/>
      <c r="ST76" s="251"/>
      <c r="SU76" s="251"/>
      <c r="SV76" s="251"/>
      <c r="SW76" s="251"/>
      <c r="SX76" s="251"/>
      <c r="SY76" s="251"/>
      <c r="SZ76" s="251"/>
      <c r="TA76" s="251"/>
      <c r="TB76" s="251"/>
      <c r="TC76" s="251"/>
      <c r="TD76" s="251"/>
      <c r="TE76" s="251"/>
      <c r="TF76" s="251"/>
      <c r="TG76" s="251"/>
      <c r="TH76" s="251"/>
      <c r="TI76" s="251"/>
      <c r="TJ76" s="251"/>
      <c r="TK76" s="251"/>
      <c r="TL76" s="251"/>
      <c r="TM76" s="251"/>
      <c r="TN76" s="251"/>
      <c r="TO76" s="251"/>
      <c r="TP76" s="251"/>
      <c r="TQ76" s="251"/>
      <c r="TR76" s="251"/>
      <c r="TS76" s="251"/>
      <c r="TT76" s="251"/>
      <c r="TU76" s="251"/>
      <c r="TV76" s="251"/>
      <c r="TW76" s="251"/>
      <c r="TX76" s="251"/>
      <c r="TY76" s="251"/>
      <c r="TZ76" s="251"/>
      <c r="UA76" s="251"/>
      <c r="UB76" s="251"/>
      <c r="UC76" s="251"/>
      <c r="UD76" s="251"/>
      <c r="UE76" s="251"/>
      <c r="UF76" s="251"/>
      <c r="UG76" s="251"/>
      <c r="UH76" s="251"/>
      <c r="UI76" s="251"/>
      <c r="UJ76" s="251"/>
      <c r="UK76" s="251"/>
      <c r="UL76" s="251"/>
      <c r="UM76" s="251"/>
      <c r="UN76" s="251"/>
      <c r="UO76" s="251"/>
      <c r="UP76" s="251"/>
      <c r="UQ76" s="251"/>
      <c r="UR76" s="251"/>
      <c r="US76" s="251"/>
      <c r="UT76" s="251"/>
      <c r="UU76" s="251"/>
      <c r="UV76" s="251"/>
      <c r="UW76" s="251"/>
      <c r="UX76" s="251"/>
      <c r="UY76" s="251"/>
      <c r="UZ76" s="251"/>
      <c r="VA76" s="251"/>
      <c r="VB76" s="251"/>
      <c r="VC76" s="251"/>
      <c r="VD76" s="251"/>
      <c r="VE76" s="251"/>
      <c r="VF76" s="251"/>
      <c r="VG76" s="251"/>
      <c r="VH76" s="251"/>
      <c r="VI76" s="251"/>
      <c r="VJ76" s="251"/>
      <c r="VK76" s="251"/>
      <c r="VL76" s="251"/>
      <c r="VM76" s="251"/>
      <c r="VN76" s="251"/>
      <c r="VO76" s="251"/>
      <c r="VP76" s="251"/>
      <c r="VQ76" s="251"/>
      <c r="VR76" s="251"/>
      <c r="VS76" s="251"/>
      <c r="VT76" s="251"/>
      <c r="VU76" s="251"/>
      <c r="VV76" s="251"/>
      <c r="VW76" s="251"/>
      <c r="VX76" s="251"/>
      <c r="VY76" s="251"/>
      <c r="VZ76" s="251"/>
      <c r="WA76" s="251"/>
      <c r="WB76" s="251"/>
      <c r="WC76" s="251"/>
      <c r="WD76" s="251"/>
      <c r="WE76" s="251"/>
      <c r="WF76" s="251"/>
      <c r="WG76" s="251"/>
      <c r="WH76" s="251"/>
      <c r="WI76" s="251"/>
      <c r="WJ76" s="251"/>
      <c r="WK76" s="251"/>
      <c r="WL76" s="251"/>
      <c r="WM76" s="251"/>
      <c r="WN76" s="251"/>
      <c r="WO76" s="251"/>
      <c r="WP76" s="251"/>
      <c r="WQ76" s="251"/>
      <c r="WR76" s="251"/>
      <c r="WS76" s="251"/>
      <c r="WT76" s="251"/>
      <c r="WU76" s="251"/>
      <c r="WV76" s="251"/>
      <c r="WW76" s="251"/>
      <c r="WX76" s="251"/>
      <c r="WY76" s="251"/>
      <c r="WZ76" s="251"/>
      <c r="XA76" s="251"/>
      <c r="XB76" s="251"/>
      <c r="XC76" s="251"/>
      <c r="XD76" s="251"/>
      <c r="XE76" s="251"/>
      <c r="XF76" s="251"/>
      <c r="XG76" s="251"/>
      <c r="XH76" s="251"/>
      <c r="XI76" s="251"/>
      <c r="XJ76" s="251"/>
      <c r="XK76" s="251"/>
      <c r="XL76" s="251"/>
      <c r="XM76" s="251"/>
      <c r="XN76" s="251"/>
      <c r="XO76" s="251"/>
      <c r="XP76" s="251"/>
      <c r="XQ76" s="251"/>
      <c r="XR76" s="251"/>
      <c r="XS76" s="251"/>
      <c r="XT76" s="251"/>
      <c r="XU76" s="251"/>
      <c r="XV76" s="251"/>
      <c r="XW76" s="251"/>
      <c r="XX76" s="251"/>
      <c r="XY76" s="251"/>
      <c r="XZ76" s="251"/>
      <c r="YA76" s="251"/>
      <c r="YB76" s="251"/>
      <c r="YC76" s="251"/>
      <c r="YD76" s="251"/>
      <c r="YE76" s="251"/>
      <c r="YF76" s="251"/>
      <c r="YG76" s="251"/>
      <c r="YH76" s="251"/>
      <c r="YI76" s="251"/>
      <c r="YJ76" s="251"/>
      <c r="YK76" s="251"/>
      <c r="YL76" s="251"/>
      <c r="YM76" s="251"/>
      <c r="YN76" s="251"/>
      <c r="YO76" s="251"/>
      <c r="YP76" s="251"/>
      <c r="YQ76" s="251"/>
      <c r="YR76" s="251"/>
      <c r="YS76" s="251"/>
    </row>
    <row r="77" spans="1:669" ht="15" thickBot="1" x14ac:dyDescent="0.25">
      <c r="H77" s="28"/>
      <c r="L77" s="666" t="s">
        <v>343</v>
      </c>
      <c r="N77" s="29"/>
    </row>
    <row r="78" spans="1:669" s="48" customFormat="1" ht="16.5" thickBot="1" x14ac:dyDescent="0.3">
      <c r="A78" s="52"/>
      <c r="B78" s="53"/>
      <c r="C78" s="53"/>
      <c r="D78" s="53"/>
      <c r="E78" s="53"/>
      <c r="F78" s="53"/>
      <c r="G78" s="53"/>
      <c r="H78" s="53"/>
      <c r="I78" s="53"/>
      <c r="J78" s="53"/>
      <c r="K78" s="53"/>
      <c r="L78" s="485">
        <f>L76+J58</f>
        <v>125989.98999999999</v>
      </c>
      <c r="M78" s="660"/>
      <c r="N78" s="29"/>
      <c r="O78" s="29"/>
      <c r="P78" s="29"/>
      <c r="Q78" s="29"/>
      <c r="R78" s="29"/>
      <c r="S78" s="29"/>
      <c r="T78" s="29"/>
      <c r="U78" s="29"/>
      <c r="V78" s="29"/>
      <c r="W78" s="29"/>
      <c r="X78" s="29"/>
      <c r="Y78" s="29"/>
      <c r="Z78" s="29"/>
      <c r="AA78" s="29"/>
      <c r="AB78" s="11"/>
      <c r="AC78" s="11"/>
      <c r="AD78" s="11"/>
      <c r="AE78" s="11"/>
      <c r="AF78" s="11"/>
      <c r="AG78" s="11"/>
      <c r="AH78" s="11"/>
      <c r="AI78" s="11"/>
      <c r="AJ78" s="11"/>
      <c r="AK78" s="11"/>
      <c r="AL78" s="1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row>
    <row r="79" spans="1:669" s="51" customFormat="1" ht="31.5" hidden="1" x14ac:dyDescent="0.25">
      <c r="A79" s="54"/>
      <c r="B79" s="50"/>
      <c r="C79" s="50"/>
      <c r="D79" s="50"/>
      <c r="E79" s="50"/>
      <c r="F79" s="50"/>
      <c r="G79" s="149" t="s">
        <v>170</v>
      </c>
      <c r="H79" s="150" t="s">
        <v>162</v>
      </c>
      <c r="I79" s="150" t="s">
        <v>97</v>
      </c>
      <c r="J79" s="150" t="s">
        <v>53</v>
      </c>
      <c r="K79" s="151" t="s">
        <v>41</v>
      </c>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c r="GE79" s="49"/>
      <c r="GF79" s="49"/>
      <c r="GG79" s="49"/>
      <c r="GH79" s="49"/>
      <c r="GI79" s="49"/>
      <c r="GJ79" s="49"/>
      <c r="GK79" s="49"/>
      <c r="GL79" s="49"/>
      <c r="GM79" s="49"/>
      <c r="GN79" s="49"/>
      <c r="GO79" s="49"/>
      <c r="GP79" s="49"/>
      <c r="GQ79" s="49"/>
      <c r="GR79" s="49"/>
      <c r="GS79" s="49"/>
      <c r="GT79" s="49"/>
      <c r="GU79" s="49"/>
      <c r="GV79" s="49"/>
      <c r="GW79" s="49"/>
      <c r="GX79" s="49"/>
      <c r="GY79" s="49"/>
      <c r="GZ79" s="49"/>
      <c r="HA79" s="49"/>
      <c r="HB79" s="49"/>
      <c r="HC79" s="49"/>
      <c r="HD79" s="49"/>
      <c r="HE79" s="49"/>
      <c r="HF79" s="49"/>
      <c r="HG79" s="49"/>
      <c r="HH79" s="49"/>
      <c r="HI79" s="49"/>
      <c r="HJ79" s="49"/>
      <c r="HK79" s="49"/>
      <c r="HL79" s="49"/>
      <c r="HM79" s="49"/>
      <c r="HN79" s="49"/>
      <c r="HO79" s="49"/>
      <c r="HP79" s="49"/>
      <c r="HQ79" s="49"/>
      <c r="HR79" s="49"/>
      <c r="HS79" s="49"/>
      <c r="HT79" s="49"/>
      <c r="HU79" s="49"/>
      <c r="HV79" s="49"/>
      <c r="HW79" s="49"/>
      <c r="HX79" s="49"/>
      <c r="HY79" s="49"/>
      <c r="HZ79" s="49"/>
      <c r="IA79" s="49"/>
      <c r="IB79" s="49"/>
      <c r="IC79" s="49"/>
      <c r="ID79" s="49"/>
      <c r="IE79" s="49"/>
      <c r="IF79" s="49"/>
      <c r="IG79" s="49"/>
      <c r="IH79" s="49"/>
      <c r="II79" s="49"/>
      <c r="IJ79" s="49"/>
      <c r="IK79" s="49"/>
      <c r="IL79" s="49"/>
      <c r="IM79" s="49"/>
      <c r="IN79" s="49"/>
      <c r="IO79" s="49"/>
      <c r="IP79" s="49"/>
      <c r="IQ79" s="49"/>
      <c r="IR79" s="49"/>
      <c r="IS79" s="49"/>
      <c r="IT79" s="49"/>
      <c r="IU79" s="49"/>
      <c r="IV79" s="49"/>
      <c r="IW79" s="49"/>
      <c r="IX79" s="49"/>
      <c r="IY79" s="49"/>
      <c r="IZ79" s="49"/>
      <c r="JA79" s="49"/>
      <c r="JB79" s="49"/>
      <c r="JC79" s="49"/>
      <c r="JD79" s="49"/>
      <c r="JE79" s="49"/>
      <c r="JF79" s="49"/>
      <c r="JG79" s="49"/>
      <c r="JH79" s="49"/>
      <c r="JI79" s="49"/>
      <c r="JJ79" s="49"/>
      <c r="JK79" s="49"/>
      <c r="JL79" s="49"/>
      <c r="JM79" s="49"/>
      <c r="JN79" s="49"/>
      <c r="JO79" s="49"/>
      <c r="JP79" s="49"/>
      <c r="JQ79" s="49"/>
      <c r="JR79" s="49"/>
      <c r="JS79" s="49"/>
      <c r="JT79" s="49"/>
      <c r="JU79" s="49"/>
      <c r="JV79" s="49"/>
      <c r="JW79" s="49"/>
      <c r="JX79" s="49"/>
      <c r="JY79" s="49"/>
      <c r="JZ79" s="49"/>
      <c r="KA79" s="49"/>
      <c r="KB79" s="49"/>
      <c r="KC79" s="49"/>
      <c r="KD79" s="49"/>
      <c r="KE79" s="49"/>
      <c r="KF79" s="49"/>
      <c r="KG79" s="49"/>
      <c r="KH79" s="49"/>
      <c r="KI79" s="49"/>
      <c r="KJ79" s="49"/>
      <c r="KK79" s="49"/>
      <c r="KL79" s="49"/>
      <c r="KM79" s="49"/>
      <c r="KN79" s="49"/>
      <c r="KO79" s="49"/>
      <c r="KP79" s="49"/>
      <c r="KQ79" s="49"/>
      <c r="KR79" s="49"/>
      <c r="KS79" s="49"/>
      <c r="KT79" s="49"/>
      <c r="KU79" s="49"/>
      <c r="KV79" s="49"/>
      <c r="KW79" s="49"/>
      <c r="KX79" s="49"/>
      <c r="KY79" s="49"/>
      <c r="KZ79" s="49"/>
      <c r="LA79" s="49"/>
      <c r="LB79" s="49"/>
      <c r="LC79" s="49"/>
      <c r="LD79" s="49"/>
      <c r="LE79" s="49"/>
      <c r="LF79" s="49"/>
      <c r="LG79" s="49"/>
      <c r="LH79" s="49"/>
      <c r="LI79" s="49"/>
      <c r="LJ79" s="49"/>
      <c r="LK79" s="49"/>
      <c r="LL79" s="49"/>
      <c r="LM79" s="49"/>
      <c r="LN79" s="49"/>
      <c r="LO79" s="49"/>
      <c r="LP79" s="49"/>
      <c r="LQ79" s="49"/>
      <c r="LR79" s="49"/>
      <c r="LS79" s="49"/>
      <c r="LT79" s="49"/>
      <c r="LU79" s="49"/>
      <c r="LV79" s="49"/>
      <c r="LW79" s="49"/>
      <c r="LX79" s="49"/>
      <c r="LY79" s="49"/>
      <c r="LZ79" s="49"/>
      <c r="MA79" s="49"/>
      <c r="MB79" s="49"/>
      <c r="MC79" s="49"/>
      <c r="MD79" s="49"/>
      <c r="ME79" s="49"/>
      <c r="MF79" s="49"/>
      <c r="MG79" s="49"/>
      <c r="MH79" s="49"/>
      <c r="MI79" s="49"/>
      <c r="MJ79" s="49"/>
      <c r="MK79" s="49"/>
      <c r="ML79" s="49"/>
      <c r="MM79" s="49"/>
      <c r="MN79" s="49"/>
      <c r="MO79" s="49"/>
      <c r="MP79" s="49"/>
      <c r="MQ79" s="49"/>
      <c r="MR79" s="49"/>
      <c r="MS79" s="49"/>
      <c r="MT79" s="49"/>
      <c r="MU79" s="49"/>
      <c r="MV79" s="49"/>
      <c r="MW79" s="49"/>
      <c r="MX79" s="49"/>
      <c r="MY79" s="49"/>
      <c r="MZ79" s="49"/>
      <c r="NA79" s="49"/>
      <c r="NB79" s="49"/>
      <c r="NC79" s="49"/>
      <c r="ND79" s="49"/>
      <c r="NE79" s="49"/>
      <c r="NF79" s="49"/>
      <c r="NG79" s="49"/>
      <c r="NH79" s="49"/>
      <c r="NI79" s="49"/>
      <c r="NJ79" s="49"/>
      <c r="NK79" s="49"/>
      <c r="NL79" s="49"/>
      <c r="NM79" s="49"/>
      <c r="NN79" s="49"/>
      <c r="NO79" s="49"/>
      <c r="NP79" s="49"/>
      <c r="NQ79" s="49"/>
      <c r="NR79" s="49"/>
      <c r="NS79" s="49"/>
      <c r="NT79" s="49"/>
      <c r="NU79" s="49"/>
      <c r="NV79" s="49"/>
      <c r="NW79" s="49"/>
      <c r="NX79" s="49"/>
      <c r="NY79" s="49"/>
      <c r="NZ79" s="49"/>
      <c r="OA79" s="49"/>
      <c r="OB79" s="49"/>
      <c r="OC79" s="49"/>
      <c r="OD79" s="49"/>
      <c r="OE79" s="49"/>
      <c r="OF79" s="49"/>
      <c r="OG79" s="49"/>
      <c r="OH79" s="49"/>
      <c r="OI79" s="49"/>
      <c r="OJ79" s="49"/>
      <c r="OK79" s="49"/>
      <c r="OL79" s="49"/>
      <c r="OM79" s="49"/>
      <c r="ON79" s="49"/>
      <c r="OO79" s="49"/>
      <c r="OP79" s="49"/>
      <c r="OQ79" s="49"/>
      <c r="OR79" s="49"/>
      <c r="OS79" s="49"/>
      <c r="OT79" s="49"/>
      <c r="OU79" s="49"/>
      <c r="OV79" s="49"/>
      <c r="OW79" s="49"/>
      <c r="OX79" s="49"/>
      <c r="OY79" s="49"/>
      <c r="OZ79" s="49"/>
      <c r="PA79" s="49"/>
      <c r="PB79" s="49"/>
      <c r="PC79" s="49"/>
      <c r="PD79" s="49"/>
      <c r="PE79" s="49"/>
      <c r="PF79" s="49"/>
      <c r="PG79" s="49"/>
      <c r="PH79" s="49"/>
      <c r="PI79" s="49"/>
      <c r="PJ79" s="49"/>
      <c r="PK79" s="49"/>
      <c r="PL79" s="49"/>
      <c r="PM79" s="49"/>
      <c r="PN79" s="49"/>
      <c r="PO79" s="49"/>
      <c r="PP79" s="49"/>
      <c r="PQ79" s="49"/>
      <c r="PR79" s="49"/>
      <c r="PS79" s="49"/>
      <c r="PT79" s="49"/>
      <c r="PU79" s="49"/>
      <c r="PV79" s="49"/>
      <c r="PW79" s="49"/>
      <c r="PX79" s="49"/>
      <c r="PY79" s="49"/>
      <c r="PZ79" s="49"/>
      <c r="QA79" s="49"/>
      <c r="QB79" s="49"/>
      <c r="QC79" s="49"/>
      <c r="QD79" s="49"/>
      <c r="QE79" s="49"/>
      <c r="QF79" s="49"/>
      <c r="QG79" s="49"/>
      <c r="QH79" s="49"/>
      <c r="QI79" s="49"/>
      <c r="QJ79" s="49"/>
      <c r="QK79" s="49"/>
      <c r="QL79" s="49"/>
      <c r="QM79" s="49"/>
      <c r="QN79" s="49"/>
      <c r="QO79" s="49"/>
      <c r="QP79" s="49"/>
      <c r="QQ79" s="49"/>
      <c r="QR79" s="49"/>
      <c r="QS79" s="49"/>
      <c r="QT79" s="49"/>
      <c r="QU79" s="49"/>
      <c r="QV79" s="49"/>
      <c r="QW79" s="49"/>
      <c r="QX79" s="49"/>
      <c r="QY79" s="49"/>
      <c r="QZ79" s="49"/>
      <c r="RA79" s="49"/>
      <c r="RB79" s="49"/>
      <c r="RC79" s="49"/>
      <c r="RD79" s="49"/>
      <c r="RE79" s="49"/>
      <c r="RF79" s="49"/>
      <c r="RG79" s="49"/>
      <c r="RH79" s="49"/>
      <c r="RI79" s="49"/>
      <c r="RJ79" s="49"/>
      <c r="RK79" s="49"/>
      <c r="RL79" s="49"/>
      <c r="RM79" s="49"/>
      <c r="RN79" s="49"/>
      <c r="RO79" s="49"/>
      <c r="RP79" s="49"/>
      <c r="RQ79" s="49"/>
      <c r="RR79" s="49"/>
      <c r="RS79" s="49"/>
      <c r="RT79" s="49"/>
      <c r="RU79" s="49"/>
      <c r="RV79" s="49"/>
      <c r="RW79" s="49"/>
      <c r="RX79" s="49"/>
      <c r="RY79" s="49"/>
      <c r="RZ79" s="49"/>
      <c r="SA79" s="49"/>
      <c r="SB79" s="49"/>
      <c r="SC79" s="49"/>
      <c r="SD79" s="49"/>
      <c r="SE79" s="49"/>
      <c r="SF79" s="49"/>
      <c r="SG79" s="49"/>
      <c r="SH79" s="49"/>
      <c r="SI79" s="49"/>
      <c r="SJ79" s="49"/>
      <c r="SK79" s="49"/>
      <c r="SL79" s="49"/>
      <c r="SM79" s="49"/>
      <c r="SN79" s="49"/>
      <c r="SO79" s="49"/>
      <c r="SP79" s="49"/>
      <c r="SQ79" s="49"/>
      <c r="SR79" s="49"/>
      <c r="SS79" s="49"/>
      <c r="ST79" s="49"/>
      <c r="SU79" s="49"/>
      <c r="SV79" s="49"/>
      <c r="SW79" s="49"/>
      <c r="SX79" s="49"/>
      <c r="SY79" s="49"/>
      <c r="SZ79" s="49"/>
      <c r="TA79" s="49"/>
      <c r="TB79" s="49"/>
      <c r="TC79" s="49"/>
      <c r="TD79" s="49"/>
      <c r="TE79" s="49"/>
      <c r="TF79" s="49"/>
      <c r="TG79" s="49"/>
      <c r="TH79" s="49"/>
      <c r="TI79" s="49"/>
      <c r="TJ79" s="49"/>
      <c r="TK79" s="49"/>
      <c r="TL79" s="49"/>
      <c r="TM79" s="49"/>
      <c r="TN79" s="49"/>
      <c r="TO79" s="49"/>
      <c r="TP79" s="49"/>
      <c r="TQ79" s="49"/>
      <c r="TR79" s="49"/>
      <c r="TS79" s="49"/>
      <c r="TT79" s="49"/>
      <c r="TU79" s="49"/>
      <c r="TV79" s="49"/>
      <c r="TW79" s="49"/>
      <c r="TX79" s="49"/>
      <c r="TY79" s="49"/>
      <c r="TZ79" s="49"/>
      <c r="UA79" s="49"/>
      <c r="UB79" s="49"/>
      <c r="UC79" s="49"/>
      <c r="UD79" s="49"/>
      <c r="UE79" s="49"/>
      <c r="UF79" s="49"/>
      <c r="UG79" s="49"/>
      <c r="UH79" s="49"/>
      <c r="UI79" s="49"/>
      <c r="UJ79" s="49"/>
      <c r="UK79" s="49"/>
      <c r="UL79" s="49"/>
      <c r="UM79" s="49"/>
      <c r="UN79" s="49"/>
      <c r="UO79" s="49"/>
      <c r="UP79" s="49"/>
      <c r="UQ79" s="49"/>
      <c r="UR79" s="49"/>
      <c r="US79" s="49"/>
      <c r="UT79" s="49"/>
      <c r="UU79" s="49"/>
      <c r="UV79" s="49"/>
      <c r="UW79" s="49"/>
      <c r="UX79" s="49"/>
      <c r="UY79" s="49"/>
      <c r="UZ79" s="49"/>
      <c r="VA79" s="49"/>
      <c r="VB79" s="49"/>
      <c r="VC79" s="49"/>
      <c r="VD79" s="49"/>
      <c r="VE79" s="49"/>
      <c r="VF79" s="49"/>
      <c r="VG79" s="49"/>
      <c r="VH79" s="49"/>
      <c r="VI79" s="49"/>
      <c r="VJ79" s="49"/>
      <c r="VK79" s="49"/>
      <c r="VL79" s="49"/>
      <c r="VM79" s="49"/>
      <c r="VN79" s="49"/>
      <c r="VO79" s="49"/>
      <c r="VP79" s="49"/>
      <c r="VQ79" s="49"/>
      <c r="VR79" s="49"/>
      <c r="VS79" s="49"/>
      <c r="VT79" s="49"/>
      <c r="VU79" s="49"/>
      <c r="VV79" s="49"/>
      <c r="VW79" s="49"/>
      <c r="VX79" s="49"/>
      <c r="VY79" s="49"/>
      <c r="VZ79" s="49"/>
      <c r="WA79" s="49"/>
      <c r="WB79" s="49"/>
      <c r="WC79" s="49"/>
      <c r="WD79" s="49"/>
      <c r="WE79" s="49"/>
      <c r="WF79" s="49"/>
      <c r="WG79" s="49"/>
      <c r="WH79" s="49"/>
      <c r="WI79" s="49"/>
      <c r="WJ79" s="49"/>
      <c r="WK79" s="49"/>
      <c r="WL79" s="49"/>
      <c r="WM79" s="49"/>
      <c r="WN79" s="49"/>
      <c r="WO79" s="49"/>
      <c r="WP79" s="49"/>
      <c r="WQ79" s="49"/>
      <c r="WR79" s="49"/>
      <c r="WS79" s="49"/>
      <c r="WT79" s="49"/>
      <c r="WU79" s="49"/>
      <c r="WV79" s="49"/>
      <c r="WW79" s="49"/>
      <c r="WX79" s="49"/>
      <c r="WY79" s="49"/>
      <c r="WZ79" s="49"/>
      <c r="XA79" s="49"/>
      <c r="XB79" s="49"/>
      <c r="XC79" s="49"/>
      <c r="XD79" s="49"/>
      <c r="XE79" s="49"/>
      <c r="XF79" s="49"/>
      <c r="XG79" s="49"/>
      <c r="XH79" s="49"/>
      <c r="XI79" s="49"/>
      <c r="XJ79" s="49"/>
      <c r="XK79" s="49"/>
      <c r="XL79" s="49"/>
      <c r="XM79" s="49"/>
      <c r="XN79" s="49"/>
      <c r="XO79" s="49"/>
      <c r="XP79" s="49"/>
      <c r="XQ79" s="49"/>
      <c r="XR79" s="49"/>
      <c r="XS79" s="49"/>
      <c r="XT79" s="49"/>
      <c r="XU79" s="49"/>
      <c r="XV79" s="49"/>
      <c r="XW79" s="49"/>
      <c r="XX79" s="49"/>
      <c r="XY79" s="49"/>
      <c r="XZ79" s="49"/>
      <c r="YA79" s="49"/>
      <c r="YB79" s="49"/>
      <c r="YC79" s="49"/>
      <c r="YD79" s="49"/>
      <c r="YE79" s="49"/>
      <c r="YF79" s="49"/>
      <c r="YG79" s="49"/>
      <c r="YH79" s="49"/>
      <c r="YI79" s="49"/>
      <c r="YJ79" s="49"/>
      <c r="YK79" s="49"/>
      <c r="YL79" s="49"/>
      <c r="YM79" s="49"/>
      <c r="YN79" s="49"/>
      <c r="YO79" s="49"/>
      <c r="YP79" s="49"/>
      <c r="YQ79" s="49"/>
      <c r="YR79" s="49"/>
      <c r="YS79" s="49"/>
    </row>
    <row r="80" spans="1:669" s="43" customFormat="1" ht="20.25" hidden="1" customHeight="1" x14ac:dyDescent="0.2">
      <c r="A80" s="333" t="s">
        <v>70</v>
      </c>
      <c r="B80" s="1027" t="s">
        <v>40</v>
      </c>
      <c r="C80" s="1027"/>
      <c r="D80" s="1027"/>
      <c r="E80" s="1027"/>
      <c r="F80" s="334"/>
      <c r="G80" s="334" t="e">
        <f>104647.76-#REF!-1250-1250</f>
        <v>#REF!</v>
      </c>
      <c r="H80" s="334">
        <f>90450.47-J80-H83</f>
        <v>71443.47</v>
      </c>
      <c r="I80" s="334">
        <f>H69</f>
        <v>5998.07</v>
      </c>
      <c r="J80" s="334">
        <f>'February''23 AR Aging '!G43</f>
        <v>19007</v>
      </c>
      <c r="K80" s="335" t="e">
        <f>+I80+J80+H80-G80</f>
        <v>#REF!</v>
      </c>
      <c r="L80" s="46"/>
      <c r="M80" s="46"/>
      <c r="N80" s="29"/>
      <c r="O80" s="29"/>
      <c r="P80" s="29"/>
      <c r="Q80" s="29"/>
      <c r="R80" s="29"/>
      <c r="S80" s="29"/>
      <c r="T80" s="29"/>
      <c r="U80" s="1"/>
      <c r="V80" s="29"/>
      <c r="W80" s="29"/>
      <c r="X80" s="29"/>
      <c r="Y80" s="29"/>
      <c r="Z80" s="29"/>
      <c r="AA80" s="29"/>
      <c r="AB80" s="11"/>
      <c r="AC80" s="11"/>
      <c r="AD80" s="11"/>
      <c r="AE80" s="11"/>
      <c r="AF80" s="11"/>
      <c r="AG80" s="11"/>
      <c r="AH80" s="11"/>
      <c r="AI80" s="11"/>
      <c r="AJ80" s="11"/>
      <c r="AK80" s="11"/>
      <c r="AL80" s="1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row>
    <row r="81" spans="1:669" s="25" customFormat="1" hidden="1" x14ac:dyDescent="0.2">
      <c r="A81" s="336" t="s">
        <v>32</v>
      </c>
      <c r="B81" s="1026" t="s">
        <v>29</v>
      </c>
      <c r="C81" s="1026"/>
      <c r="D81" s="1026"/>
      <c r="E81" s="1026"/>
      <c r="F81" s="331"/>
      <c r="G81" s="331"/>
      <c r="H81" s="331">
        <v>0</v>
      </c>
      <c r="I81" s="332"/>
      <c r="J81" s="331">
        <v>0</v>
      </c>
      <c r="K81" s="337"/>
      <c r="L81" s="308"/>
      <c r="M81" s="308">
        <v>0</v>
      </c>
      <c r="N81" s="29"/>
      <c r="O81" s="29"/>
      <c r="P81" s="29"/>
      <c r="Q81" s="29"/>
      <c r="R81" s="29"/>
      <c r="S81" s="29"/>
      <c r="T81" s="29"/>
      <c r="U81" s="1"/>
      <c r="V81" s="29"/>
      <c r="W81" s="29"/>
      <c r="X81" s="29"/>
      <c r="Y81" s="29"/>
      <c r="Z81" s="29"/>
      <c r="AA81" s="29"/>
      <c r="AB81" s="11"/>
      <c r="AC81" s="11"/>
      <c r="AD81" s="11"/>
      <c r="AE81" s="11"/>
      <c r="AF81" s="11"/>
      <c r="AG81" s="11"/>
      <c r="AH81" s="11"/>
      <c r="AI81" s="11"/>
      <c r="AJ81" s="11"/>
      <c r="AK81" s="11"/>
      <c r="AL81" s="1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row>
    <row r="82" spans="1:669" s="18" customFormat="1" hidden="1" x14ac:dyDescent="0.2">
      <c r="A82" s="336" t="s">
        <v>20</v>
      </c>
      <c r="B82" s="1028" t="s">
        <v>147</v>
      </c>
      <c r="C82" s="1029"/>
      <c r="D82" s="1029"/>
      <c r="E82" s="1030"/>
      <c r="F82" s="331"/>
      <c r="G82" s="331"/>
      <c r="H82" s="331"/>
      <c r="I82" s="332"/>
      <c r="J82" s="331"/>
      <c r="K82" s="337"/>
      <c r="L82" s="308"/>
      <c r="M82" s="308"/>
      <c r="N82" s="29"/>
      <c r="O82" s="29"/>
      <c r="P82" s="29"/>
      <c r="Q82" s="29"/>
      <c r="R82" s="29"/>
      <c r="S82" s="29"/>
      <c r="T82" s="29"/>
      <c r="U82" s="1"/>
      <c r="V82" s="29"/>
      <c r="W82" s="29"/>
      <c r="X82" s="29"/>
      <c r="Y82" s="29"/>
      <c r="Z82" s="29"/>
      <c r="AA82" s="29"/>
      <c r="AB82" s="11"/>
      <c r="AC82" s="11"/>
      <c r="AD82" s="11"/>
      <c r="AE82" s="11"/>
      <c r="AF82" s="11"/>
      <c r="AG82" s="11"/>
      <c r="AH82" s="11"/>
      <c r="AI82" s="11"/>
      <c r="AJ82" s="11"/>
      <c r="AK82" s="11"/>
      <c r="AL82" s="1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row>
    <row r="83" spans="1:669" s="18" customFormat="1" ht="15" hidden="1" thickBot="1" x14ac:dyDescent="0.25">
      <c r="A83" s="338" t="s">
        <v>146</v>
      </c>
      <c r="B83" s="1025" t="s">
        <v>40</v>
      </c>
      <c r="C83" s="1025"/>
      <c r="D83" s="1025"/>
      <c r="E83" s="1025"/>
      <c r="F83" s="339"/>
      <c r="G83" s="339"/>
      <c r="H83" s="339">
        <v>0</v>
      </c>
      <c r="I83" s="339"/>
      <c r="J83" s="339"/>
      <c r="K83" s="340"/>
      <c r="L83" s="46"/>
      <c r="M83" s="46"/>
      <c r="N83" s="29"/>
      <c r="O83" s="29"/>
      <c r="P83" s="29"/>
      <c r="Q83" s="29"/>
      <c r="R83" s="29"/>
      <c r="S83" s="29"/>
      <c r="T83" s="29"/>
      <c r="U83" s="1"/>
      <c r="V83" s="29"/>
      <c r="W83" s="29"/>
      <c r="X83" s="29"/>
      <c r="Y83" s="29"/>
      <c r="Z83" s="29"/>
      <c r="AA83" s="29"/>
      <c r="AB83" s="11"/>
      <c r="AC83" s="11"/>
      <c r="AD83" s="11"/>
      <c r="AE83" s="11"/>
      <c r="AF83" s="11"/>
      <c r="AG83" s="11"/>
      <c r="AH83" s="11"/>
      <c r="AI83" s="11"/>
      <c r="AJ83" s="11"/>
      <c r="AK83" s="11"/>
      <c r="AL83" s="1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row>
    <row r="84" spans="1:669" hidden="1" x14ac:dyDescent="0.2">
      <c r="F84" s="228"/>
      <c r="G84" s="229"/>
      <c r="H84" s="228"/>
      <c r="I84" s="228"/>
      <c r="J84" s="228">
        <f>J80+I76+H35+J83</f>
        <v>392370.96</v>
      </c>
      <c r="K84" s="228" t="s">
        <v>46</v>
      </c>
      <c r="N84" s="29"/>
    </row>
    <row r="85" spans="1:669" hidden="1" x14ac:dyDescent="0.2">
      <c r="F85" s="228"/>
      <c r="G85" s="229"/>
      <c r="H85" s="228"/>
      <c r="I85" s="228"/>
      <c r="J85" s="688">
        <f>'February''23 AR Aging '!G73</f>
        <v>398480.31</v>
      </c>
      <c r="K85" s="228" t="s">
        <v>456</v>
      </c>
      <c r="N85" s="29"/>
    </row>
    <row r="86" spans="1:669" ht="15" hidden="1" customHeight="1" thickBot="1" x14ac:dyDescent="0.25">
      <c r="F86" s="228"/>
      <c r="G86" s="229"/>
      <c r="H86" s="228"/>
      <c r="I86" s="228"/>
      <c r="J86" s="689">
        <f>J85-J84</f>
        <v>6109.3499999999767</v>
      </c>
      <c r="K86" s="228" t="s">
        <v>388</v>
      </c>
      <c r="N86" s="29"/>
    </row>
    <row r="87" spans="1:669" ht="15" hidden="1" customHeight="1" thickTop="1" x14ac:dyDescent="0.2">
      <c r="C87" s="8"/>
      <c r="E87" s="9"/>
    </row>
    <row r="88" spans="1:669" hidden="1" x14ac:dyDescent="0.2"/>
    <row r="89" spans="1:669" hidden="1" x14ac:dyDescent="0.2"/>
    <row r="96" spans="1:669" x14ac:dyDescent="0.2">
      <c r="A96" s="10"/>
      <c r="B96" s="1"/>
      <c r="C96" s="6"/>
      <c r="D96" s="6"/>
      <c r="E96" s="7"/>
      <c r="F96" s="29"/>
      <c r="G96" s="29"/>
      <c r="I96" s="29"/>
      <c r="J96" s="29"/>
      <c r="K96" s="29"/>
      <c r="L96" s="29"/>
    </row>
  </sheetData>
  <mergeCells count="31">
    <mergeCell ref="B72:E72"/>
    <mergeCell ref="B43:C43"/>
    <mergeCell ref="B45:C45"/>
    <mergeCell ref="B46:C46"/>
    <mergeCell ref="B53:C53"/>
    <mergeCell ref="B56:C56"/>
    <mergeCell ref="B51:C51"/>
    <mergeCell ref="B48:C48"/>
    <mergeCell ref="B49:C49"/>
    <mergeCell ref="B47:C47"/>
    <mergeCell ref="B83:E83"/>
    <mergeCell ref="B73:E73"/>
    <mergeCell ref="B81:E81"/>
    <mergeCell ref="B75:E75"/>
    <mergeCell ref="B80:E80"/>
    <mergeCell ref="B82:E82"/>
    <mergeCell ref="B39:C39"/>
    <mergeCell ref="B71:E71"/>
    <mergeCell ref="B61:E61"/>
    <mergeCell ref="B41:C41"/>
    <mergeCell ref="B55:C55"/>
    <mergeCell ref="B57:C57"/>
    <mergeCell ref="B69:E69"/>
    <mergeCell ref="B70:E70"/>
    <mergeCell ref="B40:C40"/>
    <mergeCell ref="B65:E65"/>
    <mergeCell ref="B42:C42"/>
    <mergeCell ref="B52:C52"/>
    <mergeCell ref="B44:C44"/>
    <mergeCell ref="B50:C50"/>
    <mergeCell ref="B66:E66"/>
  </mergeCells>
  <pageMargins left="0.45" right="0" top="0.75" bottom="0" header="0.3" footer="0.05"/>
  <pageSetup paperSize="5"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65"/>
  <sheetViews>
    <sheetView topLeftCell="A13" zoomScale="70" zoomScaleNormal="70" workbookViewId="0">
      <selection activeCell="B82" sqref="B82"/>
    </sheetView>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24" customWidth="1"/>
    <col min="8" max="8" width="11.75" style="1" customWidth="1"/>
    <col min="9" max="9" width="17.625" style="721"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23"/>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585</v>
      </c>
      <c r="B2" s="16"/>
      <c r="C2" s="13"/>
      <c r="D2" s="13"/>
      <c r="E2" s="26"/>
      <c r="F2" s="26"/>
      <c r="G2" s="623"/>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22"/>
      <c r="F3" s="92"/>
    </row>
    <row r="4" spans="1:2009" s="56" customFormat="1" ht="16.5" thickBot="1" x14ac:dyDescent="0.3">
      <c r="A4" s="55"/>
      <c r="B4" s="55"/>
      <c r="C4" s="92" t="s">
        <v>586</v>
      </c>
      <c r="D4" s="92" t="s">
        <v>587</v>
      </c>
      <c r="E4" s="92" t="s">
        <v>567</v>
      </c>
      <c r="F4" s="92" t="s">
        <v>595</v>
      </c>
      <c r="G4" s="625" t="s">
        <v>405</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1031" t="s">
        <v>65</v>
      </c>
      <c r="B5" s="1032"/>
      <c r="C5" s="147"/>
      <c r="D5" s="147"/>
      <c r="E5" s="155"/>
      <c r="F5" s="155"/>
      <c r="G5" s="626"/>
      <c r="H5" s="93"/>
      <c r="I5" s="544"/>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0" customFormat="1" ht="24.95" hidden="1" customHeight="1" x14ac:dyDescent="0.25">
      <c r="A6" s="327"/>
      <c r="B6" s="124" t="s">
        <v>501</v>
      </c>
      <c r="C6" s="512"/>
      <c r="D6" s="162"/>
      <c r="E6" s="512"/>
      <c r="F6" s="162"/>
      <c r="G6" s="627">
        <f>SUM(C6:F6)</f>
        <v>0</v>
      </c>
      <c r="H6" s="328"/>
      <c r="I6" s="544"/>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c r="EM6" s="329"/>
      <c r="EN6" s="329"/>
      <c r="EO6" s="329"/>
      <c r="EP6" s="329"/>
      <c r="EQ6" s="329"/>
      <c r="ER6" s="329"/>
      <c r="ES6" s="329"/>
      <c r="ET6" s="329"/>
      <c r="EU6" s="329"/>
      <c r="EV6" s="329"/>
      <c r="EW6" s="329"/>
      <c r="EX6" s="329"/>
      <c r="EY6" s="329"/>
      <c r="EZ6" s="329"/>
      <c r="FA6" s="329"/>
      <c r="FB6" s="329"/>
      <c r="FC6" s="329"/>
      <c r="FD6" s="329"/>
      <c r="FE6" s="329"/>
      <c r="FF6" s="329"/>
      <c r="FG6" s="329"/>
      <c r="FH6" s="329"/>
      <c r="FI6" s="329"/>
      <c r="FJ6" s="329"/>
      <c r="FK6" s="329"/>
      <c r="FL6" s="329"/>
      <c r="FM6" s="329"/>
      <c r="FN6" s="329"/>
      <c r="FO6" s="329"/>
      <c r="FP6" s="329"/>
      <c r="FQ6" s="329"/>
      <c r="FR6" s="329"/>
      <c r="FS6" s="329"/>
      <c r="FT6" s="329"/>
      <c r="FU6" s="329"/>
      <c r="FV6" s="329"/>
      <c r="FW6" s="329"/>
      <c r="FX6" s="329"/>
      <c r="FY6" s="329"/>
      <c r="FZ6" s="329"/>
      <c r="GA6" s="329"/>
      <c r="GB6" s="329"/>
      <c r="GC6" s="329"/>
      <c r="GD6" s="329"/>
      <c r="GE6" s="329"/>
      <c r="GF6" s="329"/>
      <c r="GG6" s="329"/>
      <c r="GH6" s="329"/>
      <c r="GI6" s="329"/>
      <c r="GJ6" s="329"/>
      <c r="GK6" s="329"/>
      <c r="GL6" s="329"/>
      <c r="GM6" s="329"/>
      <c r="GN6" s="329"/>
      <c r="GO6" s="329"/>
      <c r="GP6" s="329"/>
      <c r="GQ6" s="329"/>
      <c r="GR6" s="329"/>
      <c r="GS6" s="329"/>
      <c r="GT6" s="329"/>
      <c r="GU6" s="329"/>
      <c r="GV6" s="329"/>
      <c r="GW6" s="329"/>
      <c r="GX6" s="329"/>
      <c r="GY6" s="329"/>
      <c r="GZ6" s="329"/>
      <c r="HA6" s="329"/>
      <c r="HB6" s="329"/>
      <c r="HC6" s="329"/>
      <c r="HD6" s="329"/>
      <c r="HE6" s="329"/>
      <c r="HF6" s="329"/>
      <c r="HG6" s="329"/>
      <c r="HH6" s="329"/>
      <c r="HI6" s="329"/>
      <c r="HJ6" s="329"/>
      <c r="HK6" s="329"/>
      <c r="HL6" s="329"/>
      <c r="HM6" s="329"/>
      <c r="HN6" s="329"/>
      <c r="HO6" s="329"/>
      <c r="HP6" s="329"/>
      <c r="HQ6" s="329"/>
      <c r="HR6" s="329"/>
      <c r="HS6" s="329"/>
      <c r="HT6" s="329"/>
      <c r="HU6" s="329"/>
      <c r="HV6" s="329"/>
      <c r="HW6" s="329"/>
      <c r="HX6" s="329"/>
      <c r="HY6" s="329"/>
      <c r="HZ6" s="329"/>
      <c r="IA6" s="329"/>
      <c r="IB6" s="329"/>
      <c r="IC6" s="329"/>
      <c r="ID6" s="329"/>
      <c r="IE6" s="329"/>
      <c r="IF6" s="329"/>
      <c r="IG6" s="329"/>
      <c r="IH6" s="329"/>
      <c r="II6" s="329"/>
      <c r="IJ6" s="329"/>
      <c r="IK6" s="329"/>
      <c r="IL6" s="329"/>
      <c r="IM6" s="329"/>
      <c r="IN6" s="329"/>
      <c r="IO6" s="329"/>
      <c r="IP6" s="329"/>
      <c r="IQ6" s="329"/>
      <c r="IR6" s="329"/>
      <c r="IS6" s="329"/>
      <c r="IT6" s="329"/>
      <c r="IU6" s="329"/>
      <c r="IV6" s="329"/>
      <c r="IW6" s="329"/>
      <c r="IX6" s="329"/>
      <c r="IY6" s="329"/>
      <c r="IZ6" s="329"/>
      <c r="JA6" s="329"/>
      <c r="JB6" s="329"/>
      <c r="JC6" s="329"/>
      <c r="JD6" s="329"/>
      <c r="JE6" s="329"/>
      <c r="JF6" s="329"/>
      <c r="JG6" s="329"/>
      <c r="JH6" s="329"/>
      <c r="JI6" s="329"/>
      <c r="JJ6" s="329"/>
      <c r="JK6" s="329"/>
      <c r="JL6" s="329"/>
      <c r="JM6" s="329"/>
      <c r="JN6" s="329"/>
      <c r="JO6" s="329"/>
      <c r="JP6" s="329"/>
      <c r="JQ6" s="329"/>
      <c r="JR6" s="329"/>
      <c r="JS6" s="329"/>
      <c r="JT6" s="329"/>
      <c r="JU6" s="329"/>
      <c r="JV6" s="329"/>
      <c r="JW6" s="329"/>
      <c r="JX6" s="329"/>
      <c r="JY6" s="329"/>
      <c r="JZ6" s="329"/>
      <c r="KA6" s="329"/>
      <c r="KB6" s="329"/>
      <c r="KC6" s="329"/>
      <c r="KD6" s="329"/>
      <c r="KE6" s="329"/>
      <c r="KF6" s="329"/>
      <c r="KG6" s="329"/>
      <c r="KH6" s="329"/>
      <c r="KI6" s="329"/>
      <c r="KJ6" s="329"/>
      <c r="KK6" s="329"/>
      <c r="KL6" s="329"/>
      <c r="KM6" s="329"/>
      <c r="KN6" s="329"/>
      <c r="KO6" s="329"/>
      <c r="KP6" s="329"/>
      <c r="KQ6" s="329"/>
      <c r="KR6" s="329"/>
      <c r="KS6" s="329"/>
      <c r="KT6" s="329"/>
      <c r="KU6" s="329"/>
      <c r="KV6" s="329"/>
      <c r="KW6" s="329"/>
      <c r="KX6" s="329"/>
      <c r="KY6" s="329"/>
      <c r="KZ6" s="329"/>
      <c r="LA6" s="329"/>
      <c r="LB6" s="329"/>
      <c r="LC6" s="329"/>
      <c r="LD6" s="329"/>
      <c r="LE6" s="329"/>
      <c r="LF6" s="329"/>
      <c r="LG6" s="329"/>
      <c r="LH6" s="329"/>
      <c r="LI6" s="329"/>
      <c r="LJ6" s="329"/>
      <c r="LK6" s="329"/>
      <c r="LL6" s="329"/>
      <c r="LM6" s="329"/>
      <c r="LN6" s="329"/>
      <c r="LO6" s="329"/>
      <c r="LP6" s="329"/>
      <c r="LQ6" s="329"/>
      <c r="LR6" s="329"/>
      <c r="LS6" s="329"/>
      <c r="LT6" s="329"/>
      <c r="LU6" s="329"/>
      <c r="LV6" s="329"/>
      <c r="LW6" s="329"/>
      <c r="LX6" s="329"/>
      <c r="LY6" s="329"/>
      <c r="LZ6" s="329"/>
      <c r="MA6" s="329"/>
      <c r="MB6" s="329"/>
      <c r="MC6" s="329"/>
      <c r="MD6" s="329"/>
      <c r="ME6" s="329"/>
      <c r="MF6" s="329"/>
      <c r="MG6" s="329"/>
      <c r="MH6" s="329"/>
      <c r="MI6" s="329"/>
      <c r="MJ6" s="329"/>
      <c r="MK6" s="329"/>
      <c r="ML6" s="329"/>
      <c r="MM6" s="329"/>
      <c r="MN6" s="329"/>
      <c r="MO6" s="329"/>
      <c r="MP6" s="329"/>
      <c r="MQ6" s="329"/>
      <c r="MR6" s="329"/>
      <c r="MS6" s="329"/>
      <c r="MT6" s="329"/>
      <c r="MU6" s="329"/>
      <c r="MV6" s="329"/>
      <c r="MW6" s="329"/>
      <c r="MX6" s="329"/>
      <c r="MY6" s="329"/>
      <c r="MZ6" s="329"/>
      <c r="NA6" s="329"/>
      <c r="NB6" s="329"/>
      <c r="NC6" s="329"/>
      <c r="ND6" s="329"/>
      <c r="NE6" s="329"/>
      <c r="NF6" s="329"/>
      <c r="NG6" s="329"/>
      <c r="NH6" s="329"/>
      <c r="NI6" s="329"/>
      <c r="NJ6" s="329"/>
      <c r="NK6" s="329"/>
      <c r="NL6" s="329"/>
      <c r="NM6" s="329"/>
      <c r="NN6" s="329"/>
      <c r="NO6" s="329"/>
      <c r="NP6" s="329"/>
      <c r="NQ6" s="329"/>
      <c r="NR6" s="329"/>
      <c r="NS6" s="329"/>
      <c r="NT6" s="329"/>
      <c r="NU6" s="329"/>
      <c r="NV6" s="329"/>
      <c r="NW6" s="329"/>
      <c r="NX6" s="329"/>
      <c r="NY6" s="329"/>
      <c r="NZ6" s="329"/>
      <c r="OA6" s="329"/>
      <c r="OB6" s="329"/>
      <c r="OC6" s="329"/>
      <c r="OD6" s="329"/>
      <c r="OE6" s="329"/>
      <c r="OF6" s="329"/>
      <c r="OG6" s="329"/>
      <c r="OH6" s="329"/>
      <c r="OI6" s="329"/>
      <c r="OJ6" s="329"/>
      <c r="OK6" s="329"/>
      <c r="OL6" s="329"/>
      <c r="OM6" s="329"/>
      <c r="ON6" s="329"/>
      <c r="OO6" s="329"/>
      <c r="OP6" s="329"/>
      <c r="OQ6" s="329"/>
      <c r="OR6" s="329"/>
      <c r="OS6" s="329"/>
      <c r="OT6" s="329"/>
      <c r="OU6" s="329"/>
      <c r="OV6" s="329"/>
      <c r="OW6" s="329"/>
      <c r="OX6" s="329"/>
      <c r="OY6" s="329"/>
      <c r="OZ6" s="329"/>
      <c r="PA6" s="329"/>
      <c r="PB6" s="329"/>
      <c r="PC6" s="329"/>
      <c r="PD6" s="329"/>
      <c r="PE6" s="329"/>
      <c r="PF6" s="329"/>
      <c r="PG6" s="329"/>
      <c r="PH6" s="329"/>
      <c r="PI6" s="329"/>
      <c r="PJ6" s="329"/>
      <c r="PK6" s="329"/>
      <c r="PL6" s="329"/>
      <c r="PM6" s="329"/>
      <c r="PN6" s="329"/>
      <c r="PO6" s="329"/>
      <c r="PP6" s="329"/>
      <c r="PQ6" s="329"/>
      <c r="PR6" s="329"/>
      <c r="PS6" s="329"/>
      <c r="PT6" s="329"/>
      <c r="PU6" s="329"/>
      <c r="PV6" s="329"/>
      <c r="PW6" s="329"/>
      <c r="PX6" s="329"/>
      <c r="PY6" s="329"/>
      <c r="PZ6" s="329"/>
      <c r="QA6" s="329"/>
      <c r="QB6" s="329"/>
      <c r="QC6" s="329"/>
      <c r="QD6" s="329"/>
      <c r="QE6" s="329"/>
      <c r="QF6" s="329"/>
      <c r="QG6" s="329"/>
      <c r="QH6" s="329"/>
      <c r="QI6" s="329"/>
      <c r="QJ6" s="329"/>
      <c r="QK6" s="329"/>
      <c r="QL6" s="329"/>
      <c r="QM6" s="329"/>
      <c r="QN6" s="329"/>
      <c r="QO6" s="329"/>
      <c r="QP6" s="329"/>
      <c r="QQ6" s="329"/>
      <c r="QR6" s="329"/>
      <c r="QS6" s="329"/>
      <c r="QT6" s="329"/>
      <c r="QU6" s="329"/>
      <c r="QV6" s="329"/>
      <c r="QW6" s="329"/>
      <c r="QX6" s="329"/>
      <c r="QY6" s="329"/>
      <c r="QZ6" s="329"/>
      <c r="RA6" s="329"/>
      <c r="RB6" s="329"/>
      <c r="RC6" s="329"/>
      <c r="RD6" s="329"/>
      <c r="RE6" s="329"/>
      <c r="RF6" s="329"/>
      <c r="RG6" s="329"/>
      <c r="RH6" s="329"/>
      <c r="RI6" s="329"/>
      <c r="RJ6" s="329"/>
      <c r="RK6" s="329"/>
      <c r="RL6" s="329"/>
      <c r="RM6" s="329"/>
      <c r="RN6" s="329"/>
      <c r="RO6" s="329"/>
      <c r="RP6" s="329"/>
      <c r="RQ6" s="329"/>
      <c r="RR6" s="329"/>
      <c r="RS6" s="329"/>
      <c r="RT6" s="329"/>
      <c r="RU6" s="329"/>
      <c r="RV6" s="329"/>
      <c r="RW6" s="329"/>
      <c r="RX6" s="329"/>
      <c r="RY6" s="329"/>
      <c r="RZ6" s="329"/>
      <c r="SA6" s="329"/>
      <c r="SB6" s="329"/>
      <c r="SC6" s="329"/>
      <c r="SD6" s="329"/>
      <c r="SE6" s="329"/>
      <c r="SF6" s="329"/>
      <c r="SG6" s="329"/>
      <c r="SH6" s="329"/>
      <c r="SI6" s="329"/>
      <c r="SJ6" s="329"/>
      <c r="SK6" s="329"/>
      <c r="SL6" s="329"/>
      <c r="SM6" s="329"/>
      <c r="SN6" s="329"/>
      <c r="SO6" s="329"/>
      <c r="SP6" s="329"/>
      <c r="SQ6" s="329"/>
      <c r="SR6" s="329"/>
      <c r="SS6" s="329"/>
      <c r="ST6" s="329"/>
      <c r="SU6" s="329"/>
      <c r="SV6" s="329"/>
      <c r="SW6" s="329"/>
      <c r="SX6" s="329"/>
      <c r="SY6" s="329"/>
      <c r="SZ6" s="329"/>
      <c r="TA6" s="329"/>
      <c r="TB6" s="329"/>
      <c r="TC6" s="329"/>
      <c r="TD6" s="329"/>
      <c r="TE6" s="329"/>
      <c r="TF6" s="329"/>
      <c r="TG6" s="329"/>
      <c r="TH6" s="329"/>
      <c r="TI6" s="329"/>
      <c r="TJ6" s="329"/>
      <c r="TK6" s="329"/>
      <c r="TL6" s="329"/>
      <c r="TM6" s="329"/>
      <c r="TN6" s="329"/>
      <c r="TO6" s="329"/>
      <c r="TP6" s="329"/>
      <c r="TQ6" s="329"/>
      <c r="TR6" s="329"/>
      <c r="TS6" s="329"/>
      <c r="TT6" s="329"/>
      <c r="TU6" s="329"/>
      <c r="TV6" s="329"/>
      <c r="TW6" s="329"/>
      <c r="TX6" s="329"/>
      <c r="TY6" s="329"/>
      <c r="TZ6" s="329"/>
      <c r="UA6" s="329"/>
      <c r="UB6" s="329"/>
      <c r="UC6" s="329"/>
      <c r="UD6" s="329"/>
      <c r="UE6" s="329"/>
      <c r="UF6" s="329"/>
      <c r="UG6" s="329"/>
      <c r="UH6" s="329"/>
      <c r="UI6" s="329"/>
      <c r="UJ6" s="329"/>
      <c r="UK6" s="329"/>
      <c r="UL6" s="329"/>
      <c r="UM6" s="329"/>
      <c r="UN6" s="329"/>
      <c r="UO6" s="329"/>
      <c r="UP6" s="329"/>
      <c r="UQ6" s="329"/>
      <c r="UR6" s="329"/>
      <c r="US6" s="329"/>
      <c r="UT6" s="329"/>
      <c r="UU6" s="329"/>
      <c r="UV6" s="329"/>
      <c r="UW6" s="329"/>
      <c r="UX6" s="329"/>
      <c r="UY6" s="329"/>
      <c r="UZ6" s="329"/>
      <c r="VA6" s="329"/>
      <c r="VB6" s="329"/>
      <c r="VC6" s="329"/>
      <c r="VD6" s="329"/>
      <c r="VE6" s="329"/>
      <c r="VF6" s="329"/>
      <c r="VG6" s="329"/>
      <c r="VH6" s="329"/>
      <c r="VI6" s="329"/>
      <c r="VJ6" s="329"/>
      <c r="VK6" s="329"/>
      <c r="VL6" s="329"/>
      <c r="VM6" s="329"/>
      <c r="VN6" s="329"/>
      <c r="VO6" s="329"/>
      <c r="VP6" s="329"/>
      <c r="VQ6" s="329"/>
      <c r="VR6" s="329"/>
      <c r="VS6" s="329"/>
      <c r="VT6" s="329"/>
      <c r="VU6" s="329"/>
      <c r="VV6" s="329"/>
      <c r="VW6" s="329"/>
      <c r="VX6" s="329"/>
      <c r="VY6" s="329"/>
      <c r="VZ6" s="329"/>
      <c r="WA6" s="329"/>
      <c r="WB6" s="329"/>
      <c r="WC6" s="329"/>
      <c r="WD6" s="329"/>
      <c r="WE6" s="329"/>
      <c r="WF6" s="329"/>
      <c r="WG6" s="329"/>
      <c r="WH6" s="329"/>
      <c r="WI6" s="329"/>
      <c r="WJ6" s="329"/>
      <c r="WK6" s="329"/>
      <c r="WL6" s="329"/>
      <c r="WM6" s="329"/>
      <c r="WN6" s="329"/>
      <c r="WO6" s="329"/>
      <c r="WP6" s="329"/>
      <c r="WQ6" s="329"/>
      <c r="WR6" s="329"/>
      <c r="WS6" s="329"/>
      <c r="WT6" s="329"/>
      <c r="WU6" s="329"/>
      <c r="WV6" s="329"/>
      <c r="WW6" s="329"/>
      <c r="WX6" s="329"/>
      <c r="WY6" s="329"/>
      <c r="WZ6" s="329"/>
      <c r="XA6" s="329"/>
      <c r="XB6" s="329"/>
      <c r="XC6" s="329"/>
      <c r="XD6" s="329"/>
      <c r="XE6" s="329"/>
      <c r="XF6" s="329"/>
      <c r="XG6" s="329"/>
      <c r="XH6" s="329"/>
      <c r="XI6" s="329"/>
      <c r="XJ6" s="329"/>
      <c r="XK6" s="329"/>
      <c r="XL6" s="329"/>
      <c r="XM6" s="329"/>
      <c r="XN6" s="329"/>
      <c r="XO6" s="329"/>
      <c r="XP6" s="329"/>
      <c r="XQ6" s="329"/>
      <c r="XR6" s="329"/>
      <c r="XS6" s="329"/>
      <c r="XT6" s="329"/>
      <c r="XU6" s="329"/>
      <c r="XV6" s="329"/>
      <c r="XW6" s="329"/>
      <c r="XX6" s="329"/>
      <c r="XY6" s="329"/>
      <c r="XZ6" s="329"/>
      <c r="YA6" s="329"/>
      <c r="YB6" s="329"/>
      <c r="YC6" s="329"/>
      <c r="YD6" s="329"/>
      <c r="YE6" s="329"/>
      <c r="YF6" s="329"/>
      <c r="YG6" s="329"/>
      <c r="YH6" s="329"/>
      <c r="YI6" s="329"/>
      <c r="YJ6" s="329"/>
      <c r="YK6" s="329"/>
      <c r="YL6" s="329"/>
      <c r="YM6" s="329"/>
      <c r="YN6" s="329"/>
      <c r="YO6" s="329"/>
      <c r="YP6" s="329"/>
      <c r="YQ6" s="329"/>
      <c r="YR6" s="329"/>
      <c r="YS6" s="329"/>
      <c r="YT6" s="329"/>
      <c r="YU6" s="329"/>
      <c r="YV6" s="329"/>
      <c r="YW6" s="329"/>
      <c r="YX6" s="329"/>
      <c r="YY6" s="329"/>
      <c r="YZ6" s="329"/>
      <c r="ZA6" s="329"/>
      <c r="ZB6" s="329"/>
      <c r="ZC6" s="329"/>
      <c r="ZD6" s="329"/>
      <c r="ZE6" s="329"/>
      <c r="ZF6" s="329"/>
      <c r="ZG6" s="329"/>
      <c r="ZH6" s="329"/>
      <c r="ZI6" s="329"/>
      <c r="ZJ6" s="329"/>
      <c r="ZK6" s="329"/>
      <c r="ZL6" s="329"/>
      <c r="ZM6" s="329"/>
      <c r="ZN6" s="329"/>
      <c r="ZO6" s="329"/>
      <c r="ZP6" s="329"/>
      <c r="ZQ6" s="329"/>
      <c r="ZR6" s="329"/>
      <c r="ZS6" s="329"/>
      <c r="ZT6" s="329"/>
      <c r="ZU6" s="329"/>
      <c r="ZV6" s="329"/>
      <c r="ZW6" s="329"/>
      <c r="ZX6" s="329"/>
      <c r="ZY6" s="329"/>
      <c r="ZZ6" s="329"/>
      <c r="AAA6" s="329"/>
      <c r="AAB6" s="329"/>
      <c r="AAC6" s="329"/>
      <c r="AAD6" s="329"/>
      <c r="AAE6" s="329"/>
      <c r="AAF6" s="329"/>
      <c r="AAG6" s="329"/>
      <c r="AAH6" s="329"/>
      <c r="AAI6" s="329"/>
      <c r="AAJ6" s="329"/>
      <c r="AAK6" s="329"/>
      <c r="AAL6" s="329"/>
      <c r="AAM6" s="329"/>
      <c r="AAN6" s="329"/>
      <c r="AAO6" s="329"/>
      <c r="AAP6" s="329"/>
      <c r="AAQ6" s="329"/>
      <c r="AAR6" s="329"/>
      <c r="AAS6" s="329"/>
      <c r="AAT6" s="329"/>
      <c r="AAU6" s="329"/>
      <c r="AAV6" s="329"/>
      <c r="AAW6" s="329"/>
      <c r="AAX6" s="329"/>
      <c r="AAY6" s="329"/>
      <c r="AAZ6" s="329"/>
      <c r="ABA6" s="329"/>
      <c r="ABB6" s="329"/>
      <c r="ABC6" s="329"/>
      <c r="ABD6" s="329"/>
      <c r="ABE6" s="329"/>
      <c r="ABF6" s="329"/>
      <c r="ABG6" s="329"/>
      <c r="ABH6" s="329"/>
      <c r="ABI6" s="329"/>
      <c r="ABJ6" s="329"/>
      <c r="ABK6" s="329"/>
      <c r="ABL6" s="329"/>
      <c r="ABM6" s="329"/>
      <c r="ABN6" s="329"/>
      <c r="ABO6" s="329"/>
      <c r="ABP6" s="329"/>
      <c r="ABQ6" s="329"/>
      <c r="ABR6" s="329"/>
      <c r="ABS6" s="329"/>
      <c r="ABT6" s="329"/>
      <c r="ABU6" s="329"/>
      <c r="ABV6" s="329"/>
      <c r="ABW6" s="329"/>
      <c r="ABX6" s="329"/>
      <c r="ABY6" s="329"/>
      <c r="ABZ6" s="329"/>
      <c r="ACA6" s="329"/>
      <c r="ACB6" s="329"/>
      <c r="ACC6" s="329"/>
      <c r="ACD6" s="329"/>
      <c r="ACE6" s="329"/>
      <c r="ACF6" s="329"/>
      <c r="ACG6" s="329"/>
      <c r="ACH6" s="329"/>
      <c r="ACI6" s="329"/>
      <c r="ACJ6" s="329"/>
      <c r="ACK6" s="329"/>
      <c r="ACL6" s="329"/>
      <c r="ACM6" s="329"/>
      <c r="ACN6" s="329"/>
      <c r="ACO6" s="329"/>
      <c r="ACP6" s="329"/>
      <c r="ACQ6" s="329"/>
      <c r="ACR6" s="329"/>
      <c r="ACS6" s="329"/>
      <c r="ACT6" s="329"/>
      <c r="ACU6" s="329"/>
      <c r="ACV6" s="329"/>
      <c r="ACW6" s="329"/>
      <c r="ACX6" s="329"/>
      <c r="ACY6" s="329"/>
      <c r="ACZ6" s="329"/>
      <c r="ADA6" s="329"/>
      <c r="ADB6" s="329"/>
      <c r="ADC6" s="329"/>
      <c r="ADD6" s="329"/>
      <c r="ADE6" s="329"/>
      <c r="ADF6" s="329"/>
      <c r="ADG6" s="329"/>
      <c r="ADH6" s="329"/>
      <c r="ADI6" s="329"/>
      <c r="ADJ6" s="329"/>
      <c r="ADK6" s="329"/>
      <c r="ADL6" s="329"/>
      <c r="ADM6" s="329"/>
      <c r="ADN6" s="329"/>
      <c r="ADO6" s="329"/>
      <c r="ADP6" s="329"/>
      <c r="ADQ6" s="329"/>
      <c r="ADR6" s="329"/>
      <c r="ADS6" s="329"/>
      <c r="ADT6" s="329"/>
      <c r="ADU6" s="329"/>
      <c r="ADV6" s="329"/>
      <c r="ADW6" s="329"/>
      <c r="ADX6" s="329"/>
      <c r="ADY6" s="329"/>
      <c r="ADZ6" s="329"/>
      <c r="AEA6" s="329"/>
      <c r="AEB6" s="329"/>
      <c r="AEC6" s="329"/>
      <c r="AED6" s="329"/>
      <c r="AEE6" s="329"/>
      <c r="AEF6" s="329"/>
      <c r="AEG6" s="329"/>
      <c r="AEH6" s="329"/>
      <c r="AEI6" s="329"/>
      <c r="AEJ6" s="329"/>
      <c r="AEK6" s="329"/>
      <c r="AEL6" s="329"/>
      <c r="AEM6" s="329"/>
      <c r="AEN6" s="329"/>
      <c r="AEO6" s="329"/>
      <c r="AEP6" s="329"/>
      <c r="AEQ6" s="329"/>
      <c r="AER6" s="329"/>
      <c r="AES6" s="329"/>
      <c r="AET6" s="329"/>
      <c r="AEU6" s="329"/>
      <c r="AEV6" s="329"/>
      <c r="AEW6" s="329"/>
      <c r="AEX6" s="329"/>
      <c r="AEY6" s="329"/>
      <c r="AEZ6" s="329"/>
      <c r="AFA6" s="329"/>
      <c r="AFB6" s="329"/>
      <c r="AFC6" s="329"/>
      <c r="AFD6" s="329"/>
      <c r="AFE6" s="329"/>
      <c r="AFF6" s="329"/>
      <c r="AFG6" s="329"/>
      <c r="AFH6" s="329"/>
      <c r="AFI6" s="329"/>
      <c r="AFJ6" s="329"/>
      <c r="AFK6" s="329"/>
      <c r="AFL6" s="329"/>
      <c r="AFM6" s="329"/>
      <c r="AFN6" s="329"/>
      <c r="AFO6" s="329"/>
      <c r="AFP6" s="329"/>
      <c r="AFQ6" s="329"/>
      <c r="AFR6" s="329"/>
      <c r="AFS6" s="329"/>
      <c r="AFT6" s="329"/>
      <c r="AFU6" s="329"/>
      <c r="AFV6" s="329"/>
      <c r="AFW6" s="329"/>
      <c r="AFX6" s="329"/>
      <c r="AFY6" s="329"/>
      <c r="AFZ6" s="329"/>
      <c r="AGA6" s="329"/>
      <c r="AGB6" s="329"/>
      <c r="AGC6" s="329"/>
      <c r="AGD6" s="329"/>
      <c r="AGE6" s="329"/>
      <c r="AGF6" s="329"/>
      <c r="AGG6" s="329"/>
      <c r="AGH6" s="329"/>
      <c r="AGI6" s="329"/>
      <c r="AGJ6" s="329"/>
      <c r="AGK6" s="329"/>
      <c r="AGL6" s="329"/>
      <c r="AGM6" s="329"/>
      <c r="AGN6" s="329"/>
      <c r="AGO6" s="329"/>
      <c r="AGP6" s="329"/>
      <c r="AGQ6" s="329"/>
      <c r="AGR6" s="329"/>
      <c r="AGS6" s="329"/>
      <c r="AGT6" s="329"/>
      <c r="AGU6" s="329"/>
      <c r="AGV6" s="329"/>
      <c r="AGW6" s="329"/>
      <c r="AGX6" s="329"/>
      <c r="AGY6" s="329"/>
      <c r="AGZ6" s="329"/>
      <c r="AHA6" s="329"/>
      <c r="AHB6" s="329"/>
      <c r="AHC6" s="329"/>
      <c r="AHD6" s="329"/>
      <c r="AHE6" s="329"/>
      <c r="AHF6" s="329"/>
      <c r="AHG6" s="329"/>
      <c r="AHH6" s="329"/>
      <c r="AHI6" s="329"/>
      <c r="AHJ6" s="329"/>
      <c r="AHK6" s="329"/>
      <c r="AHL6" s="329"/>
      <c r="AHM6" s="329"/>
      <c r="AHN6" s="329"/>
      <c r="AHO6" s="329"/>
      <c r="AHP6" s="329"/>
      <c r="AHQ6" s="329"/>
      <c r="AHR6" s="329"/>
      <c r="AHS6" s="329"/>
      <c r="AHT6" s="329"/>
      <c r="AHU6" s="329"/>
      <c r="AHV6" s="329"/>
      <c r="AHW6" s="329"/>
      <c r="AHX6" s="329"/>
      <c r="AHY6" s="329"/>
      <c r="AHZ6" s="329"/>
      <c r="AIA6" s="329"/>
      <c r="AIB6" s="329"/>
      <c r="AIC6" s="329"/>
      <c r="AID6" s="329"/>
      <c r="AIE6" s="329"/>
      <c r="AIF6" s="329"/>
      <c r="AIG6" s="329"/>
      <c r="AIH6" s="329"/>
      <c r="AII6" s="329"/>
      <c r="AIJ6" s="329"/>
      <c r="AIK6" s="329"/>
      <c r="AIL6" s="329"/>
      <c r="AIM6" s="329"/>
      <c r="AIN6" s="329"/>
      <c r="AIO6" s="329"/>
      <c r="AIP6" s="329"/>
      <c r="AIQ6" s="329"/>
      <c r="AIR6" s="329"/>
      <c r="AIS6" s="329"/>
      <c r="AIT6" s="329"/>
      <c r="AIU6" s="329"/>
      <c r="AIV6" s="329"/>
      <c r="AIW6" s="329"/>
      <c r="AIX6" s="329"/>
      <c r="AIY6" s="329"/>
      <c r="AIZ6" s="329"/>
      <c r="AJA6" s="329"/>
      <c r="AJB6" s="329"/>
      <c r="AJC6" s="329"/>
      <c r="AJD6" s="329"/>
      <c r="AJE6" s="329"/>
      <c r="AJF6" s="329"/>
      <c r="AJG6" s="329"/>
      <c r="AJH6" s="329"/>
      <c r="AJI6" s="329"/>
      <c r="AJJ6" s="329"/>
      <c r="AJK6" s="329"/>
      <c r="AJL6" s="329"/>
      <c r="AJM6" s="329"/>
      <c r="AJN6" s="329"/>
      <c r="AJO6" s="329"/>
      <c r="AJP6" s="329"/>
      <c r="AJQ6" s="329"/>
      <c r="AJR6" s="329"/>
      <c r="AJS6" s="329"/>
      <c r="AJT6" s="329"/>
      <c r="AJU6" s="329"/>
      <c r="AJV6" s="329"/>
      <c r="AJW6" s="329"/>
      <c r="AJX6" s="329"/>
      <c r="AJY6" s="329"/>
      <c r="AJZ6" s="329"/>
      <c r="AKA6" s="329"/>
      <c r="AKB6" s="329"/>
      <c r="AKC6" s="329"/>
      <c r="AKD6" s="329"/>
      <c r="AKE6" s="329"/>
      <c r="AKF6" s="329"/>
      <c r="AKG6" s="329"/>
      <c r="AKH6" s="329"/>
      <c r="AKI6" s="329"/>
      <c r="AKJ6" s="329"/>
      <c r="AKK6" s="329"/>
      <c r="AKL6" s="329"/>
      <c r="AKM6" s="329"/>
      <c r="AKN6" s="329"/>
      <c r="AKO6" s="329"/>
      <c r="AKP6" s="329"/>
      <c r="AKQ6" s="329"/>
      <c r="AKR6" s="329"/>
      <c r="AKS6" s="329"/>
      <c r="AKT6" s="329"/>
      <c r="AKU6" s="329"/>
      <c r="AKV6" s="329"/>
      <c r="AKW6" s="329"/>
      <c r="AKX6" s="329"/>
      <c r="AKY6" s="329"/>
      <c r="AKZ6" s="329"/>
      <c r="ALA6" s="329"/>
      <c r="ALB6" s="329"/>
      <c r="ALC6" s="329"/>
      <c r="ALD6" s="329"/>
      <c r="ALE6" s="329"/>
      <c r="ALF6" s="329"/>
      <c r="ALG6" s="329"/>
      <c r="ALH6" s="329"/>
      <c r="ALI6" s="329"/>
      <c r="ALJ6" s="329"/>
      <c r="ALK6" s="329"/>
      <c r="ALL6" s="329"/>
      <c r="ALM6" s="329"/>
      <c r="ALN6" s="329"/>
      <c r="ALO6" s="329"/>
      <c r="ALP6" s="329"/>
      <c r="ALQ6" s="329"/>
      <c r="ALR6" s="329"/>
      <c r="ALS6" s="329"/>
      <c r="ALT6" s="329"/>
      <c r="ALU6" s="329"/>
      <c r="ALV6" s="329"/>
      <c r="ALW6" s="329"/>
      <c r="ALX6" s="329"/>
      <c r="ALY6" s="329"/>
      <c r="ALZ6" s="329"/>
      <c r="AMA6" s="329"/>
      <c r="AMB6" s="329"/>
      <c r="AMC6" s="329"/>
      <c r="AMD6" s="329"/>
      <c r="AME6" s="329"/>
      <c r="AMF6" s="329"/>
      <c r="AMG6" s="329"/>
      <c r="AMH6" s="329"/>
      <c r="AMI6" s="329"/>
      <c r="AMJ6" s="329"/>
      <c r="AMK6" s="329"/>
      <c r="AML6" s="329"/>
      <c r="AMM6" s="329"/>
      <c r="AMN6" s="329"/>
      <c r="AMO6" s="329"/>
      <c r="AMP6" s="329"/>
      <c r="AMQ6" s="329"/>
      <c r="AMR6" s="329"/>
      <c r="AMS6" s="329"/>
      <c r="AMT6" s="329"/>
      <c r="AMU6" s="329"/>
      <c r="AMV6" s="329"/>
      <c r="AMW6" s="329"/>
      <c r="AMX6" s="329"/>
      <c r="AMY6" s="329"/>
      <c r="AMZ6" s="329"/>
      <c r="ANA6" s="329"/>
      <c r="ANB6" s="329"/>
      <c r="ANC6" s="329"/>
      <c r="AND6" s="329"/>
      <c r="ANE6" s="329"/>
      <c r="ANF6" s="329"/>
      <c r="ANG6" s="329"/>
      <c r="ANH6" s="329"/>
      <c r="ANI6" s="329"/>
      <c r="ANJ6" s="329"/>
      <c r="ANK6" s="329"/>
      <c r="ANL6" s="329"/>
      <c r="ANM6" s="329"/>
      <c r="ANN6" s="329"/>
      <c r="ANO6" s="329"/>
      <c r="ANP6" s="329"/>
      <c r="ANQ6" s="329"/>
      <c r="ANR6" s="329"/>
      <c r="ANS6" s="329"/>
      <c r="ANT6" s="329"/>
      <c r="ANU6" s="329"/>
      <c r="ANV6" s="329"/>
      <c r="ANW6" s="329"/>
      <c r="ANX6" s="329"/>
      <c r="ANY6" s="329"/>
      <c r="ANZ6" s="329"/>
      <c r="AOA6" s="329"/>
      <c r="AOB6" s="329"/>
      <c r="AOC6" s="329"/>
      <c r="AOD6" s="329"/>
      <c r="AOE6" s="329"/>
      <c r="AOF6" s="329"/>
      <c r="AOG6" s="329"/>
      <c r="AOH6" s="329"/>
      <c r="AOI6" s="329"/>
      <c r="AOJ6" s="329"/>
      <c r="AOK6" s="329"/>
      <c r="AOL6" s="329"/>
      <c r="AOM6" s="329"/>
      <c r="AON6" s="329"/>
      <c r="AOO6" s="329"/>
      <c r="AOP6" s="329"/>
      <c r="AOQ6" s="329"/>
      <c r="AOR6" s="329"/>
      <c r="AOS6" s="329"/>
      <c r="AOT6" s="329"/>
      <c r="AOU6" s="329"/>
      <c r="AOV6" s="329"/>
      <c r="AOW6" s="329"/>
      <c r="AOX6" s="329"/>
      <c r="AOY6" s="329"/>
      <c r="AOZ6" s="329"/>
      <c r="APA6" s="329"/>
      <c r="APB6" s="329"/>
      <c r="APC6" s="329"/>
      <c r="APD6" s="329"/>
      <c r="APE6" s="329"/>
      <c r="APF6" s="329"/>
      <c r="APG6" s="329"/>
      <c r="APH6" s="329"/>
      <c r="API6" s="329"/>
      <c r="APJ6" s="329"/>
      <c r="APK6" s="329"/>
      <c r="APL6" s="329"/>
      <c r="APM6" s="329"/>
      <c r="APN6" s="329"/>
      <c r="APO6" s="329"/>
      <c r="APP6" s="329"/>
      <c r="APQ6" s="329"/>
      <c r="APR6" s="329"/>
      <c r="APS6" s="329"/>
      <c r="APT6" s="329"/>
      <c r="APU6" s="329"/>
      <c r="APV6" s="329"/>
      <c r="APW6" s="329"/>
      <c r="APX6" s="329"/>
      <c r="APY6" s="329"/>
      <c r="APZ6" s="329"/>
      <c r="AQA6" s="329"/>
      <c r="AQB6" s="329"/>
      <c r="AQC6" s="329"/>
      <c r="AQD6" s="329"/>
      <c r="AQE6" s="329"/>
      <c r="AQF6" s="329"/>
      <c r="AQG6" s="329"/>
      <c r="AQH6" s="329"/>
      <c r="AQI6" s="329"/>
      <c r="AQJ6" s="329"/>
      <c r="AQK6" s="329"/>
      <c r="AQL6" s="329"/>
      <c r="AQM6" s="329"/>
      <c r="AQN6" s="329"/>
      <c r="AQO6" s="329"/>
      <c r="AQP6" s="329"/>
      <c r="AQQ6" s="329"/>
      <c r="AQR6" s="329"/>
      <c r="AQS6" s="329"/>
      <c r="AQT6" s="329"/>
      <c r="AQU6" s="329"/>
      <c r="AQV6" s="329"/>
      <c r="AQW6" s="329"/>
      <c r="AQX6" s="329"/>
      <c r="AQY6" s="329"/>
      <c r="AQZ6" s="329"/>
      <c r="ARA6" s="329"/>
      <c r="ARB6" s="329"/>
      <c r="ARC6" s="329"/>
      <c r="ARD6" s="329"/>
      <c r="ARE6" s="329"/>
      <c r="ARF6" s="329"/>
      <c r="ARG6" s="329"/>
      <c r="ARH6" s="329"/>
      <c r="ARI6" s="329"/>
      <c r="ARJ6" s="329"/>
      <c r="ARK6" s="329"/>
      <c r="ARL6" s="329"/>
      <c r="ARM6" s="329"/>
      <c r="ARN6" s="329"/>
      <c r="ARO6" s="329"/>
      <c r="ARP6" s="329"/>
      <c r="ARQ6" s="329"/>
      <c r="ARR6" s="329"/>
      <c r="ARS6" s="329"/>
      <c r="ART6" s="329"/>
      <c r="ARU6" s="329"/>
      <c r="ARV6" s="329"/>
      <c r="ARW6" s="329"/>
      <c r="ARX6" s="329"/>
      <c r="ARY6" s="329"/>
      <c r="ARZ6" s="329"/>
      <c r="ASA6" s="329"/>
      <c r="ASB6" s="329"/>
      <c r="ASC6" s="329"/>
      <c r="ASD6" s="329"/>
      <c r="ASE6" s="329"/>
      <c r="ASF6" s="329"/>
      <c r="ASG6" s="329"/>
      <c r="ASH6" s="329"/>
      <c r="ASI6" s="329"/>
      <c r="ASJ6" s="329"/>
      <c r="ASK6" s="329"/>
      <c r="ASL6" s="329"/>
      <c r="ASM6" s="329"/>
      <c r="ASN6" s="329"/>
      <c r="ASO6" s="329"/>
      <c r="ASP6" s="329"/>
      <c r="ASQ6" s="329"/>
      <c r="ASR6" s="329"/>
      <c r="ASS6" s="329"/>
      <c r="AST6" s="329"/>
      <c r="ASU6" s="329"/>
      <c r="ASV6" s="329"/>
      <c r="ASW6" s="329"/>
      <c r="ASX6" s="329"/>
      <c r="ASY6" s="329"/>
      <c r="ASZ6" s="329"/>
      <c r="ATA6" s="329"/>
      <c r="ATB6" s="329"/>
      <c r="ATC6" s="329"/>
      <c r="ATD6" s="329"/>
      <c r="ATE6" s="329"/>
      <c r="ATF6" s="329"/>
      <c r="ATG6" s="329"/>
      <c r="ATH6" s="329"/>
      <c r="ATI6" s="329"/>
      <c r="ATJ6" s="329"/>
      <c r="ATK6" s="329"/>
      <c r="ATL6" s="329"/>
      <c r="ATM6" s="329"/>
      <c r="ATN6" s="329"/>
      <c r="ATO6" s="329"/>
      <c r="ATP6" s="329"/>
      <c r="ATQ6" s="329"/>
      <c r="ATR6" s="329"/>
      <c r="ATS6" s="329"/>
      <c r="ATT6" s="329"/>
      <c r="ATU6" s="329"/>
      <c r="ATV6" s="329"/>
      <c r="ATW6" s="329"/>
      <c r="ATX6" s="329"/>
      <c r="ATY6" s="329"/>
      <c r="ATZ6" s="329"/>
      <c r="AUA6" s="329"/>
      <c r="AUB6" s="329"/>
      <c r="AUC6" s="329"/>
      <c r="AUD6" s="329"/>
      <c r="AUE6" s="329"/>
      <c r="AUF6" s="329"/>
      <c r="AUG6" s="329"/>
      <c r="AUH6" s="329"/>
      <c r="AUI6" s="329"/>
      <c r="AUJ6" s="329"/>
      <c r="AUK6" s="329"/>
      <c r="AUL6" s="329"/>
      <c r="AUM6" s="329"/>
      <c r="AUN6" s="329"/>
      <c r="AUO6" s="329"/>
      <c r="AUP6" s="329"/>
      <c r="AUQ6" s="329"/>
      <c r="AUR6" s="329"/>
      <c r="AUS6" s="329"/>
      <c r="AUT6" s="329"/>
      <c r="AUU6" s="329"/>
      <c r="AUV6" s="329"/>
      <c r="AUW6" s="329"/>
      <c r="AUX6" s="329"/>
      <c r="AUY6" s="329"/>
      <c r="AUZ6" s="329"/>
      <c r="AVA6" s="329"/>
      <c r="AVB6" s="329"/>
      <c r="AVC6" s="329"/>
      <c r="AVD6" s="329"/>
      <c r="AVE6" s="329"/>
      <c r="AVF6" s="329"/>
      <c r="AVG6" s="329"/>
      <c r="AVH6" s="329"/>
      <c r="AVI6" s="329"/>
      <c r="AVJ6" s="329"/>
      <c r="AVK6" s="329"/>
      <c r="AVL6" s="329"/>
      <c r="AVM6" s="329"/>
      <c r="AVN6" s="329"/>
      <c r="AVO6" s="329"/>
      <c r="AVP6" s="329"/>
      <c r="AVQ6" s="329"/>
      <c r="AVR6" s="329"/>
      <c r="AVS6" s="329"/>
      <c r="AVT6" s="329"/>
      <c r="AVU6" s="329"/>
      <c r="AVV6" s="329"/>
      <c r="AVW6" s="329"/>
      <c r="AVX6" s="329"/>
      <c r="AVY6" s="329"/>
      <c r="AVZ6" s="329"/>
      <c r="AWA6" s="329"/>
      <c r="AWB6" s="329"/>
      <c r="AWC6" s="329"/>
      <c r="AWD6" s="329"/>
      <c r="AWE6" s="329"/>
      <c r="AWF6" s="329"/>
      <c r="AWG6" s="329"/>
      <c r="AWH6" s="329"/>
      <c r="AWI6" s="329"/>
      <c r="AWJ6" s="329"/>
      <c r="AWK6" s="329"/>
      <c r="AWL6" s="329"/>
      <c r="AWM6" s="329"/>
      <c r="AWN6" s="329"/>
      <c r="AWO6" s="329"/>
      <c r="AWP6" s="329"/>
      <c r="AWQ6" s="329"/>
      <c r="AWR6" s="329"/>
      <c r="AWS6" s="329"/>
      <c r="AWT6" s="329"/>
      <c r="AWU6" s="329"/>
      <c r="AWV6" s="329"/>
      <c r="AWW6" s="329"/>
      <c r="AWX6" s="329"/>
      <c r="AWY6" s="329"/>
      <c r="AWZ6" s="329"/>
      <c r="AXA6" s="329"/>
      <c r="AXB6" s="329"/>
      <c r="AXC6" s="329"/>
      <c r="AXD6" s="329"/>
      <c r="AXE6" s="329"/>
      <c r="AXF6" s="329"/>
      <c r="AXG6" s="329"/>
      <c r="AXH6" s="329"/>
      <c r="AXI6" s="329"/>
      <c r="AXJ6" s="329"/>
      <c r="AXK6" s="329"/>
      <c r="AXL6" s="329"/>
      <c r="AXM6" s="329"/>
      <c r="AXN6" s="329"/>
      <c r="AXO6" s="329"/>
      <c r="AXP6" s="329"/>
      <c r="AXQ6" s="329"/>
      <c r="AXR6" s="329"/>
      <c r="AXS6" s="329"/>
      <c r="AXT6" s="329"/>
      <c r="AXU6" s="329"/>
      <c r="AXV6" s="329"/>
      <c r="AXW6" s="329"/>
      <c r="AXX6" s="329"/>
      <c r="AXY6" s="329"/>
      <c r="AXZ6" s="329"/>
      <c r="AYA6" s="329"/>
      <c r="AYB6" s="329"/>
      <c r="AYC6" s="329"/>
      <c r="AYD6" s="329"/>
      <c r="AYE6" s="329"/>
      <c r="AYF6" s="329"/>
      <c r="AYG6" s="329"/>
      <c r="AYH6" s="329"/>
      <c r="AYI6" s="329"/>
      <c r="AYJ6" s="329"/>
      <c r="AYK6" s="329"/>
      <c r="AYL6" s="329"/>
      <c r="AYM6" s="329"/>
      <c r="AYN6" s="329"/>
      <c r="AYO6" s="329"/>
      <c r="AYP6" s="329"/>
      <c r="AYQ6" s="329"/>
      <c r="AYR6" s="329"/>
      <c r="AYS6" s="329"/>
      <c r="AYT6" s="329"/>
      <c r="AYU6" s="329"/>
      <c r="AYV6" s="329"/>
      <c r="AYW6" s="329"/>
      <c r="AYX6" s="329"/>
      <c r="AYY6" s="329"/>
      <c r="AYZ6" s="329"/>
      <c r="AZA6" s="329"/>
      <c r="AZB6" s="329"/>
      <c r="AZC6" s="329"/>
      <c r="AZD6" s="329"/>
      <c r="AZE6" s="329"/>
      <c r="AZF6" s="329"/>
      <c r="AZG6" s="329"/>
      <c r="AZH6" s="329"/>
      <c r="AZI6" s="329"/>
      <c r="AZJ6" s="329"/>
      <c r="AZK6" s="329"/>
      <c r="AZL6" s="329"/>
      <c r="AZM6" s="329"/>
      <c r="AZN6" s="329"/>
      <c r="AZO6" s="329"/>
      <c r="AZP6" s="329"/>
      <c r="AZQ6" s="329"/>
      <c r="AZR6" s="329"/>
      <c r="AZS6" s="329"/>
      <c r="AZT6" s="329"/>
      <c r="AZU6" s="329"/>
      <c r="AZV6" s="329"/>
      <c r="AZW6" s="329"/>
      <c r="AZX6" s="329"/>
      <c r="AZY6" s="329"/>
      <c r="AZZ6" s="329"/>
      <c r="BAA6" s="329"/>
      <c r="BAB6" s="329"/>
      <c r="BAC6" s="329"/>
      <c r="BAD6" s="329"/>
      <c r="BAE6" s="329"/>
      <c r="BAF6" s="329"/>
      <c r="BAG6" s="329"/>
      <c r="BAH6" s="329"/>
      <c r="BAI6" s="329"/>
      <c r="BAJ6" s="329"/>
      <c r="BAK6" s="329"/>
      <c r="BAL6" s="329"/>
      <c r="BAM6" s="329"/>
      <c r="BAN6" s="329"/>
      <c r="BAO6" s="329"/>
      <c r="BAP6" s="329"/>
      <c r="BAQ6" s="329"/>
      <c r="BAR6" s="329"/>
      <c r="BAS6" s="329"/>
      <c r="BAT6" s="329"/>
      <c r="BAU6" s="329"/>
      <c r="BAV6" s="329"/>
      <c r="BAW6" s="329"/>
      <c r="BAX6" s="329"/>
      <c r="BAY6" s="329"/>
      <c r="BAZ6" s="329"/>
      <c r="BBA6" s="329"/>
      <c r="BBB6" s="329"/>
      <c r="BBC6" s="329"/>
      <c r="BBD6" s="329"/>
      <c r="BBE6" s="329"/>
      <c r="BBF6" s="329"/>
      <c r="BBG6" s="329"/>
      <c r="BBH6" s="329"/>
      <c r="BBI6" s="329"/>
      <c r="BBJ6" s="329"/>
      <c r="BBK6" s="329"/>
      <c r="BBL6" s="329"/>
      <c r="BBM6" s="329"/>
      <c r="BBN6" s="329"/>
      <c r="BBO6" s="329"/>
      <c r="BBP6" s="329"/>
      <c r="BBQ6" s="329"/>
      <c r="BBR6" s="329"/>
      <c r="BBS6" s="329"/>
      <c r="BBT6" s="329"/>
      <c r="BBU6" s="329"/>
      <c r="BBV6" s="329"/>
      <c r="BBW6" s="329"/>
      <c r="BBX6" s="329"/>
      <c r="BBY6" s="329"/>
      <c r="BBZ6" s="329"/>
      <c r="BCA6" s="329"/>
      <c r="BCB6" s="329"/>
      <c r="BCC6" s="329"/>
      <c r="BCD6" s="329"/>
      <c r="BCE6" s="329"/>
      <c r="BCF6" s="329"/>
      <c r="BCG6" s="329"/>
      <c r="BCH6" s="329"/>
      <c r="BCI6" s="329"/>
      <c r="BCJ6" s="329"/>
      <c r="BCK6" s="329"/>
      <c r="BCL6" s="329"/>
      <c r="BCM6" s="329"/>
      <c r="BCN6" s="329"/>
      <c r="BCO6" s="329"/>
      <c r="BCP6" s="329"/>
      <c r="BCQ6" s="329"/>
      <c r="BCR6" s="329"/>
      <c r="BCS6" s="329"/>
      <c r="BCT6" s="329"/>
      <c r="BCU6" s="329"/>
      <c r="BCV6" s="329"/>
      <c r="BCW6" s="329"/>
      <c r="BCX6" s="329"/>
      <c r="BCY6" s="329"/>
      <c r="BCZ6" s="329"/>
      <c r="BDA6" s="329"/>
      <c r="BDB6" s="329"/>
      <c r="BDC6" s="329"/>
      <c r="BDD6" s="329"/>
      <c r="BDE6" s="329"/>
      <c r="BDF6" s="329"/>
      <c r="BDG6" s="329"/>
      <c r="BDH6" s="329"/>
      <c r="BDI6" s="329"/>
      <c r="BDJ6" s="329"/>
      <c r="BDK6" s="329"/>
      <c r="BDL6" s="329"/>
      <c r="BDM6" s="329"/>
      <c r="BDN6" s="329"/>
      <c r="BDO6" s="329"/>
      <c r="BDP6" s="329"/>
      <c r="BDQ6" s="329"/>
      <c r="BDR6" s="329"/>
      <c r="BDS6" s="329"/>
      <c r="BDT6" s="329"/>
      <c r="BDU6" s="329"/>
      <c r="BDV6" s="329"/>
      <c r="BDW6" s="329"/>
      <c r="BDX6" s="329"/>
      <c r="BDY6" s="329"/>
      <c r="BDZ6" s="329"/>
      <c r="BEA6" s="329"/>
      <c r="BEB6" s="329"/>
      <c r="BEC6" s="329"/>
      <c r="BED6" s="329"/>
      <c r="BEE6" s="329"/>
      <c r="BEF6" s="329"/>
      <c r="BEG6" s="329"/>
      <c r="BEH6" s="329"/>
      <c r="BEI6" s="329"/>
      <c r="BEJ6" s="329"/>
      <c r="BEK6" s="329"/>
      <c r="BEL6" s="329"/>
      <c r="BEM6" s="329"/>
      <c r="BEN6" s="329"/>
      <c r="BEO6" s="329"/>
      <c r="BEP6" s="329"/>
      <c r="BEQ6" s="329"/>
      <c r="BER6" s="329"/>
      <c r="BES6" s="329"/>
      <c r="BET6" s="329"/>
      <c r="BEU6" s="329"/>
      <c r="BEV6" s="329"/>
      <c r="BEW6" s="329"/>
      <c r="BEX6" s="329"/>
      <c r="BEY6" s="329"/>
      <c r="BEZ6" s="329"/>
      <c r="BFA6" s="329"/>
      <c r="BFB6" s="329"/>
      <c r="BFC6" s="329"/>
      <c r="BFD6" s="329"/>
      <c r="BFE6" s="329"/>
      <c r="BFF6" s="329"/>
      <c r="BFG6" s="329"/>
      <c r="BFH6" s="329"/>
      <c r="BFI6" s="329"/>
      <c r="BFJ6" s="329"/>
      <c r="BFK6" s="329"/>
      <c r="BFL6" s="329"/>
      <c r="BFM6" s="329"/>
      <c r="BFN6" s="329"/>
      <c r="BFO6" s="329"/>
      <c r="BFP6" s="329"/>
      <c r="BFQ6" s="329"/>
      <c r="BFR6" s="329"/>
      <c r="BFS6" s="329"/>
      <c r="BFT6" s="329"/>
      <c r="BFU6" s="329"/>
      <c r="BFV6" s="329"/>
      <c r="BFW6" s="329"/>
      <c r="BFX6" s="329"/>
      <c r="BFY6" s="329"/>
      <c r="BFZ6" s="329"/>
      <c r="BGA6" s="329"/>
      <c r="BGB6" s="329"/>
      <c r="BGC6" s="329"/>
      <c r="BGD6" s="329"/>
      <c r="BGE6" s="329"/>
      <c r="BGF6" s="329"/>
      <c r="BGG6" s="329"/>
      <c r="BGH6" s="329"/>
      <c r="BGI6" s="329"/>
      <c r="BGJ6" s="329"/>
      <c r="BGK6" s="329"/>
      <c r="BGL6" s="329"/>
      <c r="BGM6" s="329"/>
      <c r="BGN6" s="329"/>
      <c r="BGO6" s="329"/>
      <c r="BGP6" s="329"/>
      <c r="BGQ6" s="329"/>
      <c r="BGR6" s="329"/>
      <c r="BGS6" s="329"/>
      <c r="BGT6" s="329"/>
      <c r="BGU6" s="329"/>
      <c r="BGV6" s="329"/>
      <c r="BGW6" s="329"/>
      <c r="BGX6" s="329"/>
      <c r="BGY6" s="329"/>
      <c r="BGZ6" s="329"/>
      <c r="BHA6" s="329"/>
      <c r="BHB6" s="329"/>
      <c r="BHC6" s="329"/>
      <c r="BHD6" s="329"/>
      <c r="BHE6" s="329"/>
      <c r="BHF6" s="329"/>
      <c r="BHG6" s="329"/>
      <c r="BHH6" s="329"/>
      <c r="BHI6" s="329"/>
      <c r="BHJ6" s="329"/>
      <c r="BHK6" s="329"/>
      <c r="BHL6" s="329"/>
      <c r="BHM6" s="329"/>
      <c r="BHN6" s="329"/>
      <c r="BHO6" s="329"/>
      <c r="BHP6" s="329"/>
      <c r="BHQ6" s="329"/>
      <c r="BHR6" s="329"/>
      <c r="BHS6" s="329"/>
      <c r="BHT6" s="329"/>
      <c r="BHU6" s="329"/>
      <c r="BHV6" s="329"/>
      <c r="BHW6" s="329"/>
      <c r="BHX6" s="329"/>
      <c r="BHY6" s="329"/>
      <c r="BHZ6" s="329"/>
      <c r="BIA6" s="329"/>
      <c r="BIB6" s="329"/>
      <c r="BIC6" s="329"/>
      <c r="BID6" s="329"/>
      <c r="BIE6" s="329"/>
      <c r="BIF6" s="329"/>
      <c r="BIG6" s="329"/>
      <c r="BIH6" s="329"/>
      <c r="BII6" s="329"/>
      <c r="BIJ6" s="329"/>
      <c r="BIK6" s="329"/>
      <c r="BIL6" s="329"/>
      <c r="BIM6" s="329"/>
      <c r="BIN6" s="329"/>
      <c r="BIO6" s="329"/>
      <c r="BIP6" s="329"/>
      <c r="BIQ6" s="329"/>
      <c r="BIR6" s="329"/>
      <c r="BIS6" s="329"/>
      <c r="BIT6" s="329"/>
      <c r="BIU6" s="329"/>
      <c r="BIV6" s="329"/>
      <c r="BIW6" s="329"/>
      <c r="BIX6" s="329"/>
      <c r="BIY6" s="329"/>
      <c r="BIZ6" s="329"/>
      <c r="BJA6" s="329"/>
      <c r="BJB6" s="329"/>
      <c r="BJC6" s="329"/>
      <c r="BJD6" s="329"/>
      <c r="BJE6" s="329"/>
      <c r="BJF6" s="329"/>
      <c r="BJG6" s="329"/>
      <c r="BJH6" s="329"/>
      <c r="BJI6" s="329"/>
      <c r="BJJ6" s="329"/>
      <c r="BJK6" s="329"/>
      <c r="BJL6" s="329"/>
      <c r="BJM6" s="329"/>
      <c r="BJN6" s="329"/>
      <c r="BJO6" s="329"/>
      <c r="BJP6" s="329"/>
      <c r="BJQ6" s="329"/>
      <c r="BJR6" s="329"/>
      <c r="BJS6" s="329"/>
      <c r="BJT6" s="329"/>
      <c r="BJU6" s="329"/>
      <c r="BJV6" s="329"/>
      <c r="BJW6" s="329"/>
      <c r="BJX6" s="329"/>
      <c r="BJY6" s="329"/>
      <c r="BJZ6" s="329"/>
      <c r="BKA6" s="329"/>
      <c r="BKB6" s="329"/>
      <c r="BKC6" s="329"/>
      <c r="BKD6" s="329"/>
      <c r="BKE6" s="329"/>
      <c r="BKF6" s="329"/>
      <c r="BKG6" s="329"/>
      <c r="BKH6" s="329"/>
      <c r="BKI6" s="329"/>
      <c r="BKJ6" s="329"/>
      <c r="BKK6" s="329"/>
      <c r="BKL6" s="329"/>
      <c r="BKM6" s="329"/>
      <c r="BKN6" s="329"/>
      <c r="BKO6" s="329"/>
      <c r="BKP6" s="329"/>
      <c r="BKQ6" s="329"/>
      <c r="BKR6" s="329"/>
      <c r="BKS6" s="329"/>
      <c r="BKT6" s="329"/>
      <c r="BKU6" s="329"/>
      <c r="BKV6" s="329"/>
      <c r="BKW6" s="329"/>
      <c r="BKX6" s="329"/>
      <c r="BKY6" s="329"/>
      <c r="BKZ6" s="329"/>
      <c r="BLA6" s="329"/>
      <c r="BLB6" s="329"/>
      <c r="BLC6" s="329"/>
      <c r="BLD6" s="329"/>
      <c r="BLE6" s="329"/>
      <c r="BLF6" s="329"/>
      <c r="BLG6" s="329"/>
      <c r="BLH6" s="329"/>
      <c r="BLI6" s="329"/>
      <c r="BLJ6" s="329"/>
      <c r="BLK6" s="329"/>
      <c r="BLL6" s="329"/>
      <c r="BLM6" s="329"/>
      <c r="BLN6" s="329"/>
      <c r="BLO6" s="329"/>
      <c r="BLP6" s="329"/>
      <c r="BLQ6" s="329"/>
      <c r="BLR6" s="329"/>
      <c r="BLS6" s="329"/>
      <c r="BLT6" s="329"/>
      <c r="BLU6" s="329"/>
      <c r="BLV6" s="329"/>
      <c r="BLW6" s="329"/>
      <c r="BLX6" s="329"/>
      <c r="BLY6" s="329"/>
      <c r="BLZ6" s="329"/>
      <c r="BMA6" s="329"/>
      <c r="BMB6" s="329"/>
      <c r="BMC6" s="329"/>
      <c r="BMD6" s="329"/>
      <c r="BME6" s="329"/>
      <c r="BMF6" s="329"/>
      <c r="BMG6" s="329"/>
      <c r="BMH6" s="329"/>
      <c r="BMI6" s="329"/>
      <c r="BMJ6" s="329"/>
      <c r="BMK6" s="329"/>
      <c r="BML6" s="329"/>
      <c r="BMM6" s="329"/>
      <c r="BMN6" s="329"/>
      <c r="BMO6" s="329"/>
      <c r="BMP6" s="329"/>
      <c r="BMQ6" s="329"/>
      <c r="BMR6" s="329"/>
      <c r="BMS6" s="329"/>
      <c r="BMT6" s="329"/>
      <c r="BMU6" s="329"/>
      <c r="BMV6" s="329"/>
      <c r="BMW6" s="329"/>
      <c r="BMX6" s="329"/>
      <c r="BMY6" s="329"/>
      <c r="BMZ6" s="329"/>
      <c r="BNA6" s="329"/>
      <c r="BNB6" s="329"/>
      <c r="BNC6" s="329"/>
      <c r="BND6" s="329"/>
      <c r="BNE6" s="329"/>
      <c r="BNF6" s="329"/>
      <c r="BNG6" s="329"/>
      <c r="BNH6" s="329"/>
      <c r="BNI6" s="329"/>
      <c r="BNJ6" s="329"/>
      <c r="BNK6" s="329"/>
      <c r="BNL6" s="329"/>
      <c r="BNM6" s="329"/>
      <c r="BNN6" s="329"/>
      <c r="BNO6" s="329"/>
      <c r="BNP6" s="329"/>
      <c r="BNQ6" s="329"/>
      <c r="BNR6" s="329"/>
      <c r="BNS6" s="329"/>
      <c r="BNT6" s="329"/>
      <c r="BNU6" s="329"/>
      <c r="BNV6" s="329"/>
      <c r="BNW6" s="329"/>
      <c r="BNX6" s="329"/>
      <c r="BNY6" s="329"/>
      <c r="BNZ6" s="329"/>
      <c r="BOA6" s="329"/>
      <c r="BOB6" s="329"/>
      <c r="BOC6" s="329"/>
      <c r="BOD6" s="329"/>
      <c r="BOE6" s="329"/>
      <c r="BOF6" s="329"/>
      <c r="BOG6" s="329"/>
      <c r="BOH6" s="329"/>
      <c r="BOI6" s="329"/>
      <c r="BOJ6" s="329"/>
      <c r="BOK6" s="329"/>
      <c r="BOL6" s="329"/>
      <c r="BOM6" s="329"/>
      <c r="BON6" s="329"/>
      <c r="BOO6" s="329"/>
      <c r="BOP6" s="329"/>
      <c r="BOQ6" s="329"/>
      <c r="BOR6" s="329"/>
      <c r="BOS6" s="329"/>
      <c r="BOT6" s="329"/>
      <c r="BOU6" s="329"/>
      <c r="BOV6" s="329"/>
      <c r="BOW6" s="329"/>
      <c r="BOX6" s="329"/>
      <c r="BOY6" s="329"/>
      <c r="BOZ6" s="329"/>
      <c r="BPA6" s="329"/>
      <c r="BPB6" s="329"/>
      <c r="BPC6" s="329"/>
      <c r="BPD6" s="329"/>
      <c r="BPE6" s="329"/>
      <c r="BPF6" s="329"/>
      <c r="BPG6" s="329"/>
      <c r="BPH6" s="329"/>
      <c r="BPI6" s="329"/>
      <c r="BPJ6" s="329"/>
      <c r="BPK6" s="329"/>
      <c r="BPL6" s="329"/>
      <c r="BPM6" s="329"/>
      <c r="BPN6" s="329"/>
      <c r="BPO6" s="329"/>
      <c r="BPP6" s="329"/>
      <c r="BPQ6" s="329"/>
      <c r="BPR6" s="329"/>
      <c r="BPS6" s="329"/>
      <c r="BPT6" s="329"/>
      <c r="BPU6" s="329"/>
      <c r="BPV6" s="329"/>
      <c r="BPW6" s="329"/>
      <c r="BPX6" s="329"/>
      <c r="BPY6" s="329"/>
      <c r="BPZ6" s="329"/>
      <c r="BQA6" s="329"/>
      <c r="BQB6" s="329"/>
      <c r="BQC6" s="329"/>
      <c r="BQD6" s="329"/>
      <c r="BQE6" s="329"/>
      <c r="BQF6" s="329"/>
      <c r="BQG6" s="329"/>
      <c r="BQH6" s="329"/>
      <c r="BQI6" s="329"/>
      <c r="BQJ6" s="329"/>
      <c r="BQK6" s="329"/>
      <c r="BQL6" s="329"/>
      <c r="BQM6" s="329"/>
      <c r="BQN6" s="329"/>
      <c r="BQO6" s="329"/>
      <c r="BQP6" s="329"/>
      <c r="BQQ6" s="329"/>
      <c r="BQR6" s="329"/>
      <c r="BQS6" s="329"/>
      <c r="BQT6" s="329"/>
      <c r="BQU6" s="329"/>
      <c r="BQV6" s="329"/>
      <c r="BQW6" s="329"/>
      <c r="BQX6" s="329"/>
      <c r="BQY6" s="329"/>
      <c r="BQZ6" s="329"/>
      <c r="BRA6" s="329"/>
      <c r="BRB6" s="329"/>
      <c r="BRC6" s="329"/>
      <c r="BRD6" s="329"/>
      <c r="BRE6" s="329"/>
      <c r="BRF6" s="329"/>
      <c r="BRG6" s="329"/>
      <c r="BRH6" s="329"/>
      <c r="BRI6" s="329"/>
      <c r="BRJ6" s="329"/>
      <c r="BRK6" s="329"/>
      <c r="BRL6" s="329"/>
      <c r="BRM6" s="329"/>
      <c r="BRN6" s="329"/>
      <c r="BRO6" s="329"/>
      <c r="BRP6" s="329"/>
      <c r="BRQ6" s="329"/>
      <c r="BRR6" s="329"/>
      <c r="BRS6" s="329"/>
      <c r="BRT6" s="329"/>
      <c r="BRU6" s="329"/>
      <c r="BRV6" s="329"/>
      <c r="BRW6" s="329"/>
      <c r="BRX6" s="329"/>
      <c r="BRY6" s="329"/>
      <c r="BRZ6" s="329"/>
      <c r="BSA6" s="329"/>
      <c r="BSB6" s="329"/>
      <c r="BSC6" s="329"/>
      <c r="BSD6" s="329"/>
      <c r="BSE6" s="329"/>
      <c r="BSF6" s="329"/>
      <c r="BSG6" s="329"/>
      <c r="BSH6" s="329"/>
      <c r="BSI6" s="329"/>
      <c r="BSJ6" s="329"/>
      <c r="BSK6" s="329"/>
      <c r="BSL6" s="329"/>
      <c r="BSM6" s="329"/>
      <c r="BSN6" s="329"/>
      <c r="BSO6" s="329"/>
      <c r="BSP6" s="329"/>
      <c r="BSQ6" s="329"/>
      <c r="BSR6" s="329"/>
      <c r="BSS6" s="329"/>
      <c r="BST6" s="329"/>
      <c r="BSU6" s="329"/>
      <c r="BSV6" s="329"/>
      <c r="BSW6" s="329"/>
      <c r="BSX6" s="329"/>
      <c r="BSY6" s="329"/>
      <c r="BSZ6" s="329"/>
      <c r="BTA6" s="329"/>
      <c r="BTB6" s="329"/>
      <c r="BTC6" s="329"/>
      <c r="BTD6" s="329"/>
      <c r="BTE6" s="329"/>
      <c r="BTF6" s="329"/>
      <c r="BTG6" s="329"/>
      <c r="BTH6" s="329"/>
      <c r="BTI6" s="329"/>
      <c r="BTJ6" s="329"/>
      <c r="BTK6" s="329"/>
      <c r="BTL6" s="329"/>
      <c r="BTM6" s="329"/>
      <c r="BTN6" s="329"/>
      <c r="BTO6" s="329"/>
      <c r="BTP6" s="329"/>
      <c r="BTQ6" s="329"/>
      <c r="BTR6" s="329"/>
      <c r="BTS6" s="329"/>
      <c r="BTT6" s="329"/>
      <c r="BTU6" s="329"/>
      <c r="BTV6" s="329"/>
      <c r="BTW6" s="329"/>
      <c r="BTX6" s="329"/>
      <c r="BTY6" s="329"/>
      <c r="BTZ6" s="329"/>
      <c r="BUA6" s="329"/>
      <c r="BUB6" s="329"/>
      <c r="BUC6" s="329"/>
      <c r="BUD6" s="329"/>
      <c r="BUE6" s="329"/>
      <c r="BUF6" s="329"/>
      <c r="BUG6" s="329"/>
      <c r="BUH6" s="329"/>
      <c r="BUI6" s="329"/>
      <c r="BUJ6" s="329"/>
      <c r="BUK6" s="329"/>
      <c r="BUL6" s="329"/>
      <c r="BUM6" s="329"/>
      <c r="BUN6" s="329"/>
      <c r="BUO6" s="329"/>
      <c r="BUP6" s="329"/>
      <c r="BUQ6" s="329"/>
      <c r="BUR6" s="329"/>
      <c r="BUS6" s="329"/>
      <c r="BUT6" s="329"/>
      <c r="BUU6" s="329"/>
      <c r="BUV6" s="329"/>
      <c r="BUW6" s="329"/>
      <c r="BUX6" s="329"/>
      <c r="BUY6" s="329"/>
      <c r="BUZ6" s="329"/>
      <c r="BVA6" s="329"/>
      <c r="BVB6" s="329"/>
      <c r="BVC6" s="329"/>
      <c r="BVD6" s="329"/>
      <c r="BVE6" s="329"/>
      <c r="BVF6" s="329"/>
      <c r="BVG6" s="329"/>
      <c r="BVH6" s="329"/>
      <c r="BVI6" s="329"/>
      <c r="BVJ6" s="329"/>
      <c r="BVK6" s="329"/>
      <c r="BVL6" s="329"/>
      <c r="BVM6" s="329"/>
      <c r="BVN6" s="329"/>
      <c r="BVO6" s="329"/>
      <c r="BVP6" s="329"/>
      <c r="BVQ6" s="329"/>
      <c r="BVR6" s="329"/>
      <c r="BVS6" s="329"/>
      <c r="BVT6" s="329"/>
      <c r="BVU6" s="329"/>
      <c r="BVV6" s="329"/>
      <c r="BVW6" s="329"/>
      <c r="BVX6" s="329"/>
      <c r="BVY6" s="329"/>
      <c r="BVZ6" s="329"/>
      <c r="BWA6" s="329"/>
      <c r="BWB6" s="329"/>
      <c r="BWC6" s="329"/>
      <c r="BWD6" s="329"/>
      <c r="BWE6" s="329"/>
      <c r="BWF6" s="329"/>
      <c r="BWG6" s="329"/>
      <c r="BWH6" s="329"/>
      <c r="BWI6" s="329"/>
      <c r="BWJ6" s="329"/>
      <c r="BWK6" s="329"/>
      <c r="BWL6" s="329"/>
      <c r="BWM6" s="329"/>
      <c r="BWN6" s="329"/>
      <c r="BWO6" s="329"/>
      <c r="BWP6" s="329"/>
      <c r="BWQ6" s="329"/>
      <c r="BWR6" s="329"/>
      <c r="BWS6" s="329"/>
      <c r="BWT6" s="329"/>
      <c r="BWU6" s="329"/>
      <c r="BWV6" s="329"/>
      <c r="BWW6" s="329"/>
      <c r="BWX6" s="329"/>
      <c r="BWY6" s="329"/>
      <c r="BWZ6" s="329"/>
      <c r="BXA6" s="329"/>
      <c r="BXB6" s="329"/>
      <c r="BXC6" s="329"/>
      <c r="BXD6" s="329"/>
      <c r="BXE6" s="329"/>
      <c r="BXF6" s="329"/>
      <c r="BXG6" s="329"/>
      <c r="BXH6" s="329"/>
      <c r="BXI6" s="329"/>
      <c r="BXJ6" s="329"/>
      <c r="BXK6" s="329"/>
      <c r="BXL6" s="329"/>
      <c r="BXM6" s="329"/>
      <c r="BXN6" s="329"/>
      <c r="BXO6" s="329"/>
      <c r="BXP6" s="329"/>
      <c r="BXQ6" s="329"/>
      <c r="BXR6" s="329"/>
      <c r="BXS6" s="329"/>
      <c r="BXT6" s="329"/>
      <c r="BXU6" s="329"/>
      <c r="BXV6" s="329"/>
      <c r="BXW6" s="329"/>
      <c r="BXX6" s="329"/>
      <c r="BXY6" s="329"/>
      <c r="BXZ6" s="329"/>
      <c r="BYA6" s="329"/>
      <c r="BYB6" s="329"/>
      <c r="BYC6" s="329"/>
      <c r="BYD6" s="329"/>
      <c r="BYE6" s="329"/>
      <c r="BYF6" s="329"/>
      <c r="BYG6" s="329"/>
    </row>
    <row r="7" spans="1:2009" s="96" customFormat="1" ht="24.95" customHeight="1" x14ac:dyDescent="0.25">
      <c r="A7" s="129"/>
      <c r="B7" s="124" t="s">
        <v>598</v>
      </c>
      <c r="C7" s="162">
        <v>23401.39</v>
      </c>
      <c r="D7" s="162"/>
      <c r="E7" s="162"/>
      <c r="F7" s="163"/>
      <c r="G7" s="627">
        <f>ROUND(SUM(C7:F7),5)</f>
        <v>23401.39</v>
      </c>
      <c r="H7" s="93"/>
      <c r="I7" s="544"/>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7" customFormat="1" ht="24.95" customHeight="1" thickBot="1" x14ac:dyDescent="0.3">
      <c r="A8" s="193"/>
      <c r="B8" s="194" t="s">
        <v>154</v>
      </c>
      <c r="C8" s="811">
        <f>SUM(C5:C7)</f>
        <v>23401.39</v>
      </c>
      <c r="D8" s="811"/>
      <c r="E8" s="811"/>
      <c r="F8" s="811"/>
      <c r="G8" s="812">
        <f>ROUND(SUM(G3:G7),5)</f>
        <v>23401.39</v>
      </c>
      <c r="H8" s="195"/>
      <c r="I8" s="544"/>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c r="IU8" s="196"/>
      <c r="IV8" s="196"/>
      <c r="IW8" s="196"/>
      <c r="IX8" s="196"/>
      <c r="IY8" s="196"/>
      <c r="IZ8" s="196"/>
      <c r="JA8" s="196"/>
      <c r="JB8" s="196"/>
      <c r="JC8" s="196"/>
      <c r="JD8" s="196"/>
      <c r="JE8" s="196"/>
      <c r="JF8" s="196"/>
      <c r="JG8" s="196"/>
      <c r="JH8" s="196"/>
      <c r="JI8" s="196"/>
      <c r="JJ8" s="196"/>
      <c r="JK8" s="196"/>
      <c r="JL8" s="196"/>
      <c r="JM8" s="196"/>
      <c r="JN8" s="196"/>
      <c r="JO8" s="196"/>
      <c r="JP8" s="196"/>
      <c r="JQ8" s="196"/>
      <c r="JR8" s="196"/>
      <c r="JS8" s="196"/>
      <c r="JT8" s="196"/>
      <c r="JU8" s="196"/>
      <c r="JV8" s="196"/>
      <c r="JW8" s="196"/>
      <c r="JX8" s="196"/>
      <c r="JY8" s="196"/>
      <c r="JZ8" s="196"/>
      <c r="KA8" s="196"/>
      <c r="KB8" s="196"/>
      <c r="KC8" s="196"/>
      <c r="KD8" s="196"/>
      <c r="KE8" s="196"/>
      <c r="KF8" s="196"/>
      <c r="KG8" s="196"/>
      <c r="KH8" s="196"/>
      <c r="KI8" s="196"/>
      <c r="KJ8" s="196"/>
      <c r="KK8" s="196"/>
      <c r="KL8" s="196"/>
      <c r="KM8" s="196"/>
      <c r="KN8" s="196"/>
      <c r="KO8" s="196"/>
      <c r="KP8" s="196"/>
      <c r="KQ8" s="196"/>
      <c r="KR8" s="196"/>
      <c r="KS8" s="196"/>
      <c r="KT8" s="196"/>
      <c r="KU8" s="196"/>
      <c r="KV8" s="196"/>
      <c r="KW8" s="196"/>
      <c r="KX8" s="196"/>
      <c r="KY8" s="196"/>
      <c r="KZ8" s="196"/>
      <c r="LA8" s="196"/>
      <c r="LB8" s="196"/>
      <c r="LC8" s="196"/>
      <c r="LD8" s="196"/>
      <c r="LE8" s="196"/>
      <c r="LF8" s="196"/>
      <c r="LG8" s="196"/>
      <c r="LH8" s="196"/>
      <c r="LI8" s="196"/>
      <c r="LJ8" s="196"/>
      <c r="LK8" s="196"/>
      <c r="LL8" s="196"/>
      <c r="LM8" s="196"/>
      <c r="LN8" s="196"/>
      <c r="LO8" s="196"/>
      <c r="LP8" s="196"/>
      <c r="LQ8" s="196"/>
      <c r="LR8" s="196"/>
      <c r="LS8" s="196"/>
      <c r="LT8" s="196"/>
      <c r="LU8" s="196"/>
      <c r="LV8" s="196"/>
      <c r="LW8" s="196"/>
      <c r="LX8" s="196"/>
      <c r="LY8" s="196"/>
      <c r="LZ8" s="196"/>
      <c r="MA8" s="196"/>
      <c r="MB8" s="196"/>
      <c r="MC8" s="196"/>
      <c r="MD8" s="196"/>
      <c r="ME8" s="196"/>
      <c r="MF8" s="196"/>
      <c r="MG8" s="196"/>
      <c r="MH8" s="196"/>
      <c r="MI8" s="196"/>
      <c r="MJ8" s="196"/>
      <c r="MK8" s="196"/>
      <c r="ML8" s="196"/>
      <c r="MM8" s="196"/>
      <c r="MN8" s="196"/>
      <c r="MO8" s="196"/>
      <c r="MP8" s="196"/>
      <c r="MQ8" s="196"/>
      <c r="MR8" s="196"/>
      <c r="MS8" s="196"/>
      <c r="MT8" s="196"/>
      <c r="MU8" s="196"/>
      <c r="MV8" s="196"/>
      <c r="MW8" s="196"/>
      <c r="MX8" s="196"/>
      <c r="MY8" s="196"/>
      <c r="MZ8" s="196"/>
      <c r="NA8" s="196"/>
      <c r="NB8" s="196"/>
      <c r="NC8" s="196"/>
      <c r="ND8" s="196"/>
      <c r="NE8" s="196"/>
      <c r="NF8" s="196"/>
      <c r="NG8" s="196"/>
      <c r="NH8" s="196"/>
      <c r="NI8" s="196"/>
      <c r="NJ8" s="196"/>
      <c r="NK8" s="196"/>
      <c r="NL8" s="196"/>
      <c r="NM8" s="196"/>
      <c r="NN8" s="196"/>
      <c r="NO8" s="196"/>
      <c r="NP8" s="196"/>
      <c r="NQ8" s="196"/>
      <c r="NR8" s="196"/>
      <c r="NS8" s="196"/>
      <c r="NT8" s="196"/>
      <c r="NU8" s="196"/>
      <c r="NV8" s="196"/>
      <c r="NW8" s="196"/>
      <c r="NX8" s="196"/>
      <c r="NY8" s="196"/>
      <c r="NZ8" s="196"/>
      <c r="OA8" s="196"/>
      <c r="OB8" s="196"/>
      <c r="OC8" s="196"/>
      <c r="OD8" s="196"/>
      <c r="OE8" s="196"/>
      <c r="OF8" s="196"/>
      <c r="OG8" s="196"/>
      <c r="OH8" s="196"/>
      <c r="OI8" s="196"/>
      <c r="OJ8" s="196"/>
      <c r="OK8" s="196"/>
      <c r="OL8" s="196"/>
      <c r="OM8" s="196"/>
      <c r="ON8" s="196"/>
      <c r="OO8" s="196"/>
      <c r="OP8" s="196"/>
      <c r="OQ8" s="196"/>
      <c r="OR8" s="196"/>
      <c r="OS8" s="196"/>
      <c r="OT8" s="196"/>
      <c r="OU8" s="196"/>
      <c r="OV8" s="196"/>
      <c r="OW8" s="196"/>
      <c r="OX8" s="196"/>
      <c r="OY8" s="196"/>
      <c r="OZ8" s="196"/>
      <c r="PA8" s="196"/>
      <c r="PB8" s="196"/>
      <c r="PC8" s="196"/>
      <c r="PD8" s="196"/>
      <c r="PE8" s="196"/>
      <c r="PF8" s="196"/>
      <c r="PG8" s="196"/>
      <c r="PH8" s="196"/>
      <c r="PI8" s="196"/>
      <c r="PJ8" s="196"/>
      <c r="PK8" s="196"/>
      <c r="PL8" s="196"/>
      <c r="PM8" s="196"/>
      <c r="PN8" s="196"/>
      <c r="PO8" s="196"/>
      <c r="PP8" s="196"/>
      <c r="PQ8" s="196"/>
      <c r="PR8" s="196"/>
      <c r="PS8" s="196"/>
      <c r="PT8" s="196"/>
      <c r="PU8" s="196"/>
      <c r="PV8" s="196"/>
      <c r="PW8" s="196"/>
      <c r="PX8" s="196"/>
      <c r="PY8" s="196"/>
      <c r="PZ8" s="196"/>
      <c r="QA8" s="196"/>
      <c r="QB8" s="196"/>
      <c r="QC8" s="196"/>
      <c r="QD8" s="196"/>
      <c r="QE8" s="196"/>
      <c r="QF8" s="196"/>
      <c r="QG8" s="196"/>
      <c r="QH8" s="196"/>
      <c r="QI8" s="196"/>
      <c r="QJ8" s="196"/>
      <c r="QK8" s="196"/>
      <c r="QL8" s="196"/>
      <c r="QM8" s="196"/>
      <c r="QN8" s="196"/>
      <c r="QO8" s="196"/>
      <c r="QP8" s="196"/>
      <c r="QQ8" s="196"/>
      <c r="QR8" s="196"/>
      <c r="QS8" s="196"/>
      <c r="QT8" s="196"/>
      <c r="QU8" s="196"/>
      <c r="QV8" s="196"/>
      <c r="QW8" s="196"/>
      <c r="QX8" s="196"/>
      <c r="QY8" s="196"/>
      <c r="QZ8" s="196"/>
      <c r="RA8" s="196"/>
      <c r="RB8" s="196"/>
      <c r="RC8" s="196"/>
      <c r="RD8" s="196"/>
      <c r="RE8" s="196"/>
      <c r="RF8" s="196"/>
      <c r="RG8" s="196"/>
      <c r="RH8" s="196"/>
      <c r="RI8" s="196"/>
      <c r="RJ8" s="196"/>
      <c r="RK8" s="196"/>
      <c r="RL8" s="196"/>
      <c r="RM8" s="196"/>
      <c r="RN8" s="196"/>
      <c r="RO8" s="196"/>
      <c r="RP8" s="196"/>
      <c r="RQ8" s="196"/>
      <c r="RR8" s="196"/>
      <c r="RS8" s="196"/>
      <c r="RT8" s="196"/>
      <c r="RU8" s="196"/>
      <c r="RV8" s="196"/>
      <c r="RW8" s="196"/>
      <c r="RX8" s="196"/>
      <c r="RY8" s="196"/>
      <c r="RZ8" s="196"/>
      <c r="SA8" s="196"/>
      <c r="SB8" s="196"/>
      <c r="SC8" s="196"/>
      <c r="SD8" s="196"/>
      <c r="SE8" s="196"/>
      <c r="SF8" s="196"/>
      <c r="SG8" s="196"/>
      <c r="SH8" s="196"/>
      <c r="SI8" s="196"/>
      <c r="SJ8" s="196"/>
      <c r="SK8" s="196"/>
      <c r="SL8" s="196"/>
      <c r="SM8" s="196"/>
      <c r="SN8" s="196"/>
      <c r="SO8" s="196"/>
      <c r="SP8" s="196"/>
      <c r="SQ8" s="196"/>
      <c r="SR8" s="196"/>
      <c r="SS8" s="196"/>
      <c r="ST8" s="196"/>
      <c r="SU8" s="196"/>
      <c r="SV8" s="196"/>
      <c r="SW8" s="196"/>
      <c r="SX8" s="196"/>
      <c r="SY8" s="196"/>
      <c r="SZ8" s="196"/>
      <c r="TA8" s="196"/>
      <c r="TB8" s="196"/>
      <c r="TC8" s="196"/>
      <c r="TD8" s="196"/>
      <c r="TE8" s="196"/>
      <c r="TF8" s="196"/>
      <c r="TG8" s="196"/>
      <c r="TH8" s="196"/>
      <c r="TI8" s="196"/>
      <c r="TJ8" s="196"/>
      <c r="TK8" s="196"/>
      <c r="TL8" s="196"/>
      <c r="TM8" s="196"/>
      <c r="TN8" s="196"/>
      <c r="TO8" s="196"/>
      <c r="TP8" s="196"/>
      <c r="TQ8" s="196"/>
      <c r="TR8" s="196"/>
      <c r="TS8" s="196"/>
      <c r="TT8" s="196"/>
      <c r="TU8" s="196"/>
      <c r="TV8" s="196"/>
      <c r="TW8" s="196"/>
      <c r="TX8" s="196"/>
      <c r="TY8" s="196"/>
      <c r="TZ8" s="196"/>
      <c r="UA8" s="196"/>
      <c r="UB8" s="196"/>
      <c r="UC8" s="196"/>
      <c r="UD8" s="196"/>
      <c r="UE8" s="196"/>
      <c r="UF8" s="196"/>
      <c r="UG8" s="196"/>
      <c r="UH8" s="196"/>
      <c r="UI8" s="196"/>
      <c r="UJ8" s="196"/>
      <c r="UK8" s="196"/>
      <c r="UL8" s="196"/>
      <c r="UM8" s="196"/>
      <c r="UN8" s="196"/>
      <c r="UO8" s="196"/>
      <c r="UP8" s="196"/>
      <c r="UQ8" s="196"/>
      <c r="UR8" s="196"/>
      <c r="US8" s="196"/>
      <c r="UT8" s="196"/>
      <c r="UU8" s="196"/>
      <c r="UV8" s="196"/>
      <c r="UW8" s="196"/>
      <c r="UX8" s="196"/>
      <c r="UY8" s="196"/>
      <c r="UZ8" s="196"/>
      <c r="VA8" s="196"/>
      <c r="VB8" s="196"/>
      <c r="VC8" s="196"/>
      <c r="VD8" s="196"/>
      <c r="VE8" s="196"/>
      <c r="VF8" s="196"/>
      <c r="VG8" s="196"/>
      <c r="VH8" s="196"/>
      <c r="VI8" s="196"/>
      <c r="VJ8" s="196"/>
      <c r="VK8" s="196"/>
      <c r="VL8" s="196"/>
      <c r="VM8" s="196"/>
      <c r="VN8" s="196"/>
      <c r="VO8" s="196"/>
      <c r="VP8" s="196"/>
      <c r="VQ8" s="196"/>
      <c r="VR8" s="196"/>
      <c r="VS8" s="196"/>
      <c r="VT8" s="196"/>
      <c r="VU8" s="196"/>
      <c r="VV8" s="196"/>
      <c r="VW8" s="196"/>
      <c r="VX8" s="196"/>
      <c r="VY8" s="196"/>
      <c r="VZ8" s="196"/>
      <c r="WA8" s="196"/>
      <c r="WB8" s="196"/>
      <c r="WC8" s="196"/>
      <c r="WD8" s="196"/>
      <c r="WE8" s="196"/>
      <c r="WF8" s="196"/>
      <c r="WG8" s="196"/>
      <c r="WH8" s="196"/>
      <c r="WI8" s="196"/>
      <c r="WJ8" s="196"/>
      <c r="WK8" s="196"/>
      <c r="WL8" s="196"/>
      <c r="WM8" s="196"/>
      <c r="WN8" s="196"/>
      <c r="WO8" s="196"/>
      <c r="WP8" s="196"/>
      <c r="WQ8" s="196"/>
      <c r="WR8" s="196"/>
      <c r="WS8" s="196"/>
      <c r="WT8" s="196"/>
      <c r="WU8" s="196"/>
      <c r="WV8" s="196"/>
      <c r="WW8" s="196"/>
      <c r="WX8" s="196"/>
      <c r="WY8" s="196"/>
      <c r="WZ8" s="196"/>
      <c r="XA8" s="196"/>
      <c r="XB8" s="196"/>
      <c r="XC8" s="196"/>
      <c r="XD8" s="196"/>
      <c r="XE8" s="196"/>
      <c r="XF8" s="196"/>
      <c r="XG8" s="196"/>
      <c r="XH8" s="196"/>
      <c r="XI8" s="196"/>
      <c r="XJ8" s="196"/>
      <c r="XK8" s="196"/>
      <c r="XL8" s="196"/>
      <c r="XM8" s="196"/>
      <c r="XN8" s="196"/>
      <c r="XO8" s="196"/>
      <c r="XP8" s="196"/>
      <c r="XQ8" s="196"/>
      <c r="XR8" s="196"/>
      <c r="XS8" s="196"/>
      <c r="XT8" s="196"/>
      <c r="XU8" s="196"/>
      <c r="XV8" s="196"/>
      <c r="XW8" s="196"/>
      <c r="XX8" s="196"/>
      <c r="XY8" s="196"/>
      <c r="XZ8" s="196"/>
      <c r="YA8" s="196"/>
      <c r="YB8" s="196"/>
      <c r="YC8" s="196"/>
      <c r="YD8" s="196"/>
      <c r="YE8" s="196"/>
      <c r="YF8" s="196"/>
      <c r="YG8" s="196"/>
      <c r="YH8" s="196"/>
      <c r="YI8" s="196"/>
      <c r="YJ8" s="196"/>
      <c r="YK8" s="196"/>
      <c r="YL8" s="196"/>
      <c r="YM8" s="196"/>
      <c r="YN8" s="196"/>
      <c r="YO8" s="196"/>
      <c r="YP8" s="196"/>
      <c r="YQ8" s="196"/>
      <c r="YR8" s="196"/>
      <c r="YS8" s="196"/>
      <c r="YT8" s="196"/>
      <c r="YU8" s="196"/>
      <c r="YV8" s="196"/>
      <c r="YW8" s="196"/>
      <c r="YX8" s="196"/>
      <c r="YY8" s="196"/>
      <c r="YZ8" s="196"/>
      <c r="ZA8" s="196"/>
      <c r="ZB8" s="196"/>
      <c r="ZC8" s="196"/>
      <c r="ZD8" s="196"/>
      <c r="ZE8" s="196"/>
      <c r="ZF8" s="196"/>
      <c r="ZG8" s="196"/>
      <c r="ZH8" s="196"/>
      <c r="ZI8" s="196"/>
      <c r="ZJ8" s="196"/>
      <c r="ZK8" s="196"/>
      <c r="ZL8" s="196"/>
      <c r="ZM8" s="196"/>
      <c r="ZN8" s="196"/>
      <c r="ZO8" s="196"/>
      <c r="ZP8" s="196"/>
      <c r="ZQ8" s="196"/>
      <c r="ZR8" s="196"/>
      <c r="ZS8" s="196"/>
      <c r="ZT8" s="196"/>
      <c r="ZU8" s="196"/>
      <c r="ZV8" s="196"/>
      <c r="ZW8" s="196"/>
      <c r="ZX8" s="196"/>
      <c r="ZY8" s="196"/>
      <c r="ZZ8" s="196"/>
      <c r="AAA8" s="196"/>
      <c r="AAB8" s="196"/>
      <c r="AAC8" s="196"/>
      <c r="AAD8" s="196"/>
      <c r="AAE8" s="196"/>
      <c r="AAF8" s="196"/>
      <c r="AAG8" s="196"/>
      <c r="AAH8" s="196"/>
      <c r="AAI8" s="196"/>
      <c r="AAJ8" s="196"/>
      <c r="AAK8" s="196"/>
      <c r="AAL8" s="196"/>
      <c r="AAM8" s="196"/>
      <c r="AAN8" s="196"/>
      <c r="AAO8" s="196"/>
      <c r="AAP8" s="196"/>
      <c r="AAQ8" s="196"/>
      <c r="AAR8" s="196"/>
      <c r="AAS8" s="196"/>
      <c r="AAT8" s="196"/>
      <c r="AAU8" s="196"/>
      <c r="AAV8" s="196"/>
      <c r="AAW8" s="196"/>
      <c r="AAX8" s="196"/>
      <c r="AAY8" s="196"/>
      <c r="AAZ8" s="196"/>
      <c r="ABA8" s="196"/>
      <c r="ABB8" s="196"/>
      <c r="ABC8" s="196"/>
      <c r="ABD8" s="196"/>
      <c r="ABE8" s="196"/>
      <c r="ABF8" s="196"/>
      <c r="ABG8" s="196"/>
      <c r="ABH8" s="196"/>
      <c r="ABI8" s="196"/>
      <c r="ABJ8" s="196"/>
      <c r="ABK8" s="196"/>
      <c r="ABL8" s="196"/>
      <c r="ABM8" s="196"/>
      <c r="ABN8" s="196"/>
      <c r="ABO8" s="196"/>
      <c r="ABP8" s="196"/>
      <c r="ABQ8" s="196"/>
      <c r="ABR8" s="196"/>
      <c r="ABS8" s="196"/>
      <c r="ABT8" s="196"/>
      <c r="ABU8" s="196"/>
      <c r="ABV8" s="196"/>
      <c r="ABW8" s="196"/>
      <c r="ABX8" s="196"/>
      <c r="ABY8" s="196"/>
      <c r="ABZ8" s="196"/>
      <c r="ACA8" s="196"/>
      <c r="ACB8" s="196"/>
      <c r="ACC8" s="196"/>
      <c r="ACD8" s="196"/>
      <c r="ACE8" s="196"/>
      <c r="ACF8" s="196"/>
      <c r="ACG8" s="196"/>
      <c r="ACH8" s="196"/>
      <c r="ACI8" s="196"/>
      <c r="ACJ8" s="196"/>
      <c r="ACK8" s="196"/>
      <c r="ACL8" s="196"/>
      <c r="ACM8" s="196"/>
      <c r="ACN8" s="196"/>
      <c r="ACO8" s="196"/>
      <c r="ACP8" s="196"/>
      <c r="ACQ8" s="196"/>
      <c r="ACR8" s="196"/>
      <c r="ACS8" s="196"/>
      <c r="ACT8" s="196"/>
      <c r="ACU8" s="196"/>
      <c r="ACV8" s="196"/>
      <c r="ACW8" s="196"/>
      <c r="ACX8" s="196"/>
      <c r="ACY8" s="196"/>
      <c r="ACZ8" s="196"/>
      <c r="ADA8" s="196"/>
      <c r="ADB8" s="196"/>
      <c r="ADC8" s="196"/>
      <c r="ADD8" s="196"/>
      <c r="ADE8" s="196"/>
      <c r="ADF8" s="196"/>
      <c r="ADG8" s="196"/>
      <c r="ADH8" s="196"/>
      <c r="ADI8" s="196"/>
      <c r="ADJ8" s="196"/>
      <c r="ADK8" s="196"/>
      <c r="ADL8" s="196"/>
      <c r="ADM8" s="196"/>
      <c r="ADN8" s="196"/>
      <c r="ADO8" s="196"/>
      <c r="ADP8" s="196"/>
      <c r="ADQ8" s="196"/>
      <c r="ADR8" s="196"/>
      <c r="ADS8" s="196"/>
      <c r="ADT8" s="196"/>
      <c r="ADU8" s="196"/>
      <c r="ADV8" s="196"/>
      <c r="ADW8" s="196"/>
      <c r="ADX8" s="196"/>
      <c r="ADY8" s="196"/>
      <c r="ADZ8" s="196"/>
      <c r="AEA8" s="196"/>
      <c r="AEB8" s="196"/>
      <c r="AEC8" s="196"/>
      <c r="AED8" s="196"/>
      <c r="AEE8" s="196"/>
      <c r="AEF8" s="196"/>
      <c r="AEG8" s="196"/>
      <c r="AEH8" s="196"/>
      <c r="AEI8" s="196"/>
      <c r="AEJ8" s="196"/>
      <c r="AEK8" s="196"/>
      <c r="AEL8" s="196"/>
      <c r="AEM8" s="196"/>
      <c r="AEN8" s="196"/>
      <c r="AEO8" s="196"/>
      <c r="AEP8" s="196"/>
      <c r="AEQ8" s="196"/>
      <c r="AER8" s="196"/>
      <c r="AES8" s="196"/>
      <c r="AET8" s="196"/>
      <c r="AEU8" s="196"/>
      <c r="AEV8" s="196"/>
      <c r="AEW8" s="196"/>
      <c r="AEX8" s="196"/>
      <c r="AEY8" s="196"/>
      <c r="AEZ8" s="196"/>
      <c r="AFA8" s="196"/>
      <c r="AFB8" s="196"/>
      <c r="AFC8" s="196"/>
      <c r="AFD8" s="196"/>
      <c r="AFE8" s="196"/>
      <c r="AFF8" s="196"/>
      <c r="AFG8" s="196"/>
      <c r="AFH8" s="196"/>
      <c r="AFI8" s="196"/>
      <c r="AFJ8" s="196"/>
      <c r="AFK8" s="196"/>
      <c r="AFL8" s="196"/>
      <c r="AFM8" s="196"/>
      <c r="AFN8" s="196"/>
      <c r="AFO8" s="196"/>
      <c r="AFP8" s="196"/>
      <c r="AFQ8" s="196"/>
      <c r="AFR8" s="196"/>
      <c r="AFS8" s="196"/>
      <c r="AFT8" s="196"/>
      <c r="AFU8" s="196"/>
      <c r="AFV8" s="196"/>
      <c r="AFW8" s="196"/>
      <c r="AFX8" s="196"/>
      <c r="AFY8" s="196"/>
      <c r="AFZ8" s="196"/>
      <c r="AGA8" s="196"/>
      <c r="AGB8" s="196"/>
      <c r="AGC8" s="196"/>
      <c r="AGD8" s="196"/>
      <c r="AGE8" s="196"/>
      <c r="AGF8" s="196"/>
      <c r="AGG8" s="196"/>
      <c r="AGH8" s="196"/>
      <c r="AGI8" s="196"/>
      <c r="AGJ8" s="196"/>
      <c r="AGK8" s="196"/>
      <c r="AGL8" s="196"/>
      <c r="AGM8" s="196"/>
      <c r="AGN8" s="196"/>
      <c r="AGO8" s="196"/>
      <c r="AGP8" s="196"/>
      <c r="AGQ8" s="196"/>
      <c r="AGR8" s="196"/>
      <c r="AGS8" s="196"/>
      <c r="AGT8" s="196"/>
      <c r="AGU8" s="196"/>
      <c r="AGV8" s="196"/>
      <c r="AGW8" s="196"/>
      <c r="AGX8" s="196"/>
      <c r="AGY8" s="196"/>
      <c r="AGZ8" s="196"/>
      <c r="AHA8" s="196"/>
      <c r="AHB8" s="196"/>
      <c r="AHC8" s="196"/>
      <c r="AHD8" s="196"/>
      <c r="AHE8" s="196"/>
      <c r="AHF8" s="196"/>
      <c r="AHG8" s="196"/>
      <c r="AHH8" s="196"/>
      <c r="AHI8" s="196"/>
      <c r="AHJ8" s="196"/>
      <c r="AHK8" s="196"/>
      <c r="AHL8" s="196"/>
      <c r="AHM8" s="196"/>
      <c r="AHN8" s="196"/>
      <c r="AHO8" s="196"/>
      <c r="AHP8" s="196"/>
      <c r="AHQ8" s="196"/>
      <c r="AHR8" s="196"/>
      <c r="AHS8" s="196"/>
      <c r="AHT8" s="196"/>
      <c r="AHU8" s="196"/>
      <c r="AHV8" s="196"/>
      <c r="AHW8" s="196"/>
      <c r="AHX8" s="196"/>
      <c r="AHY8" s="196"/>
      <c r="AHZ8" s="196"/>
      <c r="AIA8" s="196"/>
      <c r="AIB8" s="196"/>
      <c r="AIC8" s="196"/>
      <c r="AID8" s="196"/>
      <c r="AIE8" s="196"/>
      <c r="AIF8" s="196"/>
      <c r="AIG8" s="196"/>
      <c r="AIH8" s="196"/>
      <c r="AII8" s="196"/>
      <c r="AIJ8" s="196"/>
      <c r="AIK8" s="196"/>
      <c r="AIL8" s="196"/>
      <c r="AIM8" s="196"/>
      <c r="AIN8" s="196"/>
      <c r="AIO8" s="196"/>
      <c r="AIP8" s="196"/>
      <c r="AIQ8" s="196"/>
      <c r="AIR8" s="196"/>
      <c r="AIS8" s="196"/>
      <c r="AIT8" s="196"/>
      <c r="AIU8" s="196"/>
      <c r="AIV8" s="196"/>
      <c r="AIW8" s="196"/>
      <c r="AIX8" s="196"/>
      <c r="AIY8" s="196"/>
      <c r="AIZ8" s="196"/>
      <c r="AJA8" s="196"/>
      <c r="AJB8" s="196"/>
      <c r="AJC8" s="196"/>
      <c r="AJD8" s="196"/>
      <c r="AJE8" s="196"/>
      <c r="AJF8" s="196"/>
      <c r="AJG8" s="196"/>
      <c r="AJH8" s="196"/>
      <c r="AJI8" s="196"/>
      <c r="AJJ8" s="196"/>
      <c r="AJK8" s="196"/>
      <c r="AJL8" s="196"/>
      <c r="AJM8" s="196"/>
      <c r="AJN8" s="196"/>
      <c r="AJO8" s="196"/>
      <c r="AJP8" s="196"/>
      <c r="AJQ8" s="196"/>
      <c r="AJR8" s="196"/>
      <c r="AJS8" s="196"/>
      <c r="AJT8" s="196"/>
      <c r="AJU8" s="196"/>
      <c r="AJV8" s="196"/>
      <c r="AJW8" s="196"/>
      <c r="AJX8" s="196"/>
      <c r="AJY8" s="196"/>
      <c r="AJZ8" s="196"/>
      <c r="AKA8" s="196"/>
      <c r="AKB8" s="196"/>
      <c r="AKC8" s="196"/>
      <c r="AKD8" s="196"/>
      <c r="AKE8" s="196"/>
      <c r="AKF8" s="196"/>
      <c r="AKG8" s="196"/>
      <c r="AKH8" s="196"/>
      <c r="AKI8" s="196"/>
      <c r="AKJ8" s="196"/>
      <c r="AKK8" s="196"/>
      <c r="AKL8" s="196"/>
      <c r="AKM8" s="196"/>
      <c r="AKN8" s="196"/>
      <c r="AKO8" s="196"/>
      <c r="AKP8" s="196"/>
      <c r="AKQ8" s="196"/>
      <c r="AKR8" s="196"/>
      <c r="AKS8" s="196"/>
      <c r="AKT8" s="196"/>
      <c r="AKU8" s="196"/>
      <c r="AKV8" s="196"/>
      <c r="AKW8" s="196"/>
      <c r="AKX8" s="196"/>
      <c r="AKY8" s="196"/>
      <c r="AKZ8" s="196"/>
      <c r="ALA8" s="196"/>
      <c r="ALB8" s="196"/>
      <c r="ALC8" s="196"/>
      <c r="ALD8" s="196"/>
      <c r="ALE8" s="196"/>
      <c r="ALF8" s="196"/>
      <c r="ALG8" s="196"/>
      <c r="ALH8" s="196"/>
      <c r="ALI8" s="196"/>
      <c r="ALJ8" s="196"/>
      <c r="ALK8" s="196"/>
      <c r="ALL8" s="196"/>
      <c r="ALM8" s="196"/>
      <c r="ALN8" s="196"/>
      <c r="ALO8" s="196"/>
      <c r="ALP8" s="196"/>
      <c r="ALQ8" s="196"/>
      <c r="ALR8" s="196"/>
      <c r="ALS8" s="196"/>
      <c r="ALT8" s="196"/>
      <c r="ALU8" s="196"/>
      <c r="ALV8" s="196"/>
      <c r="ALW8" s="196"/>
      <c r="ALX8" s="196"/>
      <c r="ALY8" s="196"/>
      <c r="ALZ8" s="196"/>
      <c r="AMA8" s="196"/>
      <c r="AMB8" s="196"/>
      <c r="AMC8" s="196"/>
      <c r="AMD8" s="196"/>
      <c r="AME8" s="196"/>
      <c r="AMF8" s="196"/>
      <c r="AMG8" s="196"/>
      <c r="AMH8" s="196"/>
      <c r="AMI8" s="196"/>
      <c r="AMJ8" s="196"/>
      <c r="AMK8" s="196"/>
      <c r="AML8" s="196"/>
      <c r="AMM8" s="196"/>
      <c r="AMN8" s="196"/>
      <c r="AMO8" s="196"/>
      <c r="AMP8" s="196"/>
      <c r="AMQ8" s="196"/>
      <c r="AMR8" s="196"/>
      <c r="AMS8" s="196"/>
      <c r="AMT8" s="196"/>
      <c r="AMU8" s="196"/>
      <c r="AMV8" s="196"/>
      <c r="AMW8" s="196"/>
      <c r="AMX8" s="196"/>
      <c r="AMY8" s="196"/>
      <c r="AMZ8" s="196"/>
      <c r="ANA8" s="196"/>
      <c r="ANB8" s="196"/>
      <c r="ANC8" s="196"/>
      <c r="AND8" s="196"/>
      <c r="ANE8" s="196"/>
      <c r="ANF8" s="196"/>
      <c r="ANG8" s="196"/>
      <c r="ANH8" s="196"/>
      <c r="ANI8" s="196"/>
      <c r="ANJ8" s="196"/>
      <c r="ANK8" s="196"/>
      <c r="ANL8" s="196"/>
      <c r="ANM8" s="196"/>
      <c r="ANN8" s="196"/>
      <c r="ANO8" s="196"/>
      <c r="ANP8" s="196"/>
      <c r="ANQ8" s="196"/>
      <c r="ANR8" s="196"/>
      <c r="ANS8" s="196"/>
      <c r="ANT8" s="196"/>
      <c r="ANU8" s="196"/>
      <c r="ANV8" s="196"/>
      <c r="ANW8" s="196"/>
      <c r="ANX8" s="196"/>
      <c r="ANY8" s="196"/>
      <c r="ANZ8" s="196"/>
      <c r="AOA8" s="196"/>
      <c r="AOB8" s="196"/>
      <c r="AOC8" s="196"/>
      <c r="AOD8" s="196"/>
      <c r="AOE8" s="196"/>
      <c r="AOF8" s="196"/>
      <c r="AOG8" s="196"/>
      <c r="AOH8" s="196"/>
      <c r="AOI8" s="196"/>
      <c r="AOJ8" s="196"/>
      <c r="AOK8" s="196"/>
      <c r="AOL8" s="196"/>
      <c r="AOM8" s="196"/>
      <c r="AON8" s="196"/>
      <c r="AOO8" s="196"/>
      <c r="AOP8" s="196"/>
      <c r="AOQ8" s="196"/>
      <c r="AOR8" s="196"/>
      <c r="AOS8" s="196"/>
      <c r="AOT8" s="196"/>
      <c r="AOU8" s="196"/>
      <c r="AOV8" s="196"/>
      <c r="AOW8" s="196"/>
      <c r="AOX8" s="196"/>
      <c r="AOY8" s="196"/>
      <c r="AOZ8" s="196"/>
      <c r="APA8" s="196"/>
      <c r="APB8" s="196"/>
      <c r="APC8" s="196"/>
      <c r="APD8" s="196"/>
      <c r="APE8" s="196"/>
      <c r="APF8" s="196"/>
      <c r="APG8" s="196"/>
      <c r="APH8" s="196"/>
      <c r="API8" s="196"/>
      <c r="APJ8" s="196"/>
      <c r="APK8" s="196"/>
      <c r="APL8" s="196"/>
      <c r="APM8" s="196"/>
      <c r="APN8" s="196"/>
      <c r="APO8" s="196"/>
      <c r="APP8" s="196"/>
      <c r="APQ8" s="196"/>
      <c r="APR8" s="196"/>
      <c r="APS8" s="196"/>
      <c r="APT8" s="196"/>
      <c r="APU8" s="196"/>
      <c r="APV8" s="196"/>
      <c r="APW8" s="196"/>
      <c r="APX8" s="196"/>
      <c r="APY8" s="196"/>
      <c r="APZ8" s="196"/>
      <c r="AQA8" s="196"/>
      <c r="AQB8" s="196"/>
      <c r="AQC8" s="196"/>
      <c r="AQD8" s="196"/>
      <c r="AQE8" s="196"/>
      <c r="AQF8" s="196"/>
      <c r="AQG8" s="196"/>
      <c r="AQH8" s="196"/>
      <c r="AQI8" s="196"/>
      <c r="AQJ8" s="196"/>
      <c r="AQK8" s="196"/>
      <c r="AQL8" s="196"/>
      <c r="AQM8" s="196"/>
      <c r="AQN8" s="196"/>
      <c r="AQO8" s="196"/>
      <c r="AQP8" s="196"/>
      <c r="AQQ8" s="196"/>
      <c r="AQR8" s="196"/>
      <c r="AQS8" s="196"/>
      <c r="AQT8" s="196"/>
      <c r="AQU8" s="196"/>
      <c r="AQV8" s="196"/>
      <c r="AQW8" s="196"/>
      <c r="AQX8" s="196"/>
      <c r="AQY8" s="196"/>
      <c r="AQZ8" s="196"/>
      <c r="ARA8" s="196"/>
      <c r="ARB8" s="196"/>
      <c r="ARC8" s="196"/>
      <c r="ARD8" s="196"/>
      <c r="ARE8" s="196"/>
      <c r="ARF8" s="196"/>
      <c r="ARG8" s="196"/>
      <c r="ARH8" s="196"/>
      <c r="ARI8" s="196"/>
      <c r="ARJ8" s="196"/>
      <c r="ARK8" s="196"/>
      <c r="ARL8" s="196"/>
      <c r="ARM8" s="196"/>
      <c r="ARN8" s="196"/>
      <c r="ARO8" s="196"/>
      <c r="ARP8" s="196"/>
      <c r="ARQ8" s="196"/>
      <c r="ARR8" s="196"/>
      <c r="ARS8" s="196"/>
      <c r="ART8" s="196"/>
      <c r="ARU8" s="196"/>
      <c r="ARV8" s="196"/>
      <c r="ARW8" s="196"/>
      <c r="ARX8" s="196"/>
      <c r="ARY8" s="196"/>
      <c r="ARZ8" s="196"/>
      <c r="ASA8" s="196"/>
      <c r="ASB8" s="196"/>
      <c r="ASC8" s="196"/>
      <c r="ASD8" s="196"/>
      <c r="ASE8" s="196"/>
      <c r="ASF8" s="196"/>
      <c r="ASG8" s="196"/>
      <c r="ASH8" s="196"/>
      <c r="ASI8" s="196"/>
      <c r="ASJ8" s="196"/>
      <c r="ASK8" s="196"/>
      <c r="ASL8" s="196"/>
      <c r="ASM8" s="196"/>
      <c r="ASN8" s="196"/>
      <c r="ASO8" s="196"/>
      <c r="ASP8" s="196"/>
      <c r="ASQ8" s="196"/>
      <c r="ASR8" s="196"/>
      <c r="ASS8" s="196"/>
      <c r="AST8" s="196"/>
      <c r="ASU8" s="196"/>
      <c r="ASV8" s="196"/>
      <c r="ASW8" s="196"/>
      <c r="ASX8" s="196"/>
      <c r="ASY8" s="196"/>
      <c r="ASZ8" s="196"/>
      <c r="ATA8" s="196"/>
      <c r="ATB8" s="196"/>
      <c r="ATC8" s="196"/>
      <c r="ATD8" s="196"/>
      <c r="ATE8" s="196"/>
      <c r="ATF8" s="196"/>
      <c r="ATG8" s="196"/>
      <c r="ATH8" s="196"/>
      <c r="ATI8" s="196"/>
      <c r="ATJ8" s="196"/>
      <c r="ATK8" s="196"/>
      <c r="ATL8" s="196"/>
      <c r="ATM8" s="196"/>
      <c r="ATN8" s="196"/>
      <c r="ATO8" s="196"/>
      <c r="ATP8" s="196"/>
      <c r="ATQ8" s="196"/>
      <c r="ATR8" s="196"/>
      <c r="ATS8" s="196"/>
      <c r="ATT8" s="196"/>
      <c r="ATU8" s="196"/>
      <c r="ATV8" s="196"/>
      <c r="ATW8" s="196"/>
      <c r="ATX8" s="196"/>
      <c r="ATY8" s="196"/>
      <c r="ATZ8" s="196"/>
      <c r="AUA8" s="196"/>
      <c r="AUB8" s="196"/>
      <c r="AUC8" s="196"/>
      <c r="AUD8" s="196"/>
      <c r="AUE8" s="196"/>
      <c r="AUF8" s="196"/>
      <c r="AUG8" s="196"/>
      <c r="AUH8" s="196"/>
      <c r="AUI8" s="196"/>
      <c r="AUJ8" s="196"/>
      <c r="AUK8" s="196"/>
      <c r="AUL8" s="196"/>
      <c r="AUM8" s="196"/>
      <c r="AUN8" s="196"/>
      <c r="AUO8" s="196"/>
      <c r="AUP8" s="196"/>
      <c r="AUQ8" s="196"/>
      <c r="AUR8" s="196"/>
      <c r="AUS8" s="196"/>
      <c r="AUT8" s="196"/>
      <c r="AUU8" s="196"/>
      <c r="AUV8" s="196"/>
      <c r="AUW8" s="196"/>
      <c r="AUX8" s="196"/>
      <c r="AUY8" s="196"/>
      <c r="AUZ8" s="196"/>
      <c r="AVA8" s="196"/>
      <c r="AVB8" s="196"/>
      <c r="AVC8" s="196"/>
      <c r="AVD8" s="196"/>
      <c r="AVE8" s="196"/>
      <c r="AVF8" s="196"/>
      <c r="AVG8" s="196"/>
      <c r="AVH8" s="196"/>
      <c r="AVI8" s="196"/>
      <c r="AVJ8" s="196"/>
      <c r="AVK8" s="196"/>
      <c r="AVL8" s="196"/>
      <c r="AVM8" s="196"/>
      <c r="AVN8" s="196"/>
      <c r="AVO8" s="196"/>
      <c r="AVP8" s="196"/>
      <c r="AVQ8" s="196"/>
      <c r="AVR8" s="196"/>
      <c r="AVS8" s="196"/>
      <c r="AVT8" s="196"/>
      <c r="AVU8" s="196"/>
      <c r="AVV8" s="196"/>
      <c r="AVW8" s="196"/>
      <c r="AVX8" s="196"/>
      <c r="AVY8" s="196"/>
      <c r="AVZ8" s="196"/>
      <c r="AWA8" s="196"/>
      <c r="AWB8" s="196"/>
      <c r="AWC8" s="196"/>
      <c r="AWD8" s="196"/>
      <c r="AWE8" s="196"/>
      <c r="AWF8" s="196"/>
      <c r="AWG8" s="196"/>
      <c r="AWH8" s="196"/>
      <c r="AWI8" s="196"/>
      <c r="AWJ8" s="196"/>
      <c r="AWK8" s="196"/>
      <c r="AWL8" s="196"/>
      <c r="AWM8" s="196"/>
      <c r="AWN8" s="196"/>
      <c r="AWO8" s="196"/>
      <c r="AWP8" s="196"/>
      <c r="AWQ8" s="196"/>
      <c r="AWR8" s="196"/>
      <c r="AWS8" s="196"/>
      <c r="AWT8" s="196"/>
      <c r="AWU8" s="196"/>
      <c r="AWV8" s="196"/>
      <c r="AWW8" s="196"/>
      <c r="AWX8" s="196"/>
      <c r="AWY8" s="196"/>
      <c r="AWZ8" s="196"/>
      <c r="AXA8" s="196"/>
      <c r="AXB8" s="196"/>
      <c r="AXC8" s="196"/>
      <c r="AXD8" s="196"/>
      <c r="AXE8" s="196"/>
      <c r="AXF8" s="196"/>
      <c r="AXG8" s="196"/>
      <c r="AXH8" s="196"/>
      <c r="AXI8" s="196"/>
      <c r="AXJ8" s="196"/>
      <c r="AXK8" s="196"/>
      <c r="AXL8" s="196"/>
      <c r="AXM8" s="196"/>
      <c r="AXN8" s="196"/>
      <c r="AXO8" s="196"/>
      <c r="AXP8" s="196"/>
      <c r="AXQ8" s="196"/>
      <c r="AXR8" s="196"/>
      <c r="AXS8" s="196"/>
      <c r="AXT8" s="196"/>
      <c r="AXU8" s="196"/>
      <c r="AXV8" s="196"/>
      <c r="AXW8" s="196"/>
      <c r="AXX8" s="196"/>
      <c r="AXY8" s="196"/>
      <c r="AXZ8" s="196"/>
      <c r="AYA8" s="196"/>
      <c r="AYB8" s="196"/>
      <c r="AYC8" s="196"/>
      <c r="AYD8" s="196"/>
      <c r="AYE8" s="196"/>
      <c r="AYF8" s="196"/>
      <c r="AYG8" s="196"/>
      <c r="AYH8" s="196"/>
      <c r="AYI8" s="196"/>
      <c r="AYJ8" s="196"/>
      <c r="AYK8" s="196"/>
      <c r="AYL8" s="196"/>
      <c r="AYM8" s="196"/>
      <c r="AYN8" s="196"/>
      <c r="AYO8" s="196"/>
      <c r="AYP8" s="196"/>
      <c r="AYQ8" s="196"/>
      <c r="AYR8" s="196"/>
      <c r="AYS8" s="196"/>
      <c r="AYT8" s="196"/>
      <c r="AYU8" s="196"/>
      <c r="AYV8" s="196"/>
      <c r="AYW8" s="196"/>
      <c r="AYX8" s="196"/>
      <c r="AYY8" s="196"/>
      <c r="AYZ8" s="196"/>
      <c r="AZA8" s="196"/>
      <c r="AZB8" s="196"/>
      <c r="AZC8" s="196"/>
      <c r="AZD8" s="196"/>
      <c r="AZE8" s="196"/>
      <c r="AZF8" s="196"/>
      <c r="AZG8" s="196"/>
      <c r="AZH8" s="196"/>
      <c r="AZI8" s="196"/>
      <c r="AZJ8" s="196"/>
      <c r="AZK8" s="196"/>
      <c r="AZL8" s="196"/>
      <c r="AZM8" s="196"/>
      <c r="AZN8" s="196"/>
      <c r="AZO8" s="196"/>
      <c r="AZP8" s="196"/>
      <c r="AZQ8" s="196"/>
      <c r="AZR8" s="196"/>
      <c r="AZS8" s="196"/>
      <c r="AZT8" s="196"/>
      <c r="AZU8" s="196"/>
      <c r="AZV8" s="196"/>
      <c r="AZW8" s="196"/>
      <c r="AZX8" s="196"/>
      <c r="AZY8" s="196"/>
      <c r="AZZ8" s="196"/>
      <c r="BAA8" s="196"/>
      <c r="BAB8" s="196"/>
      <c r="BAC8" s="196"/>
      <c r="BAD8" s="196"/>
      <c r="BAE8" s="196"/>
      <c r="BAF8" s="196"/>
      <c r="BAG8" s="196"/>
      <c r="BAH8" s="196"/>
      <c r="BAI8" s="196"/>
      <c r="BAJ8" s="196"/>
      <c r="BAK8" s="196"/>
      <c r="BAL8" s="196"/>
      <c r="BAM8" s="196"/>
      <c r="BAN8" s="196"/>
      <c r="BAO8" s="196"/>
      <c r="BAP8" s="196"/>
      <c r="BAQ8" s="196"/>
      <c r="BAR8" s="196"/>
      <c r="BAS8" s="196"/>
      <c r="BAT8" s="196"/>
      <c r="BAU8" s="196"/>
      <c r="BAV8" s="196"/>
      <c r="BAW8" s="196"/>
      <c r="BAX8" s="196"/>
      <c r="BAY8" s="196"/>
      <c r="BAZ8" s="196"/>
      <c r="BBA8" s="196"/>
      <c r="BBB8" s="196"/>
      <c r="BBC8" s="196"/>
      <c r="BBD8" s="196"/>
      <c r="BBE8" s="196"/>
      <c r="BBF8" s="196"/>
      <c r="BBG8" s="196"/>
      <c r="BBH8" s="196"/>
      <c r="BBI8" s="196"/>
      <c r="BBJ8" s="196"/>
      <c r="BBK8" s="196"/>
      <c r="BBL8" s="196"/>
      <c r="BBM8" s="196"/>
      <c r="BBN8" s="196"/>
      <c r="BBO8" s="196"/>
      <c r="BBP8" s="196"/>
      <c r="BBQ8" s="196"/>
      <c r="BBR8" s="196"/>
      <c r="BBS8" s="196"/>
      <c r="BBT8" s="196"/>
      <c r="BBU8" s="196"/>
      <c r="BBV8" s="196"/>
      <c r="BBW8" s="196"/>
      <c r="BBX8" s="196"/>
      <c r="BBY8" s="196"/>
      <c r="BBZ8" s="196"/>
      <c r="BCA8" s="196"/>
      <c r="BCB8" s="196"/>
      <c r="BCC8" s="196"/>
      <c r="BCD8" s="196"/>
      <c r="BCE8" s="196"/>
      <c r="BCF8" s="196"/>
      <c r="BCG8" s="196"/>
      <c r="BCH8" s="196"/>
      <c r="BCI8" s="196"/>
      <c r="BCJ8" s="196"/>
      <c r="BCK8" s="196"/>
      <c r="BCL8" s="196"/>
      <c r="BCM8" s="196"/>
      <c r="BCN8" s="196"/>
      <c r="BCO8" s="196"/>
      <c r="BCP8" s="196"/>
      <c r="BCQ8" s="196"/>
      <c r="BCR8" s="196"/>
      <c r="BCS8" s="196"/>
      <c r="BCT8" s="196"/>
      <c r="BCU8" s="196"/>
      <c r="BCV8" s="196"/>
      <c r="BCW8" s="196"/>
      <c r="BCX8" s="196"/>
      <c r="BCY8" s="196"/>
      <c r="BCZ8" s="196"/>
      <c r="BDA8" s="196"/>
      <c r="BDB8" s="196"/>
      <c r="BDC8" s="196"/>
      <c r="BDD8" s="196"/>
      <c r="BDE8" s="196"/>
      <c r="BDF8" s="196"/>
      <c r="BDG8" s="196"/>
      <c r="BDH8" s="196"/>
      <c r="BDI8" s="196"/>
      <c r="BDJ8" s="196"/>
      <c r="BDK8" s="196"/>
      <c r="BDL8" s="196"/>
      <c r="BDM8" s="196"/>
      <c r="BDN8" s="196"/>
      <c r="BDO8" s="196"/>
      <c r="BDP8" s="196"/>
      <c r="BDQ8" s="196"/>
      <c r="BDR8" s="196"/>
      <c r="BDS8" s="196"/>
      <c r="BDT8" s="196"/>
      <c r="BDU8" s="196"/>
      <c r="BDV8" s="196"/>
      <c r="BDW8" s="196"/>
      <c r="BDX8" s="196"/>
      <c r="BDY8" s="196"/>
      <c r="BDZ8" s="196"/>
      <c r="BEA8" s="196"/>
      <c r="BEB8" s="196"/>
      <c r="BEC8" s="196"/>
      <c r="BED8" s="196"/>
      <c r="BEE8" s="196"/>
      <c r="BEF8" s="196"/>
      <c r="BEG8" s="196"/>
      <c r="BEH8" s="196"/>
      <c r="BEI8" s="196"/>
      <c r="BEJ8" s="196"/>
      <c r="BEK8" s="196"/>
      <c r="BEL8" s="196"/>
      <c r="BEM8" s="196"/>
      <c r="BEN8" s="196"/>
      <c r="BEO8" s="196"/>
      <c r="BEP8" s="196"/>
      <c r="BEQ8" s="196"/>
      <c r="BER8" s="196"/>
      <c r="BES8" s="196"/>
      <c r="BET8" s="196"/>
      <c r="BEU8" s="196"/>
      <c r="BEV8" s="196"/>
      <c r="BEW8" s="196"/>
      <c r="BEX8" s="196"/>
      <c r="BEY8" s="196"/>
      <c r="BEZ8" s="196"/>
      <c r="BFA8" s="196"/>
      <c r="BFB8" s="196"/>
      <c r="BFC8" s="196"/>
      <c r="BFD8" s="196"/>
      <c r="BFE8" s="196"/>
      <c r="BFF8" s="196"/>
      <c r="BFG8" s="196"/>
      <c r="BFH8" s="196"/>
      <c r="BFI8" s="196"/>
      <c r="BFJ8" s="196"/>
      <c r="BFK8" s="196"/>
      <c r="BFL8" s="196"/>
      <c r="BFM8" s="196"/>
      <c r="BFN8" s="196"/>
      <c r="BFO8" s="196"/>
      <c r="BFP8" s="196"/>
      <c r="BFQ8" s="196"/>
      <c r="BFR8" s="196"/>
      <c r="BFS8" s="196"/>
      <c r="BFT8" s="196"/>
      <c r="BFU8" s="196"/>
      <c r="BFV8" s="196"/>
      <c r="BFW8" s="196"/>
      <c r="BFX8" s="196"/>
      <c r="BFY8" s="196"/>
      <c r="BFZ8" s="196"/>
      <c r="BGA8" s="196"/>
      <c r="BGB8" s="196"/>
      <c r="BGC8" s="196"/>
      <c r="BGD8" s="196"/>
      <c r="BGE8" s="196"/>
      <c r="BGF8" s="196"/>
      <c r="BGG8" s="196"/>
      <c r="BGH8" s="196"/>
      <c r="BGI8" s="196"/>
      <c r="BGJ8" s="196"/>
      <c r="BGK8" s="196"/>
      <c r="BGL8" s="196"/>
      <c r="BGM8" s="196"/>
      <c r="BGN8" s="196"/>
      <c r="BGO8" s="196"/>
      <c r="BGP8" s="196"/>
      <c r="BGQ8" s="196"/>
      <c r="BGR8" s="196"/>
      <c r="BGS8" s="196"/>
      <c r="BGT8" s="196"/>
      <c r="BGU8" s="196"/>
      <c r="BGV8" s="196"/>
      <c r="BGW8" s="196"/>
      <c r="BGX8" s="196"/>
      <c r="BGY8" s="196"/>
      <c r="BGZ8" s="196"/>
      <c r="BHA8" s="196"/>
      <c r="BHB8" s="196"/>
      <c r="BHC8" s="196"/>
      <c r="BHD8" s="196"/>
      <c r="BHE8" s="196"/>
      <c r="BHF8" s="196"/>
      <c r="BHG8" s="196"/>
      <c r="BHH8" s="196"/>
      <c r="BHI8" s="196"/>
      <c r="BHJ8" s="196"/>
      <c r="BHK8" s="196"/>
      <c r="BHL8" s="196"/>
      <c r="BHM8" s="196"/>
      <c r="BHN8" s="196"/>
      <c r="BHO8" s="196"/>
      <c r="BHP8" s="196"/>
      <c r="BHQ8" s="196"/>
      <c r="BHR8" s="196"/>
      <c r="BHS8" s="196"/>
      <c r="BHT8" s="196"/>
      <c r="BHU8" s="196"/>
      <c r="BHV8" s="196"/>
      <c r="BHW8" s="196"/>
      <c r="BHX8" s="196"/>
      <c r="BHY8" s="196"/>
      <c r="BHZ8" s="196"/>
      <c r="BIA8" s="196"/>
      <c r="BIB8" s="196"/>
      <c r="BIC8" s="196"/>
      <c r="BID8" s="196"/>
      <c r="BIE8" s="196"/>
      <c r="BIF8" s="196"/>
      <c r="BIG8" s="196"/>
      <c r="BIH8" s="196"/>
      <c r="BII8" s="196"/>
      <c r="BIJ8" s="196"/>
      <c r="BIK8" s="196"/>
      <c r="BIL8" s="196"/>
      <c r="BIM8" s="196"/>
      <c r="BIN8" s="196"/>
      <c r="BIO8" s="196"/>
      <c r="BIP8" s="196"/>
      <c r="BIQ8" s="196"/>
      <c r="BIR8" s="196"/>
      <c r="BIS8" s="196"/>
      <c r="BIT8" s="196"/>
      <c r="BIU8" s="196"/>
      <c r="BIV8" s="196"/>
      <c r="BIW8" s="196"/>
      <c r="BIX8" s="196"/>
      <c r="BIY8" s="196"/>
      <c r="BIZ8" s="196"/>
      <c r="BJA8" s="196"/>
      <c r="BJB8" s="196"/>
      <c r="BJC8" s="196"/>
      <c r="BJD8" s="196"/>
      <c r="BJE8" s="196"/>
      <c r="BJF8" s="196"/>
      <c r="BJG8" s="196"/>
      <c r="BJH8" s="196"/>
      <c r="BJI8" s="196"/>
      <c r="BJJ8" s="196"/>
      <c r="BJK8" s="196"/>
      <c r="BJL8" s="196"/>
      <c r="BJM8" s="196"/>
      <c r="BJN8" s="196"/>
      <c r="BJO8" s="196"/>
      <c r="BJP8" s="196"/>
      <c r="BJQ8" s="196"/>
      <c r="BJR8" s="196"/>
      <c r="BJS8" s="196"/>
      <c r="BJT8" s="196"/>
      <c r="BJU8" s="196"/>
      <c r="BJV8" s="196"/>
      <c r="BJW8" s="196"/>
      <c r="BJX8" s="196"/>
      <c r="BJY8" s="196"/>
      <c r="BJZ8" s="196"/>
      <c r="BKA8" s="196"/>
      <c r="BKB8" s="196"/>
      <c r="BKC8" s="196"/>
      <c r="BKD8" s="196"/>
      <c r="BKE8" s="196"/>
      <c r="BKF8" s="196"/>
      <c r="BKG8" s="196"/>
      <c r="BKH8" s="196"/>
      <c r="BKI8" s="196"/>
      <c r="BKJ8" s="196"/>
      <c r="BKK8" s="196"/>
      <c r="BKL8" s="196"/>
      <c r="BKM8" s="196"/>
      <c r="BKN8" s="196"/>
      <c r="BKO8" s="196"/>
      <c r="BKP8" s="196"/>
      <c r="BKQ8" s="196"/>
      <c r="BKR8" s="196"/>
      <c r="BKS8" s="196"/>
      <c r="BKT8" s="196"/>
      <c r="BKU8" s="196"/>
      <c r="BKV8" s="196"/>
      <c r="BKW8" s="196"/>
      <c r="BKX8" s="196"/>
      <c r="BKY8" s="196"/>
      <c r="BKZ8" s="196"/>
      <c r="BLA8" s="196"/>
      <c r="BLB8" s="196"/>
      <c r="BLC8" s="196"/>
      <c r="BLD8" s="196"/>
      <c r="BLE8" s="196"/>
      <c r="BLF8" s="196"/>
      <c r="BLG8" s="196"/>
      <c r="BLH8" s="196"/>
      <c r="BLI8" s="196"/>
      <c r="BLJ8" s="196"/>
      <c r="BLK8" s="196"/>
      <c r="BLL8" s="196"/>
      <c r="BLM8" s="196"/>
      <c r="BLN8" s="196"/>
      <c r="BLO8" s="196"/>
      <c r="BLP8" s="196"/>
      <c r="BLQ8" s="196"/>
      <c r="BLR8" s="196"/>
      <c r="BLS8" s="196"/>
      <c r="BLT8" s="196"/>
      <c r="BLU8" s="196"/>
      <c r="BLV8" s="196"/>
      <c r="BLW8" s="196"/>
      <c r="BLX8" s="196"/>
      <c r="BLY8" s="196"/>
      <c r="BLZ8" s="196"/>
      <c r="BMA8" s="196"/>
      <c r="BMB8" s="196"/>
      <c r="BMC8" s="196"/>
      <c r="BMD8" s="196"/>
      <c r="BME8" s="196"/>
      <c r="BMF8" s="196"/>
      <c r="BMG8" s="196"/>
      <c r="BMH8" s="196"/>
      <c r="BMI8" s="196"/>
      <c r="BMJ8" s="196"/>
      <c r="BMK8" s="196"/>
      <c r="BML8" s="196"/>
      <c r="BMM8" s="196"/>
      <c r="BMN8" s="196"/>
      <c r="BMO8" s="196"/>
      <c r="BMP8" s="196"/>
      <c r="BMQ8" s="196"/>
      <c r="BMR8" s="196"/>
      <c r="BMS8" s="196"/>
      <c r="BMT8" s="196"/>
      <c r="BMU8" s="196"/>
      <c r="BMV8" s="196"/>
      <c r="BMW8" s="196"/>
      <c r="BMX8" s="196"/>
      <c r="BMY8" s="196"/>
      <c r="BMZ8" s="196"/>
      <c r="BNA8" s="196"/>
      <c r="BNB8" s="196"/>
      <c r="BNC8" s="196"/>
      <c r="BND8" s="196"/>
      <c r="BNE8" s="196"/>
      <c r="BNF8" s="196"/>
      <c r="BNG8" s="196"/>
      <c r="BNH8" s="196"/>
      <c r="BNI8" s="196"/>
      <c r="BNJ8" s="196"/>
      <c r="BNK8" s="196"/>
      <c r="BNL8" s="196"/>
      <c r="BNM8" s="196"/>
      <c r="BNN8" s="196"/>
      <c r="BNO8" s="196"/>
      <c r="BNP8" s="196"/>
      <c r="BNQ8" s="196"/>
      <c r="BNR8" s="196"/>
      <c r="BNS8" s="196"/>
      <c r="BNT8" s="196"/>
      <c r="BNU8" s="196"/>
      <c r="BNV8" s="196"/>
      <c r="BNW8" s="196"/>
      <c r="BNX8" s="196"/>
      <c r="BNY8" s="196"/>
      <c r="BNZ8" s="196"/>
      <c r="BOA8" s="196"/>
      <c r="BOB8" s="196"/>
      <c r="BOC8" s="196"/>
      <c r="BOD8" s="196"/>
      <c r="BOE8" s="196"/>
      <c r="BOF8" s="196"/>
      <c r="BOG8" s="196"/>
      <c r="BOH8" s="196"/>
      <c r="BOI8" s="196"/>
      <c r="BOJ8" s="196"/>
      <c r="BOK8" s="196"/>
      <c r="BOL8" s="196"/>
      <c r="BOM8" s="196"/>
      <c r="BON8" s="196"/>
      <c r="BOO8" s="196"/>
      <c r="BOP8" s="196"/>
      <c r="BOQ8" s="196"/>
      <c r="BOR8" s="196"/>
      <c r="BOS8" s="196"/>
      <c r="BOT8" s="196"/>
      <c r="BOU8" s="196"/>
      <c r="BOV8" s="196"/>
      <c r="BOW8" s="196"/>
      <c r="BOX8" s="196"/>
      <c r="BOY8" s="196"/>
      <c r="BOZ8" s="196"/>
      <c r="BPA8" s="196"/>
      <c r="BPB8" s="196"/>
      <c r="BPC8" s="196"/>
      <c r="BPD8" s="196"/>
      <c r="BPE8" s="196"/>
      <c r="BPF8" s="196"/>
      <c r="BPG8" s="196"/>
      <c r="BPH8" s="196"/>
      <c r="BPI8" s="196"/>
      <c r="BPJ8" s="196"/>
      <c r="BPK8" s="196"/>
      <c r="BPL8" s="196"/>
      <c r="BPM8" s="196"/>
      <c r="BPN8" s="196"/>
      <c r="BPO8" s="196"/>
      <c r="BPP8" s="196"/>
      <c r="BPQ8" s="196"/>
      <c r="BPR8" s="196"/>
      <c r="BPS8" s="196"/>
      <c r="BPT8" s="196"/>
      <c r="BPU8" s="196"/>
      <c r="BPV8" s="196"/>
      <c r="BPW8" s="196"/>
      <c r="BPX8" s="196"/>
      <c r="BPY8" s="196"/>
      <c r="BPZ8" s="196"/>
      <c r="BQA8" s="196"/>
      <c r="BQB8" s="196"/>
      <c r="BQC8" s="196"/>
      <c r="BQD8" s="196"/>
      <c r="BQE8" s="196"/>
      <c r="BQF8" s="196"/>
      <c r="BQG8" s="196"/>
      <c r="BQH8" s="196"/>
      <c r="BQI8" s="196"/>
      <c r="BQJ8" s="196"/>
      <c r="BQK8" s="196"/>
      <c r="BQL8" s="196"/>
      <c r="BQM8" s="196"/>
      <c r="BQN8" s="196"/>
      <c r="BQO8" s="196"/>
      <c r="BQP8" s="196"/>
      <c r="BQQ8" s="196"/>
      <c r="BQR8" s="196"/>
      <c r="BQS8" s="196"/>
      <c r="BQT8" s="196"/>
      <c r="BQU8" s="196"/>
      <c r="BQV8" s="196"/>
      <c r="BQW8" s="196"/>
      <c r="BQX8" s="196"/>
      <c r="BQY8" s="196"/>
      <c r="BQZ8" s="196"/>
      <c r="BRA8" s="196"/>
      <c r="BRB8" s="196"/>
      <c r="BRC8" s="196"/>
      <c r="BRD8" s="196"/>
      <c r="BRE8" s="196"/>
      <c r="BRF8" s="196"/>
      <c r="BRG8" s="196"/>
      <c r="BRH8" s="196"/>
      <c r="BRI8" s="196"/>
      <c r="BRJ8" s="196"/>
      <c r="BRK8" s="196"/>
      <c r="BRL8" s="196"/>
      <c r="BRM8" s="196"/>
      <c r="BRN8" s="196"/>
      <c r="BRO8" s="196"/>
      <c r="BRP8" s="196"/>
      <c r="BRQ8" s="196"/>
      <c r="BRR8" s="196"/>
      <c r="BRS8" s="196"/>
      <c r="BRT8" s="196"/>
      <c r="BRU8" s="196"/>
      <c r="BRV8" s="196"/>
      <c r="BRW8" s="196"/>
      <c r="BRX8" s="196"/>
      <c r="BRY8" s="196"/>
      <c r="BRZ8" s="196"/>
      <c r="BSA8" s="196"/>
      <c r="BSB8" s="196"/>
      <c r="BSC8" s="196"/>
      <c r="BSD8" s="196"/>
      <c r="BSE8" s="196"/>
      <c r="BSF8" s="196"/>
      <c r="BSG8" s="196"/>
      <c r="BSH8" s="196"/>
      <c r="BSI8" s="196"/>
      <c r="BSJ8" s="196"/>
      <c r="BSK8" s="196"/>
      <c r="BSL8" s="196"/>
      <c r="BSM8" s="196"/>
      <c r="BSN8" s="196"/>
      <c r="BSO8" s="196"/>
      <c r="BSP8" s="196"/>
      <c r="BSQ8" s="196"/>
      <c r="BSR8" s="196"/>
      <c r="BSS8" s="196"/>
      <c r="BST8" s="196"/>
      <c r="BSU8" s="196"/>
      <c r="BSV8" s="196"/>
      <c r="BSW8" s="196"/>
      <c r="BSX8" s="196"/>
      <c r="BSY8" s="196"/>
      <c r="BSZ8" s="196"/>
      <c r="BTA8" s="196"/>
      <c r="BTB8" s="196"/>
      <c r="BTC8" s="196"/>
      <c r="BTD8" s="196"/>
      <c r="BTE8" s="196"/>
      <c r="BTF8" s="196"/>
      <c r="BTG8" s="196"/>
      <c r="BTH8" s="196"/>
      <c r="BTI8" s="196"/>
      <c r="BTJ8" s="196"/>
      <c r="BTK8" s="196"/>
      <c r="BTL8" s="196"/>
      <c r="BTM8" s="196"/>
      <c r="BTN8" s="196"/>
      <c r="BTO8" s="196"/>
      <c r="BTP8" s="196"/>
      <c r="BTQ8" s="196"/>
      <c r="BTR8" s="196"/>
      <c r="BTS8" s="196"/>
      <c r="BTT8" s="196"/>
      <c r="BTU8" s="196"/>
      <c r="BTV8" s="196"/>
      <c r="BTW8" s="196"/>
      <c r="BTX8" s="196"/>
      <c r="BTY8" s="196"/>
      <c r="BTZ8" s="196"/>
      <c r="BUA8" s="196"/>
      <c r="BUB8" s="196"/>
      <c r="BUC8" s="196"/>
      <c r="BUD8" s="196"/>
      <c r="BUE8" s="196"/>
      <c r="BUF8" s="196"/>
      <c r="BUG8" s="196"/>
      <c r="BUH8" s="196"/>
      <c r="BUI8" s="196"/>
      <c r="BUJ8" s="196"/>
      <c r="BUK8" s="196"/>
      <c r="BUL8" s="196"/>
      <c r="BUM8" s="196"/>
      <c r="BUN8" s="196"/>
      <c r="BUO8" s="196"/>
      <c r="BUP8" s="196"/>
      <c r="BUQ8" s="196"/>
      <c r="BUR8" s="196"/>
      <c r="BUS8" s="196"/>
      <c r="BUT8" s="196"/>
      <c r="BUU8" s="196"/>
      <c r="BUV8" s="196"/>
      <c r="BUW8" s="196"/>
      <c r="BUX8" s="196"/>
      <c r="BUY8" s="196"/>
      <c r="BUZ8" s="196"/>
      <c r="BVA8" s="196"/>
      <c r="BVB8" s="196"/>
      <c r="BVC8" s="196"/>
      <c r="BVD8" s="196"/>
      <c r="BVE8" s="196"/>
      <c r="BVF8" s="196"/>
      <c r="BVG8" s="196"/>
      <c r="BVH8" s="196"/>
      <c r="BVI8" s="196"/>
      <c r="BVJ8" s="196"/>
      <c r="BVK8" s="196"/>
      <c r="BVL8" s="196"/>
      <c r="BVM8" s="196"/>
      <c r="BVN8" s="196"/>
      <c r="BVO8" s="196"/>
      <c r="BVP8" s="196"/>
      <c r="BVQ8" s="196"/>
      <c r="BVR8" s="196"/>
      <c r="BVS8" s="196"/>
      <c r="BVT8" s="196"/>
      <c r="BVU8" s="196"/>
      <c r="BVV8" s="196"/>
      <c r="BVW8" s="196"/>
      <c r="BVX8" s="196"/>
      <c r="BVY8" s="196"/>
      <c r="BVZ8" s="196"/>
      <c r="BWA8" s="196"/>
      <c r="BWB8" s="196"/>
      <c r="BWC8" s="196"/>
      <c r="BWD8" s="196"/>
      <c r="BWE8" s="196"/>
      <c r="BWF8" s="196"/>
      <c r="BWG8" s="196"/>
      <c r="BWH8" s="196"/>
      <c r="BWI8" s="196"/>
      <c r="BWJ8" s="196"/>
      <c r="BWK8" s="196"/>
      <c r="BWL8" s="196"/>
      <c r="BWM8" s="196"/>
      <c r="BWN8" s="196"/>
      <c r="BWO8" s="196"/>
      <c r="BWP8" s="196"/>
      <c r="BWQ8" s="196"/>
      <c r="BWR8" s="196"/>
      <c r="BWS8" s="196"/>
      <c r="BWT8" s="196"/>
      <c r="BWU8" s="196"/>
      <c r="BWV8" s="196"/>
      <c r="BWW8" s="196"/>
      <c r="BWX8" s="196"/>
      <c r="BWY8" s="196"/>
      <c r="BWZ8" s="196"/>
      <c r="BXA8" s="196"/>
      <c r="BXB8" s="196"/>
      <c r="BXC8" s="196"/>
      <c r="BXD8" s="196"/>
      <c r="BXE8" s="196"/>
      <c r="BXF8" s="196"/>
      <c r="BXG8" s="196"/>
      <c r="BXH8" s="196"/>
      <c r="BXI8" s="196"/>
      <c r="BXJ8" s="196"/>
      <c r="BXK8" s="196"/>
      <c r="BXL8" s="196"/>
      <c r="BXM8" s="196"/>
      <c r="BXN8" s="196"/>
      <c r="BXO8" s="196"/>
      <c r="BXP8" s="196"/>
      <c r="BXQ8" s="196"/>
      <c r="BXR8" s="196"/>
      <c r="BXS8" s="196"/>
      <c r="BXT8" s="196"/>
      <c r="BXU8" s="196"/>
      <c r="BXV8" s="196"/>
      <c r="BXW8" s="196"/>
      <c r="BXX8" s="196"/>
      <c r="BXY8" s="196"/>
      <c r="BXZ8" s="196"/>
      <c r="BYA8" s="196"/>
      <c r="BYB8" s="196"/>
      <c r="BYC8" s="196"/>
      <c r="BYD8" s="196"/>
      <c r="BYE8" s="196"/>
      <c r="BYF8" s="196"/>
      <c r="BYG8" s="196"/>
    </row>
    <row r="9" spans="1:2009" s="100" customFormat="1" ht="12.75" customHeight="1" thickBot="1" x14ac:dyDescent="0.3">
      <c r="A9" s="97"/>
      <c r="B9" s="97"/>
      <c r="C9" s="164"/>
      <c r="D9" s="164"/>
      <c r="E9" s="164"/>
      <c r="F9" s="164"/>
      <c r="G9" s="628"/>
      <c r="H9" s="98"/>
      <c r="I9" s="722"/>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66</v>
      </c>
      <c r="B10" s="131"/>
      <c r="C10" s="165"/>
      <c r="D10" s="165"/>
      <c r="E10" s="166"/>
      <c r="F10" s="166"/>
      <c r="G10" s="629"/>
      <c r="H10" s="93"/>
      <c r="I10" s="544"/>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42</v>
      </c>
      <c r="C11" s="167"/>
      <c r="D11" s="167"/>
      <c r="E11" s="168"/>
      <c r="F11" s="168"/>
      <c r="G11" s="630">
        <f>ROUND(SUM(C11:F11),5)</f>
        <v>0</v>
      </c>
      <c r="H11" s="93"/>
      <c r="I11" s="544"/>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hidden="1" customHeight="1" x14ac:dyDescent="0.25">
      <c r="A12" s="132"/>
      <c r="B12" s="102" t="s">
        <v>454</v>
      </c>
      <c r="C12" s="167"/>
      <c r="D12" s="167"/>
      <c r="E12" s="168"/>
      <c r="F12" s="168"/>
      <c r="G12" s="630">
        <f>ROUND(SUM(C12:F12),5)</f>
        <v>0</v>
      </c>
      <c r="H12" s="93"/>
      <c r="I12" s="544"/>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490</v>
      </c>
      <c r="C13" s="167">
        <v>15887.28</v>
      </c>
      <c r="D13" s="167">
        <v>28225.95</v>
      </c>
      <c r="E13" s="167">
        <v>27636.720000000001</v>
      </c>
      <c r="F13" s="168">
        <f>22349.22+15000</f>
        <v>37349.22</v>
      </c>
      <c r="G13" s="630">
        <f>ROUND(SUM(C13:F13),5)</f>
        <v>109099.17</v>
      </c>
      <c r="H13" s="93"/>
      <c r="I13" s="544"/>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1" customFormat="1" ht="24.95" customHeight="1" thickBot="1" x14ac:dyDescent="0.3">
      <c r="A14" s="198"/>
      <c r="B14" s="199" t="s">
        <v>136</v>
      </c>
      <c r="C14" s="200">
        <f>ROUND(SUM(C10:C13),5)</f>
        <v>15887.28</v>
      </c>
      <c r="D14" s="200">
        <f>SUM(D11:D13)</f>
        <v>28225.95</v>
      </c>
      <c r="E14" s="200">
        <f>SUM(E11:E13)</f>
        <v>27636.720000000001</v>
      </c>
      <c r="F14" s="200">
        <f>SUM(F11:F13)</f>
        <v>37349.22</v>
      </c>
      <c r="G14" s="733">
        <f>ROUND(SUM(G10:G13),5)</f>
        <v>109099.17</v>
      </c>
      <c r="H14" s="195"/>
      <c r="I14" s="544"/>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CO14" s="196"/>
      <c r="CP14" s="196"/>
      <c r="CQ14" s="196"/>
      <c r="CR14" s="196"/>
      <c r="CS14" s="196"/>
      <c r="CT14" s="196"/>
      <c r="CU14" s="196"/>
      <c r="CV14" s="196"/>
      <c r="CW14" s="196"/>
      <c r="CX14" s="196"/>
      <c r="CY14" s="196"/>
      <c r="CZ14" s="196"/>
      <c r="DA14" s="196"/>
      <c r="DB14" s="196"/>
      <c r="DC14" s="196"/>
      <c r="DD14" s="196"/>
      <c r="DE14" s="196"/>
      <c r="DF14" s="196"/>
      <c r="DG14" s="196"/>
      <c r="DH14" s="196"/>
      <c r="DI14" s="196"/>
      <c r="DJ14" s="196"/>
      <c r="DK14" s="196"/>
      <c r="DL14" s="196"/>
      <c r="DM14" s="196"/>
      <c r="DN14" s="196"/>
      <c r="DO14" s="196"/>
      <c r="DP14" s="196"/>
      <c r="DQ14" s="196"/>
      <c r="DR14" s="196"/>
      <c r="DS14" s="196"/>
      <c r="DT14" s="196"/>
      <c r="DU14" s="196"/>
      <c r="DV14" s="196"/>
      <c r="DW14" s="196"/>
      <c r="DX14" s="196"/>
      <c r="DY14" s="196"/>
      <c r="DZ14" s="196"/>
      <c r="EA14" s="196"/>
      <c r="EB14" s="196"/>
      <c r="EC14" s="196"/>
      <c r="ED14" s="196"/>
      <c r="EE14" s="196"/>
      <c r="EF14" s="196"/>
      <c r="EG14" s="196"/>
      <c r="EH14" s="196"/>
      <c r="EI14" s="196"/>
      <c r="EJ14" s="196"/>
      <c r="EK14" s="196"/>
      <c r="EL14" s="196"/>
      <c r="EM14" s="196"/>
      <c r="EN14" s="196"/>
      <c r="EO14" s="196"/>
      <c r="EP14" s="196"/>
      <c r="EQ14" s="196"/>
      <c r="ER14" s="196"/>
      <c r="ES14" s="196"/>
      <c r="ET14" s="196"/>
      <c r="EU14" s="196"/>
      <c r="EV14" s="196"/>
      <c r="EW14" s="196"/>
      <c r="EX14" s="196"/>
      <c r="EY14" s="196"/>
      <c r="EZ14" s="196"/>
      <c r="FA14" s="196"/>
      <c r="FB14" s="196"/>
      <c r="FC14" s="196"/>
      <c r="FD14" s="196"/>
      <c r="FE14" s="196"/>
      <c r="FF14" s="196"/>
      <c r="FG14" s="196"/>
      <c r="FH14" s="196"/>
      <c r="FI14" s="196"/>
      <c r="FJ14" s="196"/>
      <c r="FK14" s="196"/>
      <c r="FL14" s="196"/>
      <c r="FM14" s="196"/>
      <c r="FN14" s="196"/>
      <c r="FO14" s="196"/>
      <c r="FP14" s="196"/>
      <c r="FQ14" s="196"/>
      <c r="FR14" s="196"/>
      <c r="FS14" s="196"/>
      <c r="FT14" s="196"/>
      <c r="FU14" s="196"/>
      <c r="FV14" s="196"/>
      <c r="FW14" s="196"/>
      <c r="FX14" s="196"/>
      <c r="FY14" s="196"/>
      <c r="FZ14" s="196"/>
      <c r="GA14" s="196"/>
      <c r="GB14" s="196"/>
      <c r="GC14" s="196"/>
      <c r="GD14" s="196"/>
      <c r="GE14" s="196"/>
      <c r="GF14" s="196"/>
      <c r="GG14" s="196"/>
      <c r="GH14" s="196"/>
      <c r="GI14" s="196"/>
      <c r="GJ14" s="196"/>
      <c r="GK14" s="196"/>
      <c r="GL14" s="196"/>
      <c r="GM14" s="196"/>
      <c r="GN14" s="196"/>
      <c r="GO14" s="196"/>
      <c r="GP14" s="196"/>
      <c r="GQ14" s="196"/>
      <c r="GR14" s="196"/>
      <c r="GS14" s="196"/>
      <c r="GT14" s="196"/>
      <c r="GU14" s="196"/>
      <c r="GV14" s="196"/>
      <c r="GW14" s="196"/>
      <c r="GX14" s="196"/>
      <c r="GY14" s="196"/>
      <c r="GZ14" s="196"/>
      <c r="HA14" s="196"/>
      <c r="HB14" s="196"/>
      <c r="HC14" s="196"/>
      <c r="HD14" s="196"/>
      <c r="HE14" s="196"/>
      <c r="HF14" s="196"/>
      <c r="HG14" s="196"/>
      <c r="HH14" s="196"/>
      <c r="HI14" s="196"/>
      <c r="HJ14" s="196"/>
      <c r="HK14" s="196"/>
      <c r="HL14" s="196"/>
      <c r="HM14" s="196"/>
      <c r="HN14" s="196"/>
      <c r="HO14" s="196"/>
      <c r="HP14" s="196"/>
      <c r="HQ14" s="196"/>
      <c r="HR14" s="196"/>
      <c r="HS14" s="196"/>
      <c r="HT14" s="196"/>
      <c r="HU14" s="196"/>
      <c r="HV14" s="196"/>
      <c r="HW14" s="196"/>
      <c r="HX14" s="196"/>
      <c r="HY14" s="196"/>
      <c r="HZ14" s="196"/>
      <c r="IA14" s="196"/>
      <c r="IB14" s="196"/>
      <c r="IC14" s="196"/>
      <c r="ID14" s="196"/>
      <c r="IE14" s="196"/>
      <c r="IF14" s="196"/>
      <c r="IG14" s="196"/>
      <c r="IH14" s="196"/>
      <c r="II14" s="196"/>
      <c r="IJ14" s="196"/>
      <c r="IK14" s="196"/>
      <c r="IL14" s="196"/>
      <c r="IM14" s="196"/>
      <c r="IN14" s="196"/>
      <c r="IO14" s="196"/>
      <c r="IP14" s="196"/>
      <c r="IQ14" s="196"/>
      <c r="IR14" s="196"/>
      <c r="IS14" s="196"/>
      <c r="IT14" s="196"/>
      <c r="IU14" s="196"/>
      <c r="IV14" s="196"/>
      <c r="IW14" s="196"/>
      <c r="IX14" s="196"/>
      <c r="IY14" s="196"/>
      <c r="IZ14" s="196"/>
      <c r="JA14" s="196"/>
      <c r="JB14" s="196"/>
      <c r="JC14" s="196"/>
      <c r="JD14" s="196"/>
      <c r="JE14" s="196"/>
      <c r="JF14" s="196"/>
      <c r="JG14" s="196"/>
      <c r="JH14" s="196"/>
      <c r="JI14" s="196"/>
      <c r="JJ14" s="196"/>
      <c r="JK14" s="196"/>
      <c r="JL14" s="196"/>
      <c r="JM14" s="196"/>
      <c r="JN14" s="196"/>
      <c r="JO14" s="196"/>
      <c r="JP14" s="196"/>
      <c r="JQ14" s="196"/>
      <c r="JR14" s="196"/>
      <c r="JS14" s="196"/>
      <c r="JT14" s="196"/>
      <c r="JU14" s="196"/>
      <c r="JV14" s="196"/>
      <c r="JW14" s="196"/>
      <c r="JX14" s="196"/>
      <c r="JY14" s="196"/>
      <c r="JZ14" s="196"/>
      <c r="KA14" s="196"/>
      <c r="KB14" s="196"/>
      <c r="KC14" s="196"/>
      <c r="KD14" s="196"/>
      <c r="KE14" s="196"/>
      <c r="KF14" s="196"/>
      <c r="KG14" s="196"/>
      <c r="KH14" s="196"/>
      <c r="KI14" s="196"/>
      <c r="KJ14" s="196"/>
      <c r="KK14" s="196"/>
      <c r="KL14" s="196"/>
      <c r="KM14" s="196"/>
      <c r="KN14" s="196"/>
      <c r="KO14" s="196"/>
      <c r="KP14" s="196"/>
      <c r="KQ14" s="196"/>
      <c r="KR14" s="196"/>
      <c r="KS14" s="196"/>
      <c r="KT14" s="196"/>
      <c r="KU14" s="196"/>
      <c r="KV14" s="196"/>
      <c r="KW14" s="196"/>
      <c r="KX14" s="196"/>
      <c r="KY14" s="196"/>
      <c r="KZ14" s="196"/>
      <c r="LA14" s="196"/>
      <c r="LB14" s="196"/>
      <c r="LC14" s="196"/>
      <c r="LD14" s="196"/>
      <c r="LE14" s="196"/>
      <c r="LF14" s="196"/>
      <c r="LG14" s="196"/>
      <c r="LH14" s="196"/>
      <c r="LI14" s="196"/>
      <c r="LJ14" s="196"/>
      <c r="LK14" s="196"/>
      <c r="LL14" s="196"/>
      <c r="LM14" s="196"/>
      <c r="LN14" s="196"/>
      <c r="LO14" s="196"/>
      <c r="LP14" s="196"/>
      <c r="LQ14" s="196"/>
      <c r="LR14" s="196"/>
      <c r="LS14" s="196"/>
      <c r="LT14" s="196"/>
      <c r="LU14" s="196"/>
      <c r="LV14" s="196"/>
      <c r="LW14" s="196"/>
      <c r="LX14" s="196"/>
      <c r="LY14" s="196"/>
      <c r="LZ14" s="196"/>
      <c r="MA14" s="196"/>
      <c r="MB14" s="196"/>
      <c r="MC14" s="196"/>
      <c r="MD14" s="196"/>
      <c r="ME14" s="196"/>
      <c r="MF14" s="196"/>
      <c r="MG14" s="196"/>
      <c r="MH14" s="196"/>
      <c r="MI14" s="196"/>
      <c r="MJ14" s="196"/>
      <c r="MK14" s="196"/>
      <c r="ML14" s="196"/>
      <c r="MM14" s="196"/>
      <c r="MN14" s="196"/>
      <c r="MO14" s="196"/>
      <c r="MP14" s="196"/>
      <c r="MQ14" s="196"/>
      <c r="MR14" s="196"/>
      <c r="MS14" s="196"/>
      <c r="MT14" s="196"/>
      <c r="MU14" s="196"/>
      <c r="MV14" s="196"/>
      <c r="MW14" s="196"/>
      <c r="MX14" s="196"/>
      <c r="MY14" s="196"/>
      <c r="MZ14" s="196"/>
      <c r="NA14" s="196"/>
      <c r="NB14" s="196"/>
      <c r="NC14" s="196"/>
      <c r="ND14" s="196"/>
      <c r="NE14" s="196"/>
      <c r="NF14" s="196"/>
      <c r="NG14" s="196"/>
      <c r="NH14" s="196"/>
      <c r="NI14" s="196"/>
      <c r="NJ14" s="196"/>
      <c r="NK14" s="196"/>
      <c r="NL14" s="196"/>
      <c r="NM14" s="196"/>
      <c r="NN14" s="196"/>
      <c r="NO14" s="196"/>
      <c r="NP14" s="196"/>
      <c r="NQ14" s="196"/>
      <c r="NR14" s="196"/>
      <c r="NS14" s="196"/>
      <c r="NT14" s="196"/>
      <c r="NU14" s="196"/>
      <c r="NV14" s="196"/>
      <c r="NW14" s="196"/>
      <c r="NX14" s="196"/>
      <c r="NY14" s="196"/>
      <c r="NZ14" s="196"/>
      <c r="OA14" s="196"/>
      <c r="OB14" s="196"/>
      <c r="OC14" s="196"/>
      <c r="OD14" s="196"/>
      <c r="OE14" s="196"/>
      <c r="OF14" s="196"/>
      <c r="OG14" s="196"/>
      <c r="OH14" s="196"/>
      <c r="OI14" s="196"/>
      <c r="OJ14" s="196"/>
      <c r="OK14" s="196"/>
      <c r="OL14" s="196"/>
      <c r="OM14" s="196"/>
      <c r="ON14" s="196"/>
      <c r="OO14" s="196"/>
      <c r="OP14" s="196"/>
      <c r="OQ14" s="196"/>
      <c r="OR14" s="196"/>
      <c r="OS14" s="196"/>
      <c r="OT14" s="196"/>
      <c r="OU14" s="196"/>
      <c r="OV14" s="196"/>
      <c r="OW14" s="196"/>
      <c r="OX14" s="196"/>
      <c r="OY14" s="196"/>
      <c r="OZ14" s="196"/>
      <c r="PA14" s="196"/>
      <c r="PB14" s="196"/>
      <c r="PC14" s="196"/>
      <c r="PD14" s="196"/>
      <c r="PE14" s="196"/>
      <c r="PF14" s="196"/>
      <c r="PG14" s="196"/>
      <c r="PH14" s="196"/>
      <c r="PI14" s="196"/>
      <c r="PJ14" s="196"/>
      <c r="PK14" s="196"/>
      <c r="PL14" s="196"/>
      <c r="PM14" s="196"/>
      <c r="PN14" s="196"/>
      <c r="PO14" s="196"/>
      <c r="PP14" s="196"/>
      <c r="PQ14" s="196"/>
      <c r="PR14" s="196"/>
      <c r="PS14" s="196"/>
      <c r="PT14" s="196"/>
      <c r="PU14" s="196"/>
      <c r="PV14" s="196"/>
      <c r="PW14" s="196"/>
      <c r="PX14" s="196"/>
      <c r="PY14" s="196"/>
      <c r="PZ14" s="196"/>
      <c r="QA14" s="196"/>
      <c r="QB14" s="196"/>
      <c r="QC14" s="196"/>
      <c r="QD14" s="196"/>
      <c r="QE14" s="196"/>
      <c r="QF14" s="196"/>
      <c r="QG14" s="196"/>
      <c r="QH14" s="196"/>
      <c r="QI14" s="196"/>
      <c r="QJ14" s="196"/>
      <c r="QK14" s="196"/>
      <c r="QL14" s="196"/>
      <c r="QM14" s="196"/>
      <c r="QN14" s="196"/>
      <c r="QO14" s="196"/>
      <c r="QP14" s="196"/>
      <c r="QQ14" s="196"/>
      <c r="QR14" s="196"/>
      <c r="QS14" s="196"/>
      <c r="QT14" s="196"/>
      <c r="QU14" s="196"/>
      <c r="QV14" s="196"/>
      <c r="QW14" s="196"/>
      <c r="QX14" s="196"/>
      <c r="QY14" s="196"/>
      <c r="QZ14" s="196"/>
      <c r="RA14" s="196"/>
      <c r="RB14" s="196"/>
      <c r="RC14" s="196"/>
      <c r="RD14" s="196"/>
      <c r="RE14" s="196"/>
      <c r="RF14" s="196"/>
      <c r="RG14" s="196"/>
      <c r="RH14" s="196"/>
      <c r="RI14" s="196"/>
      <c r="RJ14" s="196"/>
      <c r="RK14" s="196"/>
      <c r="RL14" s="196"/>
      <c r="RM14" s="196"/>
      <c r="RN14" s="196"/>
      <c r="RO14" s="196"/>
      <c r="RP14" s="196"/>
      <c r="RQ14" s="196"/>
      <c r="RR14" s="196"/>
      <c r="RS14" s="196"/>
      <c r="RT14" s="196"/>
      <c r="RU14" s="196"/>
      <c r="RV14" s="196"/>
      <c r="RW14" s="196"/>
      <c r="RX14" s="196"/>
      <c r="RY14" s="196"/>
      <c r="RZ14" s="196"/>
      <c r="SA14" s="196"/>
      <c r="SB14" s="196"/>
      <c r="SC14" s="196"/>
      <c r="SD14" s="196"/>
      <c r="SE14" s="196"/>
      <c r="SF14" s="196"/>
      <c r="SG14" s="196"/>
      <c r="SH14" s="196"/>
      <c r="SI14" s="196"/>
      <c r="SJ14" s="196"/>
      <c r="SK14" s="196"/>
      <c r="SL14" s="196"/>
      <c r="SM14" s="196"/>
      <c r="SN14" s="196"/>
      <c r="SO14" s="196"/>
      <c r="SP14" s="196"/>
      <c r="SQ14" s="196"/>
      <c r="SR14" s="196"/>
      <c r="SS14" s="196"/>
      <c r="ST14" s="196"/>
      <c r="SU14" s="196"/>
      <c r="SV14" s="196"/>
      <c r="SW14" s="196"/>
      <c r="SX14" s="196"/>
      <c r="SY14" s="196"/>
      <c r="SZ14" s="196"/>
      <c r="TA14" s="196"/>
      <c r="TB14" s="196"/>
      <c r="TC14" s="196"/>
      <c r="TD14" s="196"/>
      <c r="TE14" s="196"/>
      <c r="TF14" s="196"/>
      <c r="TG14" s="196"/>
      <c r="TH14" s="196"/>
      <c r="TI14" s="196"/>
      <c r="TJ14" s="196"/>
      <c r="TK14" s="196"/>
      <c r="TL14" s="196"/>
      <c r="TM14" s="196"/>
      <c r="TN14" s="196"/>
      <c r="TO14" s="196"/>
      <c r="TP14" s="196"/>
      <c r="TQ14" s="196"/>
      <c r="TR14" s="196"/>
      <c r="TS14" s="196"/>
      <c r="TT14" s="196"/>
      <c r="TU14" s="196"/>
      <c r="TV14" s="196"/>
      <c r="TW14" s="196"/>
      <c r="TX14" s="196"/>
      <c r="TY14" s="196"/>
      <c r="TZ14" s="196"/>
      <c r="UA14" s="196"/>
      <c r="UB14" s="196"/>
      <c r="UC14" s="196"/>
      <c r="UD14" s="196"/>
      <c r="UE14" s="196"/>
      <c r="UF14" s="196"/>
      <c r="UG14" s="196"/>
      <c r="UH14" s="196"/>
      <c r="UI14" s="196"/>
      <c r="UJ14" s="196"/>
      <c r="UK14" s="196"/>
      <c r="UL14" s="196"/>
      <c r="UM14" s="196"/>
      <c r="UN14" s="196"/>
      <c r="UO14" s="196"/>
      <c r="UP14" s="196"/>
      <c r="UQ14" s="196"/>
      <c r="UR14" s="196"/>
      <c r="US14" s="196"/>
      <c r="UT14" s="196"/>
      <c r="UU14" s="196"/>
      <c r="UV14" s="196"/>
      <c r="UW14" s="196"/>
      <c r="UX14" s="196"/>
      <c r="UY14" s="196"/>
      <c r="UZ14" s="196"/>
      <c r="VA14" s="196"/>
      <c r="VB14" s="196"/>
      <c r="VC14" s="196"/>
      <c r="VD14" s="196"/>
      <c r="VE14" s="196"/>
      <c r="VF14" s="196"/>
      <c r="VG14" s="196"/>
      <c r="VH14" s="196"/>
      <c r="VI14" s="196"/>
      <c r="VJ14" s="196"/>
      <c r="VK14" s="196"/>
      <c r="VL14" s="196"/>
      <c r="VM14" s="196"/>
      <c r="VN14" s="196"/>
      <c r="VO14" s="196"/>
      <c r="VP14" s="196"/>
      <c r="VQ14" s="196"/>
      <c r="VR14" s="196"/>
      <c r="VS14" s="196"/>
      <c r="VT14" s="196"/>
      <c r="VU14" s="196"/>
      <c r="VV14" s="196"/>
      <c r="VW14" s="196"/>
      <c r="VX14" s="196"/>
      <c r="VY14" s="196"/>
      <c r="VZ14" s="196"/>
      <c r="WA14" s="196"/>
      <c r="WB14" s="196"/>
      <c r="WC14" s="196"/>
      <c r="WD14" s="196"/>
      <c r="WE14" s="196"/>
      <c r="WF14" s="196"/>
      <c r="WG14" s="196"/>
      <c r="WH14" s="196"/>
      <c r="WI14" s="196"/>
      <c r="WJ14" s="196"/>
      <c r="WK14" s="196"/>
      <c r="WL14" s="196"/>
      <c r="WM14" s="196"/>
      <c r="WN14" s="196"/>
      <c r="WO14" s="196"/>
      <c r="WP14" s="196"/>
      <c r="WQ14" s="196"/>
      <c r="WR14" s="196"/>
      <c r="WS14" s="196"/>
      <c r="WT14" s="196"/>
      <c r="WU14" s="196"/>
      <c r="WV14" s="196"/>
      <c r="WW14" s="196"/>
      <c r="WX14" s="196"/>
      <c r="WY14" s="196"/>
      <c r="WZ14" s="196"/>
      <c r="XA14" s="196"/>
      <c r="XB14" s="196"/>
      <c r="XC14" s="196"/>
      <c r="XD14" s="196"/>
      <c r="XE14" s="196"/>
      <c r="XF14" s="196"/>
      <c r="XG14" s="196"/>
      <c r="XH14" s="196"/>
      <c r="XI14" s="196"/>
      <c r="XJ14" s="196"/>
      <c r="XK14" s="196"/>
      <c r="XL14" s="196"/>
      <c r="XM14" s="196"/>
      <c r="XN14" s="196"/>
      <c r="XO14" s="196"/>
      <c r="XP14" s="196"/>
      <c r="XQ14" s="196"/>
      <c r="XR14" s="196"/>
      <c r="XS14" s="196"/>
      <c r="XT14" s="196"/>
      <c r="XU14" s="196"/>
      <c r="XV14" s="196"/>
      <c r="XW14" s="196"/>
      <c r="XX14" s="196"/>
      <c r="XY14" s="196"/>
      <c r="XZ14" s="196"/>
      <c r="YA14" s="196"/>
      <c r="YB14" s="196"/>
      <c r="YC14" s="196"/>
      <c r="YD14" s="196"/>
      <c r="YE14" s="196"/>
      <c r="YF14" s="196"/>
      <c r="YG14" s="196"/>
      <c r="YH14" s="196"/>
      <c r="YI14" s="196"/>
      <c r="YJ14" s="196"/>
      <c r="YK14" s="196"/>
      <c r="YL14" s="196"/>
      <c r="YM14" s="196"/>
      <c r="YN14" s="196"/>
      <c r="YO14" s="196"/>
      <c r="YP14" s="196"/>
      <c r="YQ14" s="196"/>
      <c r="YR14" s="196"/>
      <c r="YS14" s="196"/>
      <c r="YT14" s="196"/>
      <c r="YU14" s="196"/>
      <c r="YV14" s="196"/>
      <c r="YW14" s="196"/>
      <c r="YX14" s="196"/>
      <c r="YY14" s="196"/>
      <c r="YZ14" s="196"/>
      <c r="ZA14" s="196"/>
      <c r="ZB14" s="196"/>
      <c r="ZC14" s="196"/>
      <c r="ZD14" s="196"/>
      <c r="ZE14" s="196"/>
      <c r="ZF14" s="196"/>
      <c r="ZG14" s="196"/>
      <c r="ZH14" s="196"/>
      <c r="ZI14" s="196"/>
      <c r="ZJ14" s="196"/>
      <c r="ZK14" s="196"/>
      <c r="ZL14" s="196"/>
      <c r="ZM14" s="196"/>
      <c r="ZN14" s="196"/>
      <c r="ZO14" s="196"/>
      <c r="ZP14" s="196"/>
      <c r="ZQ14" s="196"/>
      <c r="ZR14" s="196"/>
      <c r="ZS14" s="196"/>
      <c r="ZT14" s="196"/>
      <c r="ZU14" s="196"/>
      <c r="ZV14" s="196"/>
      <c r="ZW14" s="196"/>
      <c r="ZX14" s="196"/>
      <c r="ZY14" s="196"/>
      <c r="ZZ14" s="196"/>
      <c r="AAA14" s="196"/>
      <c r="AAB14" s="196"/>
      <c r="AAC14" s="196"/>
      <c r="AAD14" s="196"/>
      <c r="AAE14" s="196"/>
      <c r="AAF14" s="196"/>
      <c r="AAG14" s="196"/>
      <c r="AAH14" s="196"/>
      <c r="AAI14" s="196"/>
      <c r="AAJ14" s="196"/>
      <c r="AAK14" s="196"/>
      <c r="AAL14" s="196"/>
      <c r="AAM14" s="196"/>
      <c r="AAN14" s="196"/>
      <c r="AAO14" s="196"/>
      <c r="AAP14" s="196"/>
      <c r="AAQ14" s="196"/>
      <c r="AAR14" s="196"/>
      <c r="AAS14" s="196"/>
      <c r="AAT14" s="196"/>
      <c r="AAU14" s="196"/>
      <c r="AAV14" s="196"/>
      <c r="AAW14" s="196"/>
      <c r="AAX14" s="196"/>
      <c r="AAY14" s="196"/>
      <c r="AAZ14" s="196"/>
      <c r="ABA14" s="196"/>
      <c r="ABB14" s="196"/>
      <c r="ABC14" s="196"/>
      <c r="ABD14" s="196"/>
      <c r="ABE14" s="196"/>
      <c r="ABF14" s="196"/>
      <c r="ABG14" s="196"/>
      <c r="ABH14" s="196"/>
      <c r="ABI14" s="196"/>
      <c r="ABJ14" s="196"/>
      <c r="ABK14" s="196"/>
      <c r="ABL14" s="196"/>
      <c r="ABM14" s="196"/>
      <c r="ABN14" s="196"/>
      <c r="ABO14" s="196"/>
      <c r="ABP14" s="196"/>
      <c r="ABQ14" s="196"/>
      <c r="ABR14" s="196"/>
      <c r="ABS14" s="196"/>
      <c r="ABT14" s="196"/>
      <c r="ABU14" s="196"/>
      <c r="ABV14" s="196"/>
      <c r="ABW14" s="196"/>
      <c r="ABX14" s="196"/>
      <c r="ABY14" s="196"/>
      <c r="ABZ14" s="196"/>
      <c r="ACA14" s="196"/>
      <c r="ACB14" s="196"/>
      <c r="ACC14" s="196"/>
      <c r="ACD14" s="196"/>
      <c r="ACE14" s="196"/>
      <c r="ACF14" s="196"/>
      <c r="ACG14" s="196"/>
      <c r="ACH14" s="196"/>
      <c r="ACI14" s="196"/>
      <c r="ACJ14" s="196"/>
      <c r="ACK14" s="196"/>
      <c r="ACL14" s="196"/>
      <c r="ACM14" s="196"/>
      <c r="ACN14" s="196"/>
      <c r="ACO14" s="196"/>
      <c r="ACP14" s="196"/>
      <c r="ACQ14" s="196"/>
      <c r="ACR14" s="196"/>
      <c r="ACS14" s="196"/>
      <c r="ACT14" s="196"/>
      <c r="ACU14" s="196"/>
      <c r="ACV14" s="196"/>
      <c r="ACW14" s="196"/>
      <c r="ACX14" s="196"/>
      <c r="ACY14" s="196"/>
      <c r="ACZ14" s="196"/>
      <c r="ADA14" s="196"/>
      <c r="ADB14" s="196"/>
      <c r="ADC14" s="196"/>
      <c r="ADD14" s="196"/>
      <c r="ADE14" s="196"/>
      <c r="ADF14" s="196"/>
      <c r="ADG14" s="196"/>
      <c r="ADH14" s="196"/>
      <c r="ADI14" s="196"/>
      <c r="ADJ14" s="196"/>
      <c r="ADK14" s="196"/>
      <c r="ADL14" s="196"/>
      <c r="ADM14" s="196"/>
      <c r="ADN14" s="196"/>
      <c r="ADO14" s="196"/>
      <c r="ADP14" s="196"/>
      <c r="ADQ14" s="196"/>
      <c r="ADR14" s="196"/>
      <c r="ADS14" s="196"/>
      <c r="ADT14" s="196"/>
      <c r="ADU14" s="196"/>
      <c r="ADV14" s="196"/>
      <c r="ADW14" s="196"/>
      <c r="ADX14" s="196"/>
      <c r="ADY14" s="196"/>
      <c r="ADZ14" s="196"/>
      <c r="AEA14" s="196"/>
      <c r="AEB14" s="196"/>
      <c r="AEC14" s="196"/>
      <c r="AED14" s="196"/>
      <c r="AEE14" s="196"/>
      <c r="AEF14" s="196"/>
      <c r="AEG14" s="196"/>
      <c r="AEH14" s="196"/>
      <c r="AEI14" s="196"/>
      <c r="AEJ14" s="196"/>
      <c r="AEK14" s="196"/>
      <c r="AEL14" s="196"/>
      <c r="AEM14" s="196"/>
      <c r="AEN14" s="196"/>
      <c r="AEO14" s="196"/>
      <c r="AEP14" s="196"/>
      <c r="AEQ14" s="196"/>
      <c r="AER14" s="196"/>
      <c r="AES14" s="196"/>
      <c r="AET14" s="196"/>
      <c r="AEU14" s="196"/>
      <c r="AEV14" s="196"/>
      <c r="AEW14" s="196"/>
      <c r="AEX14" s="196"/>
      <c r="AEY14" s="196"/>
      <c r="AEZ14" s="196"/>
      <c r="AFA14" s="196"/>
      <c r="AFB14" s="196"/>
      <c r="AFC14" s="196"/>
      <c r="AFD14" s="196"/>
      <c r="AFE14" s="196"/>
      <c r="AFF14" s="196"/>
      <c r="AFG14" s="196"/>
      <c r="AFH14" s="196"/>
      <c r="AFI14" s="196"/>
      <c r="AFJ14" s="196"/>
      <c r="AFK14" s="196"/>
      <c r="AFL14" s="196"/>
      <c r="AFM14" s="196"/>
      <c r="AFN14" s="196"/>
      <c r="AFO14" s="196"/>
      <c r="AFP14" s="196"/>
      <c r="AFQ14" s="196"/>
      <c r="AFR14" s="196"/>
      <c r="AFS14" s="196"/>
      <c r="AFT14" s="196"/>
      <c r="AFU14" s="196"/>
      <c r="AFV14" s="196"/>
      <c r="AFW14" s="196"/>
      <c r="AFX14" s="196"/>
      <c r="AFY14" s="196"/>
      <c r="AFZ14" s="196"/>
      <c r="AGA14" s="196"/>
      <c r="AGB14" s="196"/>
      <c r="AGC14" s="196"/>
      <c r="AGD14" s="196"/>
      <c r="AGE14" s="196"/>
      <c r="AGF14" s="196"/>
      <c r="AGG14" s="196"/>
      <c r="AGH14" s="196"/>
      <c r="AGI14" s="196"/>
      <c r="AGJ14" s="196"/>
      <c r="AGK14" s="196"/>
      <c r="AGL14" s="196"/>
      <c r="AGM14" s="196"/>
      <c r="AGN14" s="196"/>
      <c r="AGO14" s="196"/>
      <c r="AGP14" s="196"/>
      <c r="AGQ14" s="196"/>
      <c r="AGR14" s="196"/>
      <c r="AGS14" s="196"/>
      <c r="AGT14" s="196"/>
      <c r="AGU14" s="196"/>
      <c r="AGV14" s="196"/>
      <c r="AGW14" s="196"/>
      <c r="AGX14" s="196"/>
      <c r="AGY14" s="196"/>
      <c r="AGZ14" s="196"/>
      <c r="AHA14" s="196"/>
      <c r="AHB14" s="196"/>
      <c r="AHC14" s="196"/>
      <c r="AHD14" s="196"/>
      <c r="AHE14" s="196"/>
      <c r="AHF14" s="196"/>
      <c r="AHG14" s="196"/>
      <c r="AHH14" s="196"/>
      <c r="AHI14" s="196"/>
      <c r="AHJ14" s="196"/>
      <c r="AHK14" s="196"/>
      <c r="AHL14" s="196"/>
      <c r="AHM14" s="196"/>
      <c r="AHN14" s="196"/>
      <c r="AHO14" s="196"/>
      <c r="AHP14" s="196"/>
      <c r="AHQ14" s="196"/>
      <c r="AHR14" s="196"/>
      <c r="AHS14" s="196"/>
      <c r="AHT14" s="196"/>
      <c r="AHU14" s="196"/>
      <c r="AHV14" s="196"/>
      <c r="AHW14" s="196"/>
      <c r="AHX14" s="196"/>
      <c r="AHY14" s="196"/>
      <c r="AHZ14" s="196"/>
      <c r="AIA14" s="196"/>
      <c r="AIB14" s="196"/>
      <c r="AIC14" s="196"/>
      <c r="AID14" s="196"/>
      <c r="AIE14" s="196"/>
      <c r="AIF14" s="196"/>
      <c r="AIG14" s="196"/>
      <c r="AIH14" s="196"/>
      <c r="AII14" s="196"/>
      <c r="AIJ14" s="196"/>
      <c r="AIK14" s="196"/>
      <c r="AIL14" s="196"/>
      <c r="AIM14" s="196"/>
      <c r="AIN14" s="196"/>
      <c r="AIO14" s="196"/>
      <c r="AIP14" s="196"/>
      <c r="AIQ14" s="196"/>
      <c r="AIR14" s="196"/>
      <c r="AIS14" s="196"/>
      <c r="AIT14" s="196"/>
      <c r="AIU14" s="196"/>
      <c r="AIV14" s="196"/>
      <c r="AIW14" s="196"/>
      <c r="AIX14" s="196"/>
      <c r="AIY14" s="196"/>
      <c r="AIZ14" s="196"/>
      <c r="AJA14" s="196"/>
      <c r="AJB14" s="196"/>
      <c r="AJC14" s="196"/>
      <c r="AJD14" s="196"/>
      <c r="AJE14" s="196"/>
      <c r="AJF14" s="196"/>
      <c r="AJG14" s="196"/>
      <c r="AJH14" s="196"/>
      <c r="AJI14" s="196"/>
      <c r="AJJ14" s="196"/>
      <c r="AJK14" s="196"/>
      <c r="AJL14" s="196"/>
      <c r="AJM14" s="196"/>
      <c r="AJN14" s="196"/>
      <c r="AJO14" s="196"/>
      <c r="AJP14" s="196"/>
      <c r="AJQ14" s="196"/>
      <c r="AJR14" s="196"/>
      <c r="AJS14" s="196"/>
      <c r="AJT14" s="196"/>
      <c r="AJU14" s="196"/>
      <c r="AJV14" s="196"/>
      <c r="AJW14" s="196"/>
      <c r="AJX14" s="196"/>
      <c r="AJY14" s="196"/>
      <c r="AJZ14" s="196"/>
      <c r="AKA14" s="196"/>
      <c r="AKB14" s="196"/>
      <c r="AKC14" s="196"/>
      <c r="AKD14" s="196"/>
      <c r="AKE14" s="196"/>
      <c r="AKF14" s="196"/>
      <c r="AKG14" s="196"/>
      <c r="AKH14" s="196"/>
      <c r="AKI14" s="196"/>
      <c r="AKJ14" s="196"/>
      <c r="AKK14" s="196"/>
      <c r="AKL14" s="196"/>
      <c r="AKM14" s="196"/>
      <c r="AKN14" s="196"/>
      <c r="AKO14" s="196"/>
      <c r="AKP14" s="196"/>
      <c r="AKQ14" s="196"/>
      <c r="AKR14" s="196"/>
      <c r="AKS14" s="196"/>
      <c r="AKT14" s="196"/>
      <c r="AKU14" s="196"/>
      <c r="AKV14" s="196"/>
      <c r="AKW14" s="196"/>
      <c r="AKX14" s="196"/>
      <c r="AKY14" s="196"/>
      <c r="AKZ14" s="196"/>
      <c r="ALA14" s="196"/>
      <c r="ALB14" s="196"/>
      <c r="ALC14" s="196"/>
      <c r="ALD14" s="196"/>
      <c r="ALE14" s="196"/>
      <c r="ALF14" s="196"/>
      <c r="ALG14" s="196"/>
      <c r="ALH14" s="196"/>
      <c r="ALI14" s="196"/>
      <c r="ALJ14" s="196"/>
      <c r="ALK14" s="196"/>
      <c r="ALL14" s="196"/>
      <c r="ALM14" s="196"/>
      <c r="ALN14" s="196"/>
      <c r="ALO14" s="196"/>
      <c r="ALP14" s="196"/>
      <c r="ALQ14" s="196"/>
      <c r="ALR14" s="196"/>
      <c r="ALS14" s="196"/>
      <c r="ALT14" s="196"/>
      <c r="ALU14" s="196"/>
      <c r="ALV14" s="196"/>
      <c r="ALW14" s="196"/>
      <c r="ALX14" s="196"/>
      <c r="ALY14" s="196"/>
      <c r="ALZ14" s="196"/>
      <c r="AMA14" s="196"/>
      <c r="AMB14" s="196"/>
      <c r="AMC14" s="196"/>
      <c r="AMD14" s="196"/>
      <c r="AME14" s="196"/>
      <c r="AMF14" s="196"/>
      <c r="AMG14" s="196"/>
      <c r="AMH14" s="196"/>
      <c r="AMI14" s="196"/>
      <c r="AMJ14" s="196"/>
      <c r="AMK14" s="196"/>
      <c r="AML14" s="196"/>
      <c r="AMM14" s="196"/>
      <c r="AMN14" s="196"/>
      <c r="AMO14" s="196"/>
      <c r="AMP14" s="196"/>
      <c r="AMQ14" s="196"/>
      <c r="AMR14" s="196"/>
      <c r="AMS14" s="196"/>
      <c r="AMT14" s="196"/>
      <c r="AMU14" s="196"/>
      <c r="AMV14" s="196"/>
      <c r="AMW14" s="196"/>
      <c r="AMX14" s="196"/>
      <c r="AMY14" s="196"/>
      <c r="AMZ14" s="196"/>
      <c r="ANA14" s="196"/>
      <c r="ANB14" s="196"/>
      <c r="ANC14" s="196"/>
      <c r="AND14" s="196"/>
      <c r="ANE14" s="196"/>
      <c r="ANF14" s="196"/>
      <c r="ANG14" s="196"/>
      <c r="ANH14" s="196"/>
      <c r="ANI14" s="196"/>
      <c r="ANJ14" s="196"/>
      <c r="ANK14" s="196"/>
      <c r="ANL14" s="196"/>
      <c r="ANM14" s="196"/>
      <c r="ANN14" s="196"/>
      <c r="ANO14" s="196"/>
      <c r="ANP14" s="196"/>
      <c r="ANQ14" s="196"/>
      <c r="ANR14" s="196"/>
      <c r="ANS14" s="196"/>
      <c r="ANT14" s="196"/>
      <c r="ANU14" s="196"/>
      <c r="ANV14" s="196"/>
      <c r="ANW14" s="196"/>
      <c r="ANX14" s="196"/>
      <c r="ANY14" s="196"/>
      <c r="ANZ14" s="196"/>
      <c r="AOA14" s="196"/>
      <c r="AOB14" s="196"/>
      <c r="AOC14" s="196"/>
      <c r="AOD14" s="196"/>
      <c r="AOE14" s="196"/>
      <c r="AOF14" s="196"/>
      <c r="AOG14" s="196"/>
      <c r="AOH14" s="196"/>
      <c r="AOI14" s="196"/>
      <c r="AOJ14" s="196"/>
      <c r="AOK14" s="196"/>
      <c r="AOL14" s="196"/>
      <c r="AOM14" s="196"/>
      <c r="AON14" s="196"/>
      <c r="AOO14" s="196"/>
      <c r="AOP14" s="196"/>
      <c r="AOQ14" s="196"/>
      <c r="AOR14" s="196"/>
      <c r="AOS14" s="196"/>
      <c r="AOT14" s="196"/>
      <c r="AOU14" s="196"/>
      <c r="AOV14" s="196"/>
      <c r="AOW14" s="196"/>
      <c r="AOX14" s="196"/>
      <c r="AOY14" s="196"/>
      <c r="AOZ14" s="196"/>
      <c r="APA14" s="196"/>
      <c r="APB14" s="196"/>
      <c r="APC14" s="196"/>
      <c r="APD14" s="196"/>
      <c r="APE14" s="196"/>
      <c r="APF14" s="196"/>
      <c r="APG14" s="196"/>
      <c r="APH14" s="196"/>
      <c r="API14" s="196"/>
      <c r="APJ14" s="196"/>
      <c r="APK14" s="196"/>
      <c r="APL14" s="196"/>
      <c r="APM14" s="196"/>
      <c r="APN14" s="196"/>
      <c r="APO14" s="196"/>
      <c r="APP14" s="196"/>
      <c r="APQ14" s="196"/>
      <c r="APR14" s="196"/>
      <c r="APS14" s="196"/>
      <c r="APT14" s="196"/>
      <c r="APU14" s="196"/>
      <c r="APV14" s="196"/>
      <c r="APW14" s="196"/>
      <c r="APX14" s="196"/>
      <c r="APY14" s="196"/>
      <c r="APZ14" s="196"/>
      <c r="AQA14" s="196"/>
      <c r="AQB14" s="196"/>
      <c r="AQC14" s="196"/>
      <c r="AQD14" s="196"/>
      <c r="AQE14" s="196"/>
      <c r="AQF14" s="196"/>
      <c r="AQG14" s="196"/>
      <c r="AQH14" s="196"/>
      <c r="AQI14" s="196"/>
      <c r="AQJ14" s="196"/>
      <c r="AQK14" s="196"/>
      <c r="AQL14" s="196"/>
      <c r="AQM14" s="196"/>
      <c r="AQN14" s="196"/>
      <c r="AQO14" s="196"/>
      <c r="AQP14" s="196"/>
      <c r="AQQ14" s="196"/>
      <c r="AQR14" s="196"/>
      <c r="AQS14" s="196"/>
      <c r="AQT14" s="196"/>
      <c r="AQU14" s="196"/>
      <c r="AQV14" s="196"/>
      <c r="AQW14" s="196"/>
      <c r="AQX14" s="196"/>
      <c r="AQY14" s="196"/>
      <c r="AQZ14" s="196"/>
      <c r="ARA14" s="196"/>
      <c r="ARB14" s="196"/>
      <c r="ARC14" s="196"/>
      <c r="ARD14" s="196"/>
      <c r="ARE14" s="196"/>
      <c r="ARF14" s="196"/>
      <c r="ARG14" s="196"/>
      <c r="ARH14" s="196"/>
      <c r="ARI14" s="196"/>
      <c r="ARJ14" s="196"/>
      <c r="ARK14" s="196"/>
      <c r="ARL14" s="196"/>
      <c r="ARM14" s="196"/>
      <c r="ARN14" s="196"/>
      <c r="ARO14" s="196"/>
      <c r="ARP14" s="196"/>
      <c r="ARQ14" s="196"/>
      <c r="ARR14" s="196"/>
      <c r="ARS14" s="196"/>
      <c r="ART14" s="196"/>
      <c r="ARU14" s="196"/>
      <c r="ARV14" s="196"/>
      <c r="ARW14" s="196"/>
      <c r="ARX14" s="196"/>
      <c r="ARY14" s="196"/>
      <c r="ARZ14" s="196"/>
      <c r="ASA14" s="196"/>
      <c r="ASB14" s="196"/>
      <c r="ASC14" s="196"/>
      <c r="ASD14" s="196"/>
      <c r="ASE14" s="196"/>
      <c r="ASF14" s="196"/>
      <c r="ASG14" s="196"/>
      <c r="ASH14" s="196"/>
      <c r="ASI14" s="196"/>
      <c r="ASJ14" s="196"/>
      <c r="ASK14" s="196"/>
      <c r="ASL14" s="196"/>
      <c r="ASM14" s="196"/>
      <c r="ASN14" s="196"/>
      <c r="ASO14" s="196"/>
      <c r="ASP14" s="196"/>
      <c r="ASQ14" s="196"/>
      <c r="ASR14" s="196"/>
      <c r="ASS14" s="196"/>
      <c r="AST14" s="196"/>
      <c r="ASU14" s="196"/>
      <c r="ASV14" s="196"/>
      <c r="ASW14" s="196"/>
      <c r="ASX14" s="196"/>
      <c r="ASY14" s="196"/>
      <c r="ASZ14" s="196"/>
      <c r="ATA14" s="196"/>
      <c r="ATB14" s="196"/>
      <c r="ATC14" s="196"/>
      <c r="ATD14" s="196"/>
      <c r="ATE14" s="196"/>
      <c r="ATF14" s="196"/>
      <c r="ATG14" s="196"/>
      <c r="ATH14" s="196"/>
      <c r="ATI14" s="196"/>
      <c r="ATJ14" s="196"/>
      <c r="ATK14" s="196"/>
      <c r="ATL14" s="196"/>
      <c r="ATM14" s="196"/>
      <c r="ATN14" s="196"/>
      <c r="ATO14" s="196"/>
      <c r="ATP14" s="196"/>
      <c r="ATQ14" s="196"/>
      <c r="ATR14" s="196"/>
      <c r="ATS14" s="196"/>
      <c r="ATT14" s="196"/>
      <c r="ATU14" s="196"/>
      <c r="ATV14" s="196"/>
      <c r="ATW14" s="196"/>
      <c r="ATX14" s="196"/>
      <c r="ATY14" s="196"/>
      <c r="ATZ14" s="196"/>
      <c r="AUA14" s="196"/>
      <c r="AUB14" s="196"/>
      <c r="AUC14" s="196"/>
      <c r="AUD14" s="196"/>
      <c r="AUE14" s="196"/>
      <c r="AUF14" s="196"/>
      <c r="AUG14" s="196"/>
      <c r="AUH14" s="196"/>
      <c r="AUI14" s="196"/>
      <c r="AUJ14" s="196"/>
      <c r="AUK14" s="196"/>
      <c r="AUL14" s="196"/>
      <c r="AUM14" s="196"/>
      <c r="AUN14" s="196"/>
      <c r="AUO14" s="196"/>
      <c r="AUP14" s="196"/>
      <c r="AUQ14" s="196"/>
      <c r="AUR14" s="196"/>
      <c r="AUS14" s="196"/>
      <c r="AUT14" s="196"/>
      <c r="AUU14" s="196"/>
      <c r="AUV14" s="196"/>
      <c r="AUW14" s="196"/>
      <c r="AUX14" s="196"/>
      <c r="AUY14" s="196"/>
      <c r="AUZ14" s="196"/>
      <c r="AVA14" s="196"/>
      <c r="AVB14" s="196"/>
      <c r="AVC14" s="196"/>
      <c r="AVD14" s="196"/>
      <c r="AVE14" s="196"/>
      <c r="AVF14" s="196"/>
      <c r="AVG14" s="196"/>
      <c r="AVH14" s="196"/>
      <c r="AVI14" s="196"/>
      <c r="AVJ14" s="196"/>
      <c r="AVK14" s="196"/>
      <c r="AVL14" s="196"/>
      <c r="AVM14" s="196"/>
      <c r="AVN14" s="196"/>
      <c r="AVO14" s="196"/>
      <c r="AVP14" s="196"/>
      <c r="AVQ14" s="196"/>
      <c r="AVR14" s="196"/>
      <c r="AVS14" s="196"/>
      <c r="AVT14" s="196"/>
      <c r="AVU14" s="196"/>
      <c r="AVV14" s="196"/>
      <c r="AVW14" s="196"/>
      <c r="AVX14" s="196"/>
      <c r="AVY14" s="196"/>
      <c r="AVZ14" s="196"/>
      <c r="AWA14" s="196"/>
      <c r="AWB14" s="196"/>
      <c r="AWC14" s="196"/>
      <c r="AWD14" s="196"/>
      <c r="AWE14" s="196"/>
      <c r="AWF14" s="196"/>
      <c r="AWG14" s="196"/>
      <c r="AWH14" s="196"/>
      <c r="AWI14" s="196"/>
      <c r="AWJ14" s="196"/>
      <c r="AWK14" s="196"/>
      <c r="AWL14" s="196"/>
      <c r="AWM14" s="196"/>
      <c r="AWN14" s="196"/>
      <c r="AWO14" s="196"/>
      <c r="AWP14" s="196"/>
      <c r="AWQ14" s="196"/>
      <c r="AWR14" s="196"/>
      <c r="AWS14" s="196"/>
      <c r="AWT14" s="196"/>
      <c r="AWU14" s="196"/>
      <c r="AWV14" s="196"/>
      <c r="AWW14" s="196"/>
      <c r="AWX14" s="196"/>
      <c r="AWY14" s="196"/>
      <c r="AWZ14" s="196"/>
      <c r="AXA14" s="196"/>
      <c r="AXB14" s="196"/>
      <c r="AXC14" s="196"/>
      <c r="AXD14" s="196"/>
      <c r="AXE14" s="196"/>
      <c r="AXF14" s="196"/>
      <c r="AXG14" s="196"/>
      <c r="AXH14" s="196"/>
      <c r="AXI14" s="196"/>
      <c r="AXJ14" s="196"/>
      <c r="AXK14" s="196"/>
      <c r="AXL14" s="196"/>
      <c r="AXM14" s="196"/>
      <c r="AXN14" s="196"/>
      <c r="AXO14" s="196"/>
      <c r="AXP14" s="196"/>
      <c r="AXQ14" s="196"/>
      <c r="AXR14" s="196"/>
      <c r="AXS14" s="196"/>
      <c r="AXT14" s="196"/>
      <c r="AXU14" s="196"/>
      <c r="AXV14" s="196"/>
      <c r="AXW14" s="196"/>
      <c r="AXX14" s="196"/>
      <c r="AXY14" s="196"/>
      <c r="AXZ14" s="196"/>
      <c r="AYA14" s="196"/>
      <c r="AYB14" s="196"/>
      <c r="AYC14" s="196"/>
      <c r="AYD14" s="196"/>
      <c r="AYE14" s="196"/>
      <c r="AYF14" s="196"/>
      <c r="AYG14" s="196"/>
      <c r="AYH14" s="196"/>
      <c r="AYI14" s="196"/>
      <c r="AYJ14" s="196"/>
      <c r="AYK14" s="196"/>
      <c r="AYL14" s="196"/>
      <c r="AYM14" s="196"/>
      <c r="AYN14" s="196"/>
      <c r="AYO14" s="196"/>
      <c r="AYP14" s="196"/>
      <c r="AYQ14" s="196"/>
      <c r="AYR14" s="196"/>
      <c r="AYS14" s="196"/>
      <c r="AYT14" s="196"/>
      <c r="AYU14" s="196"/>
      <c r="AYV14" s="196"/>
      <c r="AYW14" s="196"/>
      <c r="AYX14" s="196"/>
      <c r="AYY14" s="196"/>
      <c r="AYZ14" s="196"/>
      <c r="AZA14" s="196"/>
      <c r="AZB14" s="196"/>
      <c r="AZC14" s="196"/>
      <c r="AZD14" s="196"/>
      <c r="AZE14" s="196"/>
      <c r="AZF14" s="196"/>
      <c r="AZG14" s="196"/>
      <c r="AZH14" s="196"/>
      <c r="AZI14" s="196"/>
      <c r="AZJ14" s="196"/>
      <c r="AZK14" s="196"/>
      <c r="AZL14" s="196"/>
      <c r="AZM14" s="196"/>
      <c r="AZN14" s="196"/>
      <c r="AZO14" s="196"/>
      <c r="AZP14" s="196"/>
      <c r="AZQ14" s="196"/>
      <c r="AZR14" s="196"/>
      <c r="AZS14" s="196"/>
      <c r="AZT14" s="196"/>
      <c r="AZU14" s="196"/>
      <c r="AZV14" s="196"/>
      <c r="AZW14" s="196"/>
      <c r="AZX14" s="196"/>
      <c r="AZY14" s="196"/>
      <c r="AZZ14" s="196"/>
      <c r="BAA14" s="196"/>
      <c r="BAB14" s="196"/>
      <c r="BAC14" s="196"/>
      <c r="BAD14" s="196"/>
      <c r="BAE14" s="196"/>
      <c r="BAF14" s="196"/>
      <c r="BAG14" s="196"/>
      <c r="BAH14" s="196"/>
      <c r="BAI14" s="196"/>
      <c r="BAJ14" s="196"/>
      <c r="BAK14" s="196"/>
      <c r="BAL14" s="196"/>
      <c r="BAM14" s="196"/>
      <c r="BAN14" s="196"/>
      <c r="BAO14" s="196"/>
      <c r="BAP14" s="196"/>
      <c r="BAQ14" s="196"/>
      <c r="BAR14" s="196"/>
      <c r="BAS14" s="196"/>
      <c r="BAT14" s="196"/>
      <c r="BAU14" s="196"/>
      <c r="BAV14" s="196"/>
      <c r="BAW14" s="196"/>
      <c r="BAX14" s="196"/>
      <c r="BAY14" s="196"/>
      <c r="BAZ14" s="196"/>
      <c r="BBA14" s="196"/>
      <c r="BBB14" s="196"/>
      <c r="BBC14" s="196"/>
      <c r="BBD14" s="196"/>
      <c r="BBE14" s="196"/>
      <c r="BBF14" s="196"/>
      <c r="BBG14" s="196"/>
      <c r="BBH14" s="196"/>
      <c r="BBI14" s="196"/>
      <c r="BBJ14" s="196"/>
      <c r="BBK14" s="196"/>
      <c r="BBL14" s="196"/>
      <c r="BBM14" s="196"/>
      <c r="BBN14" s="196"/>
      <c r="BBO14" s="196"/>
      <c r="BBP14" s="196"/>
      <c r="BBQ14" s="196"/>
      <c r="BBR14" s="196"/>
      <c r="BBS14" s="196"/>
      <c r="BBT14" s="196"/>
      <c r="BBU14" s="196"/>
      <c r="BBV14" s="196"/>
      <c r="BBW14" s="196"/>
      <c r="BBX14" s="196"/>
      <c r="BBY14" s="196"/>
      <c r="BBZ14" s="196"/>
      <c r="BCA14" s="196"/>
      <c r="BCB14" s="196"/>
      <c r="BCC14" s="196"/>
      <c r="BCD14" s="196"/>
      <c r="BCE14" s="196"/>
      <c r="BCF14" s="196"/>
      <c r="BCG14" s="196"/>
      <c r="BCH14" s="196"/>
      <c r="BCI14" s="196"/>
      <c r="BCJ14" s="196"/>
      <c r="BCK14" s="196"/>
      <c r="BCL14" s="196"/>
      <c r="BCM14" s="196"/>
      <c r="BCN14" s="196"/>
      <c r="BCO14" s="196"/>
      <c r="BCP14" s="196"/>
      <c r="BCQ14" s="196"/>
      <c r="BCR14" s="196"/>
      <c r="BCS14" s="196"/>
      <c r="BCT14" s="196"/>
      <c r="BCU14" s="196"/>
      <c r="BCV14" s="196"/>
      <c r="BCW14" s="196"/>
      <c r="BCX14" s="196"/>
      <c r="BCY14" s="196"/>
      <c r="BCZ14" s="196"/>
      <c r="BDA14" s="196"/>
      <c r="BDB14" s="196"/>
      <c r="BDC14" s="196"/>
      <c r="BDD14" s="196"/>
      <c r="BDE14" s="196"/>
      <c r="BDF14" s="196"/>
      <c r="BDG14" s="196"/>
      <c r="BDH14" s="196"/>
      <c r="BDI14" s="196"/>
      <c r="BDJ14" s="196"/>
      <c r="BDK14" s="196"/>
      <c r="BDL14" s="196"/>
      <c r="BDM14" s="196"/>
      <c r="BDN14" s="196"/>
      <c r="BDO14" s="196"/>
      <c r="BDP14" s="196"/>
      <c r="BDQ14" s="196"/>
      <c r="BDR14" s="196"/>
      <c r="BDS14" s="196"/>
      <c r="BDT14" s="196"/>
      <c r="BDU14" s="196"/>
      <c r="BDV14" s="196"/>
      <c r="BDW14" s="196"/>
      <c r="BDX14" s="196"/>
      <c r="BDY14" s="196"/>
      <c r="BDZ14" s="196"/>
      <c r="BEA14" s="196"/>
      <c r="BEB14" s="196"/>
      <c r="BEC14" s="196"/>
      <c r="BED14" s="196"/>
      <c r="BEE14" s="196"/>
      <c r="BEF14" s="196"/>
      <c r="BEG14" s="196"/>
      <c r="BEH14" s="196"/>
      <c r="BEI14" s="196"/>
      <c r="BEJ14" s="196"/>
      <c r="BEK14" s="196"/>
      <c r="BEL14" s="196"/>
      <c r="BEM14" s="196"/>
      <c r="BEN14" s="196"/>
      <c r="BEO14" s="196"/>
      <c r="BEP14" s="196"/>
      <c r="BEQ14" s="196"/>
      <c r="BER14" s="196"/>
      <c r="BES14" s="196"/>
      <c r="BET14" s="196"/>
      <c r="BEU14" s="196"/>
      <c r="BEV14" s="196"/>
      <c r="BEW14" s="196"/>
      <c r="BEX14" s="196"/>
      <c r="BEY14" s="196"/>
      <c r="BEZ14" s="196"/>
      <c r="BFA14" s="196"/>
      <c r="BFB14" s="196"/>
      <c r="BFC14" s="196"/>
      <c r="BFD14" s="196"/>
      <c r="BFE14" s="196"/>
      <c r="BFF14" s="196"/>
      <c r="BFG14" s="196"/>
      <c r="BFH14" s="196"/>
      <c r="BFI14" s="196"/>
      <c r="BFJ14" s="196"/>
      <c r="BFK14" s="196"/>
      <c r="BFL14" s="196"/>
      <c r="BFM14" s="196"/>
      <c r="BFN14" s="196"/>
      <c r="BFO14" s="196"/>
      <c r="BFP14" s="196"/>
      <c r="BFQ14" s="196"/>
      <c r="BFR14" s="196"/>
      <c r="BFS14" s="196"/>
      <c r="BFT14" s="196"/>
      <c r="BFU14" s="196"/>
      <c r="BFV14" s="196"/>
      <c r="BFW14" s="196"/>
      <c r="BFX14" s="196"/>
      <c r="BFY14" s="196"/>
      <c r="BFZ14" s="196"/>
      <c r="BGA14" s="196"/>
      <c r="BGB14" s="196"/>
      <c r="BGC14" s="196"/>
      <c r="BGD14" s="196"/>
      <c r="BGE14" s="196"/>
      <c r="BGF14" s="196"/>
      <c r="BGG14" s="196"/>
      <c r="BGH14" s="196"/>
      <c r="BGI14" s="196"/>
      <c r="BGJ14" s="196"/>
      <c r="BGK14" s="196"/>
      <c r="BGL14" s="196"/>
      <c r="BGM14" s="196"/>
      <c r="BGN14" s="196"/>
      <c r="BGO14" s="196"/>
      <c r="BGP14" s="196"/>
      <c r="BGQ14" s="196"/>
      <c r="BGR14" s="196"/>
      <c r="BGS14" s="196"/>
      <c r="BGT14" s="196"/>
      <c r="BGU14" s="196"/>
      <c r="BGV14" s="196"/>
      <c r="BGW14" s="196"/>
      <c r="BGX14" s="196"/>
      <c r="BGY14" s="196"/>
      <c r="BGZ14" s="196"/>
      <c r="BHA14" s="196"/>
      <c r="BHB14" s="196"/>
      <c r="BHC14" s="196"/>
      <c r="BHD14" s="196"/>
      <c r="BHE14" s="196"/>
      <c r="BHF14" s="196"/>
      <c r="BHG14" s="196"/>
      <c r="BHH14" s="196"/>
      <c r="BHI14" s="196"/>
      <c r="BHJ14" s="196"/>
      <c r="BHK14" s="196"/>
      <c r="BHL14" s="196"/>
      <c r="BHM14" s="196"/>
      <c r="BHN14" s="196"/>
      <c r="BHO14" s="196"/>
      <c r="BHP14" s="196"/>
      <c r="BHQ14" s="196"/>
      <c r="BHR14" s="196"/>
      <c r="BHS14" s="196"/>
      <c r="BHT14" s="196"/>
      <c r="BHU14" s="196"/>
      <c r="BHV14" s="196"/>
      <c r="BHW14" s="196"/>
      <c r="BHX14" s="196"/>
      <c r="BHY14" s="196"/>
      <c r="BHZ14" s="196"/>
      <c r="BIA14" s="196"/>
      <c r="BIB14" s="196"/>
      <c r="BIC14" s="196"/>
      <c r="BID14" s="196"/>
      <c r="BIE14" s="196"/>
      <c r="BIF14" s="196"/>
      <c r="BIG14" s="196"/>
      <c r="BIH14" s="196"/>
      <c r="BII14" s="196"/>
      <c r="BIJ14" s="196"/>
      <c r="BIK14" s="196"/>
      <c r="BIL14" s="196"/>
      <c r="BIM14" s="196"/>
      <c r="BIN14" s="196"/>
      <c r="BIO14" s="196"/>
      <c r="BIP14" s="196"/>
      <c r="BIQ14" s="196"/>
      <c r="BIR14" s="196"/>
      <c r="BIS14" s="196"/>
      <c r="BIT14" s="196"/>
      <c r="BIU14" s="196"/>
      <c r="BIV14" s="196"/>
      <c r="BIW14" s="196"/>
      <c r="BIX14" s="196"/>
      <c r="BIY14" s="196"/>
      <c r="BIZ14" s="196"/>
      <c r="BJA14" s="196"/>
      <c r="BJB14" s="196"/>
      <c r="BJC14" s="196"/>
      <c r="BJD14" s="196"/>
      <c r="BJE14" s="196"/>
      <c r="BJF14" s="196"/>
      <c r="BJG14" s="196"/>
      <c r="BJH14" s="196"/>
      <c r="BJI14" s="196"/>
      <c r="BJJ14" s="196"/>
      <c r="BJK14" s="196"/>
      <c r="BJL14" s="196"/>
      <c r="BJM14" s="196"/>
      <c r="BJN14" s="196"/>
      <c r="BJO14" s="196"/>
      <c r="BJP14" s="196"/>
      <c r="BJQ14" s="196"/>
      <c r="BJR14" s="196"/>
      <c r="BJS14" s="196"/>
      <c r="BJT14" s="196"/>
      <c r="BJU14" s="196"/>
      <c r="BJV14" s="196"/>
      <c r="BJW14" s="196"/>
      <c r="BJX14" s="196"/>
      <c r="BJY14" s="196"/>
      <c r="BJZ14" s="196"/>
      <c r="BKA14" s="196"/>
      <c r="BKB14" s="196"/>
      <c r="BKC14" s="196"/>
      <c r="BKD14" s="196"/>
      <c r="BKE14" s="196"/>
      <c r="BKF14" s="196"/>
      <c r="BKG14" s="196"/>
      <c r="BKH14" s="196"/>
      <c r="BKI14" s="196"/>
      <c r="BKJ14" s="196"/>
      <c r="BKK14" s="196"/>
      <c r="BKL14" s="196"/>
      <c r="BKM14" s="196"/>
      <c r="BKN14" s="196"/>
      <c r="BKO14" s="196"/>
      <c r="BKP14" s="196"/>
      <c r="BKQ14" s="196"/>
      <c r="BKR14" s="196"/>
      <c r="BKS14" s="196"/>
      <c r="BKT14" s="196"/>
      <c r="BKU14" s="196"/>
      <c r="BKV14" s="196"/>
      <c r="BKW14" s="196"/>
      <c r="BKX14" s="196"/>
      <c r="BKY14" s="196"/>
      <c r="BKZ14" s="196"/>
      <c r="BLA14" s="196"/>
      <c r="BLB14" s="196"/>
      <c r="BLC14" s="196"/>
      <c r="BLD14" s="196"/>
      <c r="BLE14" s="196"/>
      <c r="BLF14" s="196"/>
      <c r="BLG14" s="196"/>
      <c r="BLH14" s="196"/>
      <c r="BLI14" s="196"/>
      <c r="BLJ14" s="196"/>
      <c r="BLK14" s="196"/>
      <c r="BLL14" s="196"/>
      <c r="BLM14" s="196"/>
      <c r="BLN14" s="196"/>
      <c r="BLO14" s="196"/>
      <c r="BLP14" s="196"/>
      <c r="BLQ14" s="196"/>
      <c r="BLR14" s="196"/>
      <c r="BLS14" s="196"/>
      <c r="BLT14" s="196"/>
      <c r="BLU14" s="196"/>
      <c r="BLV14" s="196"/>
      <c r="BLW14" s="196"/>
      <c r="BLX14" s="196"/>
      <c r="BLY14" s="196"/>
      <c r="BLZ14" s="196"/>
      <c r="BMA14" s="196"/>
      <c r="BMB14" s="196"/>
      <c r="BMC14" s="196"/>
      <c r="BMD14" s="196"/>
      <c r="BME14" s="196"/>
      <c r="BMF14" s="196"/>
      <c r="BMG14" s="196"/>
      <c r="BMH14" s="196"/>
      <c r="BMI14" s="196"/>
      <c r="BMJ14" s="196"/>
      <c r="BMK14" s="196"/>
      <c r="BML14" s="196"/>
      <c r="BMM14" s="196"/>
      <c r="BMN14" s="196"/>
      <c r="BMO14" s="196"/>
      <c r="BMP14" s="196"/>
      <c r="BMQ14" s="196"/>
      <c r="BMR14" s="196"/>
      <c r="BMS14" s="196"/>
      <c r="BMT14" s="196"/>
      <c r="BMU14" s="196"/>
      <c r="BMV14" s="196"/>
      <c r="BMW14" s="196"/>
      <c r="BMX14" s="196"/>
      <c r="BMY14" s="196"/>
      <c r="BMZ14" s="196"/>
      <c r="BNA14" s="196"/>
      <c r="BNB14" s="196"/>
      <c r="BNC14" s="196"/>
      <c r="BND14" s="196"/>
      <c r="BNE14" s="196"/>
      <c r="BNF14" s="196"/>
      <c r="BNG14" s="196"/>
      <c r="BNH14" s="196"/>
      <c r="BNI14" s="196"/>
      <c r="BNJ14" s="196"/>
      <c r="BNK14" s="196"/>
      <c r="BNL14" s="196"/>
      <c r="BNM14" s="196"/>
      <c r="BNN14" s="196"/>
      <c r="BNO14" s="196"/>
      <c r="BNP14" s="196"/>
      <c r="BNQ14" s="196"/>
      <c r="BNR14" s="196"/>
      <c r="BNS14" s="196"/>
      <c r="BNT14" s="196"/>
      <c r="BNU14" s="196"/>
      <c r="BNV14" s="196"/>
      <c r="BNW14" s="196"/>
      <c r="BNX14" s="196"/>
      <c r="BNY14" s="196"/>
      <c r="BNZ14" s="196"/>
      <c r="BOA14" s="196"/>
      <c r="BOB14" s="196"/>
      <c r="BOC14" s="196"/>
      <c r="BOD14" s="196"/>
      <c r="BOE14" s="196"/>
      <c r="BOF14" s="196"/>
      <c r="BOG14" s="196"/>
      <c r="BOH14" s="196"/>
      <c r="BOI14" s="196"/>
      <c r="BOJ14" s="196"/>
      <c r="BOK14" s="196"/>
      <c r="BOL14" s="196"/>
      <c r="BOM14" s="196"/>
      <c r="BON14" s="196"/>
      <c r="BOO14" s="196"/>
      <c r="BOP14" s="196"/>
      <c r="BOQ14" s="196"/>
      <c r="BOR14" s="196"/>
      <c r="BOS14" s="196"/>
      <c r="BOT14" s="196"/>
      <c r="BOU14" s="196"/>
      <c r="BOV14" s="196"/>
      <c r="BOW14" s="196"/>
      <c r="BOX14" s="196"/>
      <c r="BOY14" s="196"/>
      <c r="BOZ14" s="196"/>
      <c r="BPA14" s="196"/>
      <c r="BPB14" s="196"/>
      <c r="BPC14" s="196"/>
      <c r="BPD14" s="196"/>
      <c r="BPE14" s="196"/>
      <c r="BPF14" s="196"/>
      <c r="BPG14" s="196"/>
      <c r="BPH14" s="196"/>
      <c r="BPI14" s="196"/>
      <c r="BPJ14" s="196"/>
      <c r="BPK14" s="196"/>
      <c r="BPL14" s="196"/>
      <c r="BPM14" s="196"/>
      <c r="BPN14" s="196"/>
      <c r="BPO14" s="196"/>
      <c r="BPP14" s="196"/>
      <c r="BPQ14" s="196"/>
      <c r="BPR14" s="196"/>
      <c r="BPS14" s="196"/>
      <c r="BPT14" s="196"/>
      <c r="BPU14" s="196"/>
      <c r="BPV14" s="196"/>
      <c r="BPW14" s="196"/>
      <c r="BPX14" s="196"/>
      <c r="BPY14" s="196"/>
      <c r="BPZ14" s="196"/>
      <c r="BQA14" s="196"/>
      <c r="BQB14" s="196"/>
      <c r="BQC14" s="196"/>
      <c r="BQD14" s="196"/>
      <c r="BQE14" s="196"/>
      <c r="BQF14" s="196"/>
      <c r="BQG14" s="196"/>
      <c r="BQH14" s="196"/>
      <c r="BQI14" s="196"/>
      <c r="BQJ14" s="196"/>
      <c r="BQK14" s="196"/>
      <c r="BQL14" s="196"/>
      <c r="BQM14" s="196"/>
      <c r="BQN14" s="196"/>
      <c r="BQO14" s="196"/>
      <c r="BQP14" s="196"/>
      <c r="BQQ14" s="196"/>
      <c r="BQR14" s="196"/>
      <c r="BQS14" s="196"/>
      <c r="BQT14" s="196"/>
      <c r="BQU14" s="196"/>
      <c r="BQV14" s="196"/>
      <c r="BQW14" s="196"/>
      <c r="BQX14" s="196"/>
      <c r="BQY14" s="196"/>
      <c r="BQZ14" s="196"/>
      <c r="BRA14" s="196"/>
      <c r="BRB14" s="196"/>
      <c r="BRC14" s="196"/>
      <c r="BRD14" s="196"/>
      <c r="BRE14" s="196"/>
      <c r="BRF14" s="196"/>
      <c r="BRG14" s="196"/>
      <c r="BRH14" s="196"/>
      <c r="BRI14" s="196"/>
      <c r="BRJ14" s="196"/>
      <c r="BRK14" s="196"/>
      <c r="BRL14" s="196"/>
      <c r="BRM14" s="196"/>
      <c r="BRN14" s="196"/>
      <c r="BRO14" s="196"/>
      <c r="BRP14" s="196"/>
      <c r="BRQ14" s="196"/>
      <c r="BRR14" s="196"/>
      <c r="BRS14" s="196"/>
      <c r="BRT14" s="196"/>
      <c r="BRU14" s="196"/>
      <c r="BRV14" s="196"/>
      <c r="BRW14" s="196"/>
      <c r="BRX14" s="196"/>
      <c r="BRY14" s="196"/>
      <c r="BRZ14" s="196"/>
      <c r="BSA14" s="196"/>
      <c r="BSB14" s="196"/>
      <c r="BSC14" s="196"/>
      <c r="BSD14" s="196"/>
      <c r="BSE14" s="196"/>
      <c r="BSF14" s="196"/>
      <c r="BSG14" s="196"/>
      <c r="BSH14" s="196"/>
      <c r="BSI14" s="196"/>
      <c r="BSJ14" s="196"/>
      <c r="BSK14" s="196"/>
      <c r="BSL14" s="196"/>
      <c r="BSM14" s="196"/>
      <c r="BSN14" s="196"/>
      <c r="BSO14" s="196"/>
      <c r="BSP14" s="196"/>
      <c r="BSQ14" s="196"/>
      <c r="BSR14" s="196"/>
      <c r="BSS14" s="196"/>
      <c r="BST14" s="196"/>
      <c r="BSU14" s="196"/>
      <c r="BSV14" s="196"/>
      <c r="BSW14" s="196"/>
      <c r="BSX14" s="196"/>
      <c r="BSY14" s="196"/>
      <c r="BSZ14" s="196"/>
      <c r="BTA14" s="196"/>
      <c r="BTB14" s="196"/>
      <c r="BTC14" s="196"/>
      <c r="BTD14" s="196"/>
      <c r="BTE14" s="196"/>
      <c r="BTF14" s="196"/>
      <c r="BTG14" s="196"/>
      <c r="BTH14" s="196"/>
      <c r="BTI14" s="196"/>
      <c r="BTJ14" s="196"/>
      <c r="BTK14" s="196"/>
      <c r="BTL14" s="196"/>
      <c r="BTM14" s="196"/>
      <c r="BTN14" s="196"/>
      <c r="BTO14" s="196"/>
      <c r="BTP14" s="196"/>
      <c r="BTQ14" s="196"/>
      <c r="BTR14" s="196"/>
      <c r="BTS14" s="196"/>
      <c r="BTT14" s="196"/>
      <c r="BTU14" s="196"/>
      <c r="BTV14" s="196"/>
      <c r="BTW14" s="196"/>
      <c r="BTX14" s="196"/>
      <c r="BTY14" s="196"/>
      <c r="BTZ14" s="196"/>
      <c r="BUA14" s="196"/>
      <c r="BUB14" s="196"/>
      <c r="BUC14" s="196"/>
      <c r="BUD14" s="196"/>
      <c r="BUE14" s="196"/>
      <c r="BUF14" s="196"/>
      <c r="BUG14" s="196"/>
      <c r="BUH14" s="196"/>
      <c r="BUI14" s="196"/>
      <c r="BUJ14" s="196"/>
      <c r="BUK14" s="196"/>
      <c r="BUL14" s="196"/>
      <c r="BUM14" s="196"/>
      <c r="BUN14" s="196"/>
      <c r="BUO14" s="196"/>
      <c r="BUP14" s="196"/>
      <c r="BUQ14" s="196"/>
      <c r="BUR14" s="196"/>
      <c r="BUS14" s="196"/>
      <c r="BUT14" s="196"/>
      <c r="BUU14" s="196"/>
      <c r="BUV14" s="196"/>
      <c r="BUW14" s="196"/>
      <c r="BUX14" s="196"/>
      <c r="BUY14" s="196"/>
      <c r="BUZ14" s="196"/>
      <c r="BVA14" s="196"/>
      <c r="BVB14" s="196"/>
      <c r="BVC14" s="196"/>
      <c r="BVD14" s="196"/>
      <c r="BVE14" s="196"/>
      <c r="BVF14" s="196"/>
      <c r="BVG14" s="196"/>
      <c r="BVH14" s="196"/>
      <c r="BVI14" s="196"/>
      <c r="BVJ14" s="196"/>
      <c r="BVK14" s="196"/>
      <c r="BVL14" s="196"/>
      <c r="BVM14" s="196"/>
      <c r="BVN14" s="196"/>
      <c r="BVO14" s="196"/>
      <c r="BVP14" s="196"/>
      <c r="BVQ14" s="196"/>
      <c r="BVR14" s="196"/>
      <c r="BVS14" s="196"/>
      <c r="BVT14" s="196"/>
      <c r="BVU14" s="196"/>
      <c r="BVV14" s="196"/>
      <c r="BVW14" s="196"/>
      <c r="BVX14" s="196"/>
      <c r="BVY14" s="196"/>
      <c r="BVZ14" s="196"/>
      <c r="BWA14" s="196"/>
      <c r="BWB14" s="196"/>
      <c r="BWC14" s="196"/>
      <c r="BWD14" s="196"/>
      <c r="BWE14" s="196"/>
      <c r="BWF14" s="196"/>
      <c r="BWG14" s="196"/>
      <c r="BWH14" s="196"/>
      <c r="BWI14" s="196"/>
      <c r="BWJ14" s="196"/>
      <c r="BWK14" s="196"/>
      <c r="BWL14" s="196"/>
      <c r="BWM14" s="196"/>
      <c r="BWN14" s="196"/>
      <c r="BWO14" s="196"/>
      <c r="BWP14" s="196"/>
      <c r="BWQ14" s="196"/>
      <c r="BWR14" s="196"/>
      <c r="BWS14" s="196"/>
      <c r="BWT14" s="196"/>
      <c r="BWU14" s="196"/>
      <c r="BWV14" s="196"/>
      <c r="BWW14" s="196"/>
      <c r="BWX14" s="196"/>
      <c r="BWY14" s="196"/>
      <c r="BWZ14" s="196"/>
      <c r="BXA14" s="196"/>
      <c r="BXB14" s="196"/>
      <c r="BXC14" s="196"/>
      <c r="BXD14" s="196"/>
      <c r="BXE14" s="196"/>
      <c r="BXF14" s="196"/>
      <c r="BXG14" s="196"/>
      <c r="BXH14" s="196"/>
      <c r="BXI14" s="196"/>
      <c r="BXJ14" s="196"/>
      <c r="BXK14" s="196"/>
      <c r="BXL14" s="196"/>
      <c r="BXM14" s="196"/>
      <c r="BXN14" s="196"/>
      <c r="BXO14" s="196"/>
      <c r="BXP14" s="196"/>
      <c r="BXQ14" s="196"/>
      <c r="BXR14" s="196"/>
      <c r="BXS14" s="196"/>
      <c r="BXT14" s="196"/>
      <c r="BXU14" s="196"/>
      <c r="BXV14" s="196"/>
      <c r="BXW14" s="196"/>
      <c r="BXX14" s="196"/>
      <c r="BXY14" s="196"/>
      <c r="BXZ14" s="196"/>
      <c r="BYA14" s="196"/>
      <c r="BYB14" s="196"/>
      <c r="BYC14" s="196"/>
      <c r="BYD14" s="196"/>
      <c r="BYE14" s="196"/>
      <c r="BYF14" s="196"/>
      <c r="BYG14" s="196"/>
    </row>
    <row r="15" spans="1:2009" s="100" customFormat="1" ht="12.75" customHeight="1" thickBot="1" x14ac:dyDescent="0.3">
      <c r="A15" s="97"/>
      <c r="B15" s="97"/>
      <c r="C15" s="169"/>
      <c r="D15" s="169"/>
      <c r="E15" s="169"/>
      <c r="F15" s="169"/>
      <c r="G15" s="631"/>
      <c r="H15" s="98"/>
      <c r="I15" s="722"/>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67</v>
      </c>
      <c r="B16" s="134"/>
      <c r="C16" s="171"/>
      <c r="D16" s="171"/>
      <c r="E16" s="172"/>
      <c r="F16" s="172"/>
      <c r="G16" s="632"/>
      <c r="H16" s="93"/>
      <c r="I16" s="544"/>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197</v>
      </c>
      <c r="C17" s="173"/>
      <c r="D17" s="173"/>
      <c r="E17" s="174"/>
      <c r="F17" s="174"/>
      <c r="G17" s="633">
        <f t="shared" ref="G17:G20" si="0">ROUND(SUM(C17:F17),5)</f>
        <v>0</v>
      </c>
      <c r="H17" s="93"/>
      <c r="I17" s="544"/>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266</v>
      </c>
      <c r="C18" s="173"/>
      <c r="D18" s="173"/>
      <c r="E18" s="174"/>
      <c r="F18" s="174"/>
      <c r="G18" s="633">
        <f t="shared" si="0"/>
        <v>0</v>
      </c>
      <c r="H18" s="93"/>
      <c r="I18" s="544"/>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307</v>
      </c>
      <c r="C19" s="173"/>
      <c r="D19" s="173"/>
      <c r="E19" s="174"/>
      <c r="F19" s="174"/>
      <c r="G19" s="633"/>
      <c r="H19" s="93"/>
      <c r="I19" s="544"/>
      <c r="J19" s="93"/>
      <c r="K19" s="584"/>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267</v>
      </c>
      <c r="C20" s="173"/>
      <c r="D20" s="173"/>
      <c r="E20" s="174"/>
      <c r="F20" s="174"/>
      <c r="G20" s="633">
        <f t="shared" si="0"/>
        <v>0</v>
      </c>
      <c r="H20" s="93"/>
      <c r="I20" s="544"/>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308</v>
      </c>
      <c r="C21" s="173"/>
      <c r="D21" s="173"/>
      <c r="E21" s="174"/>
      <c r="F21" s="174"/>
      <c r="G21" s="633"/>
      <c r="H21" s="93"/>
      <c r="I21" s="544"/>
      <c r="J21" s="93"/>
      <c r="K21" s="584"/>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312</v>
      </c>
      <c r="C22" s="173"/>
      <c r="D22" s="173"/>
      <c r="E22" s="174"/>
      <c r="F22" s="174"/>
      <c r="G22" s="633"/>
      <c r="H22" s="98"/>
      <c r="I22" s="722"/>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7" customFormat="1" ht="24.95" hidden="1" customHeight="1" thickBot="1" x14ac:dyDescent="0.3">
      <c r="A23" s="202"/>
      <c r="B23" s="203" t="s">
        <v>68</v>
      </c>
      <c r="C23" s="204"/>
      <c r="D23" s="204"/>
      <c r="E23" s="204"/>
      <c r="F23" s="204"/>
      <c r="G23" s="634"/>
      <c r="H23" s="205"/>
      <c r="I23" s="722"/>
      <c r="J23" s="205"/>
      <c r="K23" s="416"/>
      <c r="L23"/>
      <c r="M23"/>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c r="IW23" s="206"/>
      <c r="IX23" s="206"/>
      <c r="IY23" s="206"/>
      <c r="IZ23" s="206"/>
      <c r="JA23" s="206"/>
      <c r="JB23" s="206"/>
      <c r="JC23" s="206"/>
      <c r="JD23" s="206"/>
      <c r="JE23" s="206"/>
      <c r="JF23" s="206"/>
      <c r="JG23" s="206"/>
      <c r="JH23" s="206"/>
      <c r="JI23" s="206"/>
      <c r="JJ23" s="206"/>
      <c r="JK23" s="206"/>
      <c r="JL23" s="206"/>
      <c r="JM23" s="206"/>
      <c r="JN23" s="206"/>
      <c r="JO23" s="206"/>
      <c r="JP23" s="206"/>
      <c r="JQ23" s="206"/>
      <c r="JR23" s="206"/>
      <c r="JS23" s="206"/>
      <c r="JT23" s="206"/>
      <c r="JU23" s="206"/>
      <c r="JV23" s="206"/>
      <c r="JW23" s="206"/>
      <c r="JX23" s="206"/>
      <c r="JY23" s="206"/>
      <c r="JZ23" s="206"/>
      <c r="KA23" s="206"/>
      <c r="KB23" s="206"/>
      <c r="KC23" s="206"/>
      <c r="KD23" s="206"/>
      <c r="KE23" s="206"/>
      <c r="KF23" s="206"/>
      <c r="KG23" s="206"/>
      <c r="KH23" s="206"/>
      <c r="KI23" s="206"/>
      <c r="KJ23" s="206"/>
      <c r="KK23" s="206"/>
      <c r="KL23" s="206"/>
      <c r="KM23" s="206"/>
      <c r="KN23" s="206"/>
      <c r="KO23" s="206"/>
      <c r="KP23" s="206"/>
      <c r="KQ23" s="206"/>
      <c r="KR23" s="206"/>
      <c r="KS23" s="206"/>
      <c r="KT23" s="206"/>
      <c r="KU23" s="206"/>
      <c r="KV23" s="206"/>
      <c r="KW23" s="206"/>
      <c r="KX23" s="206"/>
      <c r="KY23" s="206"/>
      <c r="KZ23" s="206"/>
      <c r="LA23" s="206"/>
      <c r="LB23" s="206"/>
      <c r="LC23" s="206"/>
      <c r="LD23" s="206"/>
      <c r="LE23" s="206"/>
      <c r="LF23" s="206"/>
      <c r="LG23" s="206"/>
      <c r="LH23" s="206"/>
      <c r="LI23" s="206"/>
      <c r="LJ23" s="206"/>
      <c r="LK23" s="206"/>
      <c r="LL23" s="206"/>
      <c r="LM23" s="206"/>
      <c r="LN23" s="206"/>
      <c r="LO23" s="206"/>
      <c r="LP23" s="206"/>
      <c r="LQ23" s="206"/>
      <c r="LR23" s="206"/>
      <c r="LS23" s="206"/>
      <c r="LT23" s="206"/>
      <c r="LU23" s="206"/>
      <c r="LV23" s="206"/>
      <c r="LW23" s="206"/>
      <c r="LX23" s="206"/>
      <c r="LY23" s="206"/>
      <c r="LZ23" s="206"/>
      <c r="MA23" s="206"/>
      <c r="MB23" s="206"/>
      <c r="MC23" s="206"/>
      <c r="MD23" s="206"/>
      <c r="ME23" s="206"/>
      <c r="MF23" s="206"/>
      <c r="MG23" s="206"/>
      <c r="MH23" s="206"/>
      <c r="MI23" s="206"/>
      <c r="MJ23" s="206"/>
      <c r="MK23" s="206"/>
      <c r="ML23" s="206"/>
      <c r="MM23" s="206"/>
      <c r="MN23" s="206"/>
      <c r="MO23" s="206"/>
      <c r="MP23" s="206"/>
      <c r="MQ23" s="206"/>
      <c r="MR23" s="206"/>
      <c r="MS23" s="206"/>
      <c r="MT23" s="206"/>
      <c r="MU23" s="206"/>
      <c r="MV23" s="206"/>
      <c r="MW23" s="206"/>
      <c r="MX23" s="206"/>
      <c r="MY23" s="206"/>
      <c r="MZ23" s="206"/>
      <c r="NA23" s="206"/>
      <c r="NB23" s="206"/>
      <c r="NC23" s="206"/>
      <c r="ND23" s="206"/>
      <c r="NE23" s="206"/>
      <c r="NF23" s="206"/>
      <c r="NG23" s="206"/>
      <c r="NH23" s="206"/>
      <c r="NI23" s="206"/>
      <c r="NJ23" s="206"/>
      <c r="NK23" s="206"/>
      <c r="NL23" s="206"/>
      <c r="NM23" s="206"/>
      <c r="NN23" s="206"/>
      <c r="NO23" s="206"/>
      <c r="NP23" s="206"/>
      <c r="NQ23" s="206"/>
      <c r="NR23" s="206"/>
      <c r="NS23" s="206"/>
      <c r="NT23" s="206"/>
      <c r="NU23" s="206"/>
      <c r="NV23" s="206"/>
      <c r="NW23" s="206"/>
      <c r="NX23" s="206"/>
      <c r="NY23" s="206"/>
      <c r="NZ23" s="206"/>
      <c r="OA23" s="206"/>
      <c r="OB23" s="206"/>
      <c r="OC23" s="206"/>
      <c r="OD23" s="206"/>
      <c r="OE23" s="206"/>
      <c r="OF23" s="206"/>
      <c r="OG23" s="206"/>
      <c r="OH23" s="206"/>
      <c r="OI23" s="206"/>
      <c r="OJ23" s="206"/>
      <c r="OK23" s="206"/>
      <c r="OL23" s="206"/>
      <c r="OM23" s="206"/>
      <c r="ON23" s="206"/>
      <c r="OO23" s="206"/>
      <c r="OP23" s="206"/>
      <c r="OQ23" s="206"/>
      <c r="OR23" s="206"/>
      <c r="OS23" s="206"/>
      <c r="OT23" s="206"/>
      <c r="OU23" s="206"/>
      <c r="OV23" s="206"/>
      <c r="OW23" s="206"/>
      <c r="OX23" s="206"/>
      <c r="OY23" s="206"/>
      <c r="OZ23" s="206"/>
      <c r="PA23" s="206"/>
      <c r="PB23" s="206"/>
      <c r="PC23" s="206"/>
      <c r="PD23" s="206"/>
      <c r="PE23" s="206"/>
      <c r="PF23" s="206"/>
      <c r="PG23" s="206"/>
      <c r="PH23" s="206"/>
      <c r="PI23" s="206"/>
      <c r="PJ23" s="206"/>
      <c r="PK23" s="206"/>
      <c r="PL23" s="206"/>
      <c r="PM23" s="206"/>
      <c r="PN23" s="206"/>
      <c r="PO23" s="206"/>
      <c r="PP23" s="206"/>
      <c r="PQ23" s="206"/>
      <c r="PR23" s="206"/>
      <c r="PS23" s="206"/>
      <c r="PT23" s="206"/>
      <c r="PU23" s="206"/>
      <c r="PV23" s="206"/>
      <c r="PW23" s="206"/>
      <c r="PX23" s="206"/>
      <c r="PY23" s="206"/>
      <c r="PZ23" s="206"/>
      <c r="QA23" s="206"/>
      <c r="QB23" s="206"/>
      <c r="QC23" s="206"/>
      <c r="QD23" s="206"/>
      <c r="QE23" s="206"/>
      <c r="QF23" s="206"/>
      <c r="QG23" s="206"/>
      <c r="QH23" s="206"/>
      <c r="QI23" s="206"/>
      <c r="QJ23" s="206"/>
      <c r="QK23" s="206"/>
      <c r="QL23" s="206"/>
      <c r="QM23" s="206"/>
      <c r="QN23" s="206"/>
      <c r="QO23" s="206"/>
      <c r="QP23" s="206"/>
      <c r="QQ23" s="206"/>
      <c r="QR23" s="206"/>
      <c r="QS23" s="206"/>
      <c r="QT23" s="206"/>
      <c r="QU23" s="206"/>
      <c r="QV23" s="206"/>
      <c r="QW23" s="206"/>
      <c r="QX23" s="206"/>
      <c r="QY23" s="206"/>
      <c r="QZ23" s="206"/>
      <c r="RA23" s="206"/>
      <c r="RB23" s="206"/>
      <c r="RC23" s="206"/>
      <c r="RD23" s="206"/>
      <c r="RE23" s="206"/>
      <c r="RF23" s="206"/>
      <c r="RG23" s="206"/>
      <c r="RH23" s="206"/>
      <c r="RI23" s="206"/>
      <c r="RJ23" s="206"/>
      <c r="RK23" s="206"/>
      <c r="RL23" s="206"/>
      <c r="RM23" s="206"/>
      <c r="RN23" s="206"/>
      <c r="RO23" s="206"/>
      <c r="RP23" s="206"/>
      <c r="RQ23" s="206"/>
      <c r="RR23" s="206"/>
      <c r="RS23" s="206"/>
      <c r="RT23" s="206"/>
      <c r="RU23" s="206"/>
      <c r="RV23" s="206"/>
      <c r="RW23" s="206"/>
      <c r="RX23" s="206"/>
      <c r="RY23" s="206"/>
      <c r="RZ23" s="206"/>
      <c r="SA23" s="206"/>
      <c r="SB23" s="206"/>
      <c r="SC23" s="206"/>
      <c r="SD23" s="206"/>
      <c r="SE23" s="206"/>
      <c r="SF23" s="206"/>
      <c r="SG23" s="206"/>
      <c r="SH23" s="206"/>
      <c r="SI23" s="206"/>
      <c r="SJ23" s="206"/>
      <c r="SK23" s="206"/>
      <c r="SL23" s="206"/>
      <c r="SM23" s="206"/>
      <c r="SN23" s="206"/>
      <c r="SO23" s="206"/>
      <c r="SP23" s="206"/>
      <c r="SQ23" s="206"/>
      <c r="SR23" s="206"/>
      <c r="SS23" s="206"/>
      <c r="ST23" s="206"/>
      <c r="SU23" s="206"/>
      <c r="SV23" s="206"/>
      <c r="SW23" s="206"/>
      <c r="SX23" s="206"/>
      <c r="SY23" s="206"/>
      <c r="SZ23" s="206"/>
      <c r="TA23" s="206"/>
      <c r="TB23" s="206"/>
      <c r="TC23" s="206"/>
      <c r="TD23" s="206"/>
      <c r="TE23" s="206"/>
      <c r="TF23" s="206"/>
      <c r="TG23" s="206"/>
      <c r="TH23" s="206"/>
      <c r="TI23" s="206"/>
      <c r="TJ23" s="206"/>
      <c r="TK23" s="206"/>
      <c r="TL23" s="206"/>
      <c r="TM23" s="206"/>
      <c r="TN23" s="206"/>
      <c r="TO23" s="206"/>
      <c r="TP23" s="206"/>
      <c r="TQ23" s="206"/>
      <c r="TR23" s="206"/>
      <c r="TS23" s="206"/>
      <c r="TT23" s="206"/>
      <c r="TU23" s="206"/>
      <c r="TV23" s="206"/>
      <c r="TW23" s="206"/>
      <c r="TX23" s="206"/>
      <c r="TY23" s="206"/>
      <c r="TZ23" s="206"/>
      <c r="UA23" s="206"/>
      <c r="UB23" s="206"/>
      <c r="UC23" s="206"/>
      <c r="UD23" s="206"/>
      <c r="UE23" s="206"/>
      <c r="UF23" s="206"/>
      <c r="UG23" s="206"/>
      <c r="UH23" s="206"/>
      <c r="UI23" s="206"/>
      <c r="UJ23" s="206"/>
      <c r="UK23" s="206"/>
      <c r="UL23" s="206"/>
      <c r="UM23" s="206"/>
      <c r="UN23" s="206"/>
      <c r="UO23" s="206"/>
      <c r="UP23" s="206"/>
      <c r="UQ23" s="206"/>
      <c r="UR23" s="206"/>
      <c r="US23" s="206"/>
      <c r="UT23" s="206"/>
      <c r="UU23" s="206"/>
      <c r="UV23" s="206"/>
      <c r="UW23" s="206"/>
      <c r="UX23" s="206"/>
      <c r="UY23" s="206"/>
      <c r="UZ23" s="206"/>
      <c r="VA23" s="206"/>
      <c r="VB23" s="206"/>
      <c r="VC23" s="206"/>
      <c r="VD23" s="206"/>
      <c r="VE23" s="206"/>
      <c r="VF23" s="206"/>
      <c r="VG23" s="206"/>
      <c r="VH23" s="206"/>
      <c r="VI23" s="206"/>
      <c r="VJ23" s="206"/>
      <c r="VK23" s="206"/>
      <c r="VL23" s="206"/>
      <c r="VM23" s="206"/>
      <c r="VN23" s="206"/>
      <c r="VO23" s="206"/>
      <c r="VP23" s="206"/>
      <c r="VQ23" s="206"/>
      <c r="VR23" s="206"/>
      <c r="VS23" s="206"/>
      <c r="VT23" s="206"/>
      <c r="VU23" s="206"/>
      <c r="VV23" s="206"/>
      <c r="VW23" s="206"/>
      <c r="VX23" s="206"/>
      <c r="VY23" s="206"/>
      <c r="VZ23" s="206"/>
      <c r="WA23" s="206"/>
      <c r="WB23" s="206"/>
      <c r="WC23" s="206"/>
      <c r="WD23" s="206"/>
      <c r="WE23" s="206"/>
      <c r="WF23" s="206"/>
      <c r="WG23" s="206"/>
      <c r="WH23" s="206"/>
      <c r="WI23" s="206"/>
      <c r="WJ23" s="206"/>
      <c r="WK23" s="206"/>
      <c r="WL23" s="206"/>
      <c r="WM23" s="206"/>
      <c r="WN23" s="206"/>
      <c r="WO23" s="206"/>
      <c r="WP23" s="206"/>
      <c r="WQ23" s="206"/>
      <c r="WR23" s="206"/>
      <c r="WS23" s="206"/>
      <c r="WT23" s="206"/>
      <c r="WU23" s="206"/>
      <c r="WV23" s="206"/>
      <c r="WW23" s="206"/>
      <c r="WX23" s="206"/>
      <c r="WY23" s="206"/>
      <c r="WZ23" s="206"/>
      <c r="XA23" s="206"/>
      <c r="XB23" s="206"/>
      <c r="XC23" s="206"/>
      <c r="XD23" s="206"/>
      <c r="XE23" s="206"/>
      <c r="XF23" s="206"/>
      <c r="XG23" s="206"/>
      <c r="XH23" s="206"/>
      <c r="XI23" s="206"/>
      <c r="XJ23" s="206"/>
      <c r="XK23" s="206"/>
      <c r="XL23" s="206"/>
      <c r="XM23" s="206"/>
      <c r="XN23" s="206"/>
      <c r="XO23" s="206"/>
      <c r="XP23" s="206"/>
      <c r="XQ23" s="206"/>
      <c r="XR23" s="206"/>
      <c r="XS23" s="206"/>
      <c r="XT23" s="206"/>
      <c r="XU23" s="206"/>
      <c r="XV23" s="206"/>
      <c r="XW23" s="206"/>
      <c r="XX23" s="206"/>
      <c r="XY23" s="206"/>
      <c r="XZ23" s="206"/>
      <c r="YA23" s="206"/>
      <c r="YB23" s="206"/>
      <c r="YC23" s="206"/>
      <c r="YD23" s="206"/>
      <c r="YE23" s="206"/>
      <c r="YF23" s="206"/>
      <c r="YG23" s="206"/>
      <c r="YH23" s="206"/>
      <c r="YI23" s="206"/>
      <c r="YJ23" s="206"/>
      <c r="YK23" s="206"/>
      <c r="YL23" s="206"/>
      <c r="YM23" s="206"/>
      <c r="YN23" s="206"/>
      <c r="YO23" s="206"/>
      <c r="YP23" s="206"/>
      <c r="YQ23" s="206"/>
      <c r="YR23" s="206"/>
      <c r="YS23" s="206"/>
      <c r="YT23" s="206"/>
      <c r="YU23" s="206"/>
      <c r="YV23" s="206"/>
      <c r="YW23" s="206"/>
      <c r="YX23" s="206"/>
      <c r="YY23" s="206"/>
      <c r="YZ23" s="206"/>
      <c r="ZA23" s="206"/>
      <c r="ZB23" s="206"/>
      <c r="ZC23" s="206"/>
      <c r="ZD23" s="206"/>
      <c r="ZE23" s="206"/>
      <c r="ZF23" s="206"/>
      <c r="ZG23" s="206"/>
      <c r="ZH23" s="206"/>
      <c r="ZI23" s="206"/>
      <c r="ZJ23" s="206"/>
      <c r="ZK23" s="206"/>
      <c r="ZL23" s="206"/>
      <c r="ZM23" s="206"/>
      <c r="ZN23" s="206"/>
      <c r="ZO23" s="206"/>
      <c r="ZP23" s="206"/>
      <c r="ZQ23" s="206"/>
      <c r="ZR23" s="206"/>
      <c r="ZS23" s="206"/>
      <c r="ZT23" s="206"/>
      <c r="ZU23" s="206"/>
      <c r="ZV23" s="206"/>
      <c r="ZW23" s="206"/>
      <c r="ZX23" s="206"/>
      <c r="ZY23" s="206"/>
      <c r="ZZ23" s="206"/>
      <c r="AAA23" s="206"/>
      <c r="AAB23" s="206"/>
      <c r="AAC23" s="206"/>
      <c r="AAD23" s="206"/>
      <c r="AAE23" s="206"/>
      <c r="AAF23" s="206"/>
      <c r="AAG23" s="206"/>
      <c r="AAH23" s="206"/>
      <c r="AAI23" s="206"/>
      <c r="AAJ23" s="206"/>
      <c r="AAK23" s="206"/>
      <c r="AAL23" s="206"/>
      <c r="AAM23" s="206"/>
      <c r="AAN23" s="206"/>
      <c r="AAO23" s="206"/>
      <c r="AAP23" s="206"/>
      <c r="AAQ23" s="206"/>
      <c r="AAR23" s="206"/>
      <c r="AAS23" s="206"/>
      <c r="AAT23" s="206"/>
      <c r="AAU23" s="206"/>
      <c r="AAV23" s="206"/>
      <c r="AAW23" s="206"/>
      <c r="AAX23" s="206"/>
      <c r="AAY23" s="206"/>
      <c r="AAZ23" s="206"/>
      <c r="ABA23" s="206"/>
      <c r="ABB23" s="206"/>
      <c r="ABC23" s="206"/>
      <c r="ABD23" s="206"/>
      <c r="ABE23" s="206"/>
      <c r="ABF23" s="206"/>
      <c r="ABG23" s="206"/>
      <c r="ABH23" s="206"/>
      <c r="ABI23" s="206"/>
      <c r="ABJ23" s="206"/>
      <c r="ABK23" s="206"/>
      <c r="ABL23" s="206"/>
      <c r="ABM23" s="206"/>
      <c r="ABN23" s="206"/>
      <c r="ABO23" s="206"/>
      <c r="ABP23" s="206"/>
      <c r="ABQ23" s="206"/>
      <c r="ABR23" s="206"/>
      <c r="ABS23" s="206"/>
      <c r="ABT23" s="206"/>
      <c r="ABU23" s="206"/>
      <c r="ABV23" s="206"/>
      <c r="ABW23" s="206"/>
      <c r="ABX23" s="206"/>
      <c r="ABY23" s="206"/>
      <c r="ABZ23" s="206"/>
      <c r="ACA23" s="206"/>
      <c r="ACB23" s="206"/>
      <c r="ACC23" s="206"/>
      <c r="ACD23" s="206"/>
      <c r="ACE23" s="206"/>
      <c r="ACF23" s="206"/>
      <c r="ACG23" s="206"/>
      <c r="ACH23" s="206"/>
      <c r="ACI23" s="206"/>
      <c r="ACJ23" s="206"/>
      <c r="ACK23" s="206"/>
      <c r="ACL23" s="206"/>
      <c r="ACM23" s="206"/>
      <c r="ACN23" s="206"/>
      <c r="ACO23" s="206"/>
      <c r="ACP23" s="206"/>
      <c r="ACQ23" s="206"/>
      <c r="ACR23" s="206"/>
      <c r="ACS23" s="206"/>
      <c r="ACT23" s="206"/>
      <c r="ACU23" s="206"/>
      <c r="ACV23" s="206"/>
      <c r="ACW23" s="206"/>
      <c r="ACX23" s="206"/>
      <c r="ACY23" s="206"/>
      <c r="ACZ23" s="206"/>
      <c r="ADA23" s="206"/>
      <c r="ADB23" s="206"/>
      <c r="ADC23" s="206"/>
      <c r="ADD23" s="206"/>
      <c r="ADE23" s="206"/>
      <c r="ADF23" s="206"/>
      <c r="ADG23" s="206"/>
      <c r="ADH23" s="206"/>
      <c r="ADI23" s="206"/>
      <c r="ADJ23" s="206"/>
      <c r="ADK23" s="206"/>
      <c r="ADL23" s="206"/>
      <c r="ADM23" s="206"/>
      <c r="ADN23" s="206"/>
      <c r="ADO23" s="206"/>
      <c r="ADP23" s="206"/>
      <c r="ADQ23" s="206"/>
      <c r="ADR23" s="206"/>
      <c r="ADS23" s="206"/>
      <c r="ADT23" s="206"/>
      <c r="ADU23" s="206"/>
      <c r="ADV23" s="206"/>
      <c r="ADW23" s="206"/>
      <c r="ADX23" s="206"/>
      <c r="ADY23" s="206"/>
      <c r="ADZ23" s="206"/>
      <c r="AEA23" s="206"/>
      <c r="AEB23" s="206"/>
      <c r="AEC23" s="206"/>
      <c r="AED23" s="206"/>
      <c r="AEE23" s="206"/>
      <c r="AEF23" s="206"/>
      <c r="AEG23" s="206"/>
      <c r="AEH23" s="206"/>
      <c r="AEI23" s="206"/>
      <c r="AEJ23" s="206"/>
      <c r="AEK23" s="206"/>
      <c r="AEL23" s="206"/>
      <c r="AEM23" s="206"/>
      <c r="AEN23" s="206"/>
      <c r="AEO23" s="206"/>
      <c r="AEP23" s="206"/>
      <c r="AEQ23" s="206"/>
      <c r="AER23" s="206"/>
      <c r="AES23" s="206"/>
      <c r="AET23" s="206"/>
      <c r="AEU23" s="206"/>
      <c r="AEV23" s="206"/>
      <c r="AEW23" s="206"/>
      <c r="AEX23" s="206"/>
      <c r="AEY23" s="206"/>
      <c r="AEZ23" s="206"/>
      <c r="AFA23" s="206"/>
      <c r="AFB23" s="206"/>
      <c r="AFC23" s="206"/>
      <c r="AFD23" s="206"/>
      <c r="AFE23" s="206"/>
      <c r="AFF23" s="206"/>
      <c r="AFG23" s="206"/>
      <c r="AFH23" s="206"/>
      <c r="AFI23" s="206"/>
      <c r="AFJ23" s="206"/>
      <c r="AFK23" s="206"/>
      <c r="AFL23" s="206"/>
      <c r="AFM23" s="206"/>
      <c r="AFN23" s="206"/>
      <c r="AFO23" s="206"/>
      <c r="AFP23" s="206"/>
      <c r="AFQ23" s="206"/>
      <c r="AFR23" s="206"/>
      <c r="AFS23" s="206"/>
      <c r="AFT23" s="206"/>
      <c r="AFU23" s="206"/>
      <c r="AFV23" s="206"/>
      <c r="AFW23" s="206"/>
      <c r="AFX23" s="206"/>
      <c r="AFY23" s="206"/>
      <c r="AFZ23" s="206"/>
      <c r="AGA23" s="206"/>
      <c r="AGB23" s="206"/>
      <c r="AGC23" s="206"/>
      <c r="AGD23" s="206"/>
      <c r="AGE23" s="206"/>
      <c r="AGF23" s="206"/>
      <c r="AGG23" s="206"/>
      <c r="AGH23" s="206"/>
      <c r="AGI23" s="206"/>
      <c r="AGJ23" s="206"/>
      <c r="AGK23" s="206"/>
      <c r="AGL23" s="206"/>
      <c r="AGM23" s="206"/>
      <c r="AGN23" s="206"/>
      <c r="AGO23" s="206"/>
      <c r="AGP23" s="206"/>
      <c r="AGQ23" s="206"/>
      <c r="AGR23" s="206"/>
      <c r="AGS23" s="206"/>
      <c r="AGT23" s="206"/>
      <c r="AGU23" s="206"/>
      <c r="AGV23" s="206"/>
      <c r="AGW23" s="206"/>
      <c r="AGX23" s="206"/>
      <c r="AGY23" s="206"/>
      <c r="AGZ23" s="206"/>
      <c r="AHA23" s="206"/>
      <c r="AHB23" s="206"/>
      <c r="AHC23" s="206"/>
      <c r="AHD23" s="206"/>
      <c r="AHE23" s="206"/>
      <c r="AHF23" s="206"/>
      <c r="AHG23" s="206"/>
      <c r="AHH23" s="206"/>
      <c r="AHI23" s="206"/>
      <c r="AHJ23" s="206"/>
      <c r="AHK23" s="206"/>
      <c r="AHL23" s="206"/>
      <c r="AHM23" s="206"/>
      <c r="AHN23" s="206"/>
      <c r="AHO23" s="206"/>
      <c r="AHP23" s="206"/>
      <c r="AHQ23" s="206"/>
      <c r="AHR23" s="206"/>
      <c r="AHS23" s="206"/>
      <c r="AHT23" s="206"/>
      <c r="AHU23" s="206"/>
      <c r="AHV23" s="206"/>
      <c r="AHW23" s="206"/>
      <c r="AHX23" s="206"/>
      <c r="AHY23" s="206"/>
      <c r="AHZ23" s="206"/>
      <c r="AIA23" s="206"/>
      <c r="AIB23" s="206"/>
      <c r="AIC23" s="206"/>
      <c r="AID23" s="206"/>
      <c r="AIE23" s="206"/>
      <c r="AIF23" s="206"/>
      <c r="AIG23" s="206"/>
      <c r="AIH23" s="206"/>
      <c r="AII23" s="206"/>
      <c r="AIJ23" s="206"/>
      <c r="AIK23" s="206"/>
      <c r="AIL23" s="206"/>
      <c r="AIM23" s="206"/>
      <c r="AIN23" s="206"/>
      <c r="AIO23" s="206"/>
      <c r="AIP23" s="206"/>
      <c r="AIQ23" s="206"/>
      <c r="AIR23" s="206"/>
      <c r="AIS23" s="206"/>
      <c r="AIT23" s="206"/>
      <c r="AIU23" s="206"/>
      <c r="AIV23" s="206"/>
      <c r="AIW23" s="206"/>
      <c r="AIX23" s="206"/>
      <c r="AIY23" s="206"/>
      <c r="AIZ23" s="206"/>
      <c r="AJA23" s="206"/>
      <c r="AJB23" s="206"/>
      <c r="AJC23" s="206"/>
      <c r="AJD23" s="206"/>
      <c r="AJE23" s="206"/>
      <c r="AJF23" s="206"/>
      <c r="AJG23" s="206"/>
      <c r="AJH23" s="206"/>
      <c r="AJI23" s="206"/>
      <c r="AJJ23" s="206"/>
      <c r="AJK23" s="206"/>
      <c r="AJL23" s="206"/>
      <c r="AJM23" s="206"/>
      <c r="AJN23" s="206"/>
      <c r="AJO23" s="206"/>
      <c r="AJP23" s="206"/>
      <c r="AJQ23" s="206"/>
      <c r="AJR23" s="206"/>
      <c r="AJS23" s="206"/>
      <c r="AJT23" s="206"/>
      <c r="AJU23" s="206"/>
      <c r="AJV23" s="206"/>
      <c r="AJW23" s="206"/>
      <c r="AJX23" s="206"/>
      <c r="AJY23" s="206"/>
      <c r="AJZ23" s="206"/>
      <c r="AKA23" s="206"/>
      <c r="AKB23" s="206"/>
      <c r="AKC23" s="206"/>
      <c r="AKD23" s="206"/>
      <c r="AKE23" s="206"/>
      <c r="AKF23" s="206"/>
      <c r="AKG23" s="206"/>
      <c r="AKH23" s="206"/>
      <c r="AKI23" s="206"/>
      <c r="AKJ23" s="206"/>
      <c r="AKK23" s="206"/>
      <c r="AKL23" s="206"/>
      <c r="AKM23" s="206"/>
      <c r="AKN23" s="206"/>
      <c r="AKO23" s="206"/>
      <c r="AKP23" s="206"/>
      <c r="AKQ23" s="206"/>
      <c r="AKR23" s="206"/>
      <c r="AKS23" s="206"/>
      <c r="AKT23" s="206"/>
      <c r="AKU23" s="206"/>
      <c r="AKV23" s="206"/>
      <c r="AKW23" s="206"/>
      <c r="AKX23" s="206"/>
      <c r="AKY23" s="206"/>
      <c r="AKZ23" s="206"/>
      <c r="ALA23" s="206"/>
      <c r="ALB23" s="206"/>
      <c r="ALC23" s="206"/>
      <c r="ALD23" s="206"/>
      <c r="ALE23" s="206"/>
      <c r="ALF23" s="206"/>
      <c r="ALG23" s="206"/>
      <c r="ALH23" s="206"/>
      <c r="ALI23" s="206"/>
      <c r="ALJ23" s="206"/>
      <c r="ALK23" s="206"/>
      <c r="ALL23" s="206"/>
      <c r="ALM23" s="206"/>
      <c r="ALN23" s="206"/>
      <c r="ALO23" s="206"/>
      <c r="ALP23" s="206"/>
      <c r="ALQ23" s="206"/>
      <c r="ALR23" s="206"/>
      <c r="ALS23" s="206"/>
      <c r="ALT23" s="206"/>
      <c r="ALU23" s="206"/>
      <c r="ALV23" s="206"/>
      <c r="ALW23" s="206"/>
      <c r="ALX23" s="206"/>
      <c r="ALY23" s="206"/>
      <c r="ALZ23" s="206"/>
      <c r="AMA23" s="206"/>
      <c r="AMB23" s="206"/>
      <c r="AMC23" s="206"/>
      <c r="AMD23" s="206"/>
      <c r="AME23" s="206"/>
      <c r="AMF23" s="206"/>
      <c r="AMG23" s="206"/>
      <c r="AMH23" s="206"/>
      <c r="AMI23" s="206"/>
      <c r="AMJ23" s="206"/>
      <c r="AMK23" s="206"/>
      <c r="AML23" s="206"/>
      <c r="AMM23" s="206"/>
      <c r="AMN23" s="206"/>
      <c r="AMO23" s="206"/>
      <c r="AMP23" s="206"/>
      <c r="AMQ23" s="206"/>
      <c r="AMR23" s="206"/>
      <c r="AMS23" s="206"/>
      <c r="AMT23" s="206"/>
      <c r="AMU23" s="206"/>
      <c r="AMV23" s="206"/>
      <c r="AMW23" s="206"/>
      <c r="AMX23" s="206"/>
      <c r="AMY23" s="206"/>
      <c r="AMZ23" s="206"/>
      <c r="ANA23" s="206"/>
      <c r="ANB23" s="206"/>
      <c r="ANC23" s="206"/>
      <c r="AND23" s="206"/>
      <c r="ANE23" s="206"/>
      <c r="ANF23" s="206"/>
      <c r="ANG23" s="206"/>
      <c r="ANH23" s="206"/>
      <c r="ANI23" s="206"/>
      <c r="ANJ23" s="206"/>
      <c r="ANK23" s="206"/>
      <c r="ANL23" s="206"/>
      <c r="ANM23" s="206"/>
      <c r="ANN23" s="206"/>
      <c r="ANO23" s="206"/>
      <c r="ANP23" s="206"/>
      <c r="ANQ23" s="206"/>
      <c r="ANR23" s="206"/>
      <c r="ANS23" s="206"/>
      <c r="ANT23" s="206"/>
      <c r="ANU23" s="206"/>
      <c r="ANV23" s="206"/>
      <c r="ANW23" s="206"/>
      <c r="ANX23" s="206"/>
      <c r="ANY23" s="206"/>
      <c r="ANZ23" s="206"/>
      <c r="AOA23" s="206"/>
      <c r="AOB23" s="206"/>
      <c r="AOC23" s="206"/>
      <c r="AOD23" s="206"/>
      <c r="AOE23" s="206"/>
      <c r="AOF23" s="206"/>
      <c r="AOG23" s="206"/>
      <c r="AOH23" s="206"/>
      <c r="AOI23" s="206"/>
      <c r="AOJ23" s="206"/>
      <c r="AOK23" s="206"/>
      <c r="AOL23" s="206"/>
      <c r="AOM23" s="206"/>
      <c r="AON23" s="206"/>
      <c r="AOO23" s="206"/>
      <c r="AOP23" s="206"/>
      <c r="AOQ23" s="206"/>
      <c r="AOR23" s="206"/>
      <c r="AOS23" s="206"/>
      <c r="AOT23" s="206"/>
      <c r="AOU23" s="206"/>
      <c r="AOV23" s="206"/>
      <c r="AOW23" s="206"/>
      <c r="AOX23" s="206"/>
      <c r="AOY23" s="206"/>
      <c r="AOZ23" s="206"/>
      <c r="APA23" s="206"/>
      <c r="APB23" s="206"/>
      <c r="APC23" s="206"/>
      <c r="APD23" s="206"/>
      <c r="APE23" s="206"/>
      <c r="APF23" s="206"/>
      <c r="APG23" s="206"/>
      <c r="APH23" s="206"/>
      <c r="API23" s="206"/>
      <c r="APJ23" s="206"/>
      <c r="APK23" s="206"/>
      <c r="APL23" s="206"/>
      <c r="APM23" s="206"/>
      <c r="APN23" s="206"/>
      <c r="APO23" s="206"/>
      <c r="APP23" s="206"/>
      <c r="APQ23" s="206"/>
      <c r="APR23" s="206"/>
      <c r="APS23" s="206"/>
      <c r="APT23" s="206"/>
      <c r="APU23" s="206"/>
      <c r="APV23" s="206"/>
      <c r="APW23" s="206"/>
      <c r="APX23" s="206"/>
      <c r="APY23" s="206"/>
      <c r="APZ23" s="206"/>
      <c r="AQA23" s="206"/>
      <c r="AQB23" s="206"/>
      <c r="AQC23" s="206"/>
      <c r="AQD23" s="206"/>
      <c r="AQE23" s="206"/>
      <c r="AQF23" s="206"/>
      <c r="AQG23" s="206"/>
      <c r="AQH23" s="206"/>
      <c r="AQI23" s="206"/>
      <c r="AQJ23" s="206"/>
      <c r="AQK23" s="206"/>
      <c r="AQL23" s="206"/>
      <c r="AQM23" s="206"/>
      <c r="AQN23" s="206"/>
      <c r="AQO23" s="206"/>
      <c r="AQP23" s="206"/>
      <c r="AQQ23" s="206"/>
      <c r="AQR23" s="206"/>
      <c r="AQS23" s="206"/>
      <c r="AQT23" s="206"/>
      <c r="AQU23" s="206"/>
      <c r="AQV23" s="206"/>
      <c r="AQW23" s="206"/>
      <c r="AQX23" s="206"/>
      <c r="AQY23" s="206"/>
      <c r="AQZ23" s="206"/>
      <c r="ARA23" s="206"/>
      <c r="ARB23" s="206"/>
      <c r="ARC23" s="206"/>
      <c r="ARD23" s="206"/>
      <c r="ARE23" s="206"/>
      <c r="ARF23" s="206"/>
      <c r="ARG23" s="206"/>
      <c r="ARH23" s="206"/>
      <c r="ARI23" s="206"/>
      <c r="ARJ23" s="206"/>
      <c r="ARK23" s="206"/>
      <c r="ARL23" s="206"/>
      <c r="ARM23" s="206"/>
      <c r="ARN23" s="206"/>
      <c r="ARO23" s="206"/>
      <c r="ARP23" s="206"/>
      <c r="ARQ23" s="206"/>
      <c r="ARR23" s="206"/>
      <c r="ARS23" s="206"/>
      <c r="ART23" s="206"/>
      <c r="ARU23" s="206"/>
      <c r="ARV23" s="206"/>
      <c r="ARW23" s="206"/>
      <c r="ARX23" s="206"/>
      <c r="ARY23" s="206"/>
      <c r="ARZ23" s="206"/>
      <c r="ASA23" s="206"/>
      <c r="ASB23" s="206"/>
      <c r="ASC23" s="206"/>
      <c r="ASD23" s="206"/>
      <c r="ASE23" s="206"/>
      <c r="ASF23" s="206"/>
      <c r="ASG23" s="206"/>
      <c r="ASH23" s="206"/>
      <c r="ASI23" s="206"/>
      <c r="ASJ23" s="206"/>
      <c r="ASK23" s="206"/>
      <c r="ASL23" s="206"/>
      <c r="ASM23" s="206"/>
      <c r="ASN23" s="206"/>
      <c r="ASO23" s="206"/>
      <c r="ASP23" s="206"/>
      <c r="ASQ23" s="206"/>
      <c r="ASR23" s="206"/>
      <c r="ASS23" s="206"/>
      <c r="AST23" s="206"/>
      <c r="ASU23" s="206"/>
      <c r="ASV23" s="206"/>
      <c r="ASW23" s="206"/>
      <c r="ASX23" s="206"/>
      <c r="ASY23" s="206"/>
      <c r="ASZ23" s="206"/>
      <c r="ATA23" s="206"/>
      <c r="ATB23" s="206"/>
      <c r="ATC23" s="206"/>
      <c r="ATD23" s="206"/>
      <c r="ATE23" s="206"/>
      <c r="ATF23" s="206"/>
      <c r="ATG23" s="206"/>
      <c r="ATH23" s="206"/>
      <c r="ATI23" s="206"/>
      <c r="ATJ23" s="206"/>
      <c r="ATK23" s="206"/>
      <c r="ATL23" s="206"/>
      <c r="ATM23" s="206"/>
      <c r="ATN23" s="206"/>
      <c r="ATO23" s="206"/>
      <c r="ATP23" s="206"/>
      <c r="ATQ23" s="206"/>
      <c r="ATR23" s="206"/>
      <c r="ATS23" s="206"/>
      <c r="ATT23" s="206"/>
      <c r="ATU23" s="206"/>
      <c r="ATV23" s="206"/>
      <c r="ATW23" s="206"/>
      <c r="ATX23" s="206"/>
      <c r="ATY23" s="206"/>
      <c r="ATZ23" s="206"/>
      <c r="AUA23" s="206"/>
      <c r="AUB23" s="206"/>
      <c r="AUC23" s="206"/>
      <c r="AUD23" s="206"/>
      <c r="AUE23" s="206"/>
      <c r="AUF23" s="206"/>
      <c r="AUG23" s="206"/>
      <c r="AUH23" s="206"/>
      <c r="AUI23" s="206"/>
      <c r="AUJ23" s="206"/>
      <c r="AUK23" s="206"/>
      <c r="AUL23" s="206"/>
      <c r="AUM23" s="206"/>
      <c r="AUN23" s="206"/>
      <c r="AUO23" s="206"/>
      <c r="AUP23" s="206"/>
      <c r="AUQ23" s="206"/>
      <c r="AUR23" s="206"/>
      <c r="AUS23" s="206"/>
      <c r="AUT23" s="206"/>
      <c r="AUU23" s="206"/>
      <c r="AUV23" s="206"/>
      <c r="AUW23" s="206"/>
      <c r="AUX23" s="206"/>
      <c r="AUY23" s="206"/>
      <c r="AUZ23" s="206"/>
      <c r="AVA23" s="206"/>
      <c r="AVB23" s="206"/>
      <c r="AVC23" s="206"/>
      <c r="AVD23" s="206"/>
      <c r="AVE23" s="206"/>
      <c r="AVF23" s="206"/>
      <c r="AVG23" s="206"/>
      <c r="AVH23" s="206"/>
      <c r="AVI23" s="206"/>
      <c r="AVJ23" s="206"/>
      <c r="AVK23" s="206"/>
      <c r="AVL23" s="206"/>
      <c r="AVM23" s="206"/>
      <c r="AVN23" s="206"/>
      <c r="AVO23" s="206"/>
      <c r="AVP23" s="206"/>
      <c r="AVQ23" s="206"/>
      <c r="AVR23" s="206"/>
      <c r="AVS23" s="206"/>
      <c r="AVT23" s="206"/>
      <c r="AVU23" s="206"/>
      <c r="AVV23" s="206"/>
      <c r="AVW23" s="206"/>
      <c r="AVX23" s="206"/>
      <c r="AVY23" s="206"/>
      <c r="AVZ23" s="206"/>
      <c r="AWA23" s="206"/>
      <c r="AWB23" s="206"/>
      <c r="AWC23" s="206"/>
      <c r="AWD23" s="206"/>
      <c r="AWE23" s="206"/>
      <c r="AWF23" s="206"/>
      <c r="AWG23" s="206"/>
      <c r="AWH23" s="206"/>
      <c r="AWI23" s="206"/>
      <c r="AWJ23" s="206"/>
      <c r="AWK23" s="206"/>
      <c r="AWL23" s="206"/>
      <c r="AWM23" s="206"/>
      <c r="AWN23" s="206"/>
      <c r="AWO23" s="206"/>
      <c r="AWP23" s="206"/>
      <c r="AWQ23" s="206"/>
      <c r="AWR23" s="206"/>
      <c r="AWS23" s="206"/>
      <c r="AWT23" s="206"/>
      <c r="AWU23" s="206"/>
      <c r="AWV23" s="206"/>
      <c r="AWW23" s="206"/>
      <c r="AWX23" s="206"/>
      <c r="AWY23" s="206"/>
      <c r="AWZ23" s="206"/>
      <c r="AXA23" s="206"/>
      <c r="AXB23" s="206"/>
      <c r="AXC23" s="206"/>
      <c r="AXD23" s="206"/>
      <c r="AXE23" s="206"/>
      <c r="AXF23" s="206"/>
      <c r="AXG23" s="206"/>
      <c r="AXH23" s="206"/>
      <c r="AXI23" s="206"/>
      <c r="AXJ23" s="206"/>
      <c r="AXK23" s="206"/>
      <c r="AXL23" s="206"/>
      <c r="AXM23" s="206"/>
      <c r="AXN23" s="206"/>
      <c r="AXO23" s="206"/>
      <c r="AXP23" s="206"/>
      <c r="AXQ23" s="206"/>
      <c r="AXR23" s="206"/>
      <c r="AXS23" s="206"/>
      <c r="AXT23" s="206"/>
      <c r="AXU23" s="206"/>
      <c r="AXV23" s="206"/>
      <c r="AXW23" s="206"/>
      <c r="AXX23" s="206"/>
      <c r="AXY23" s="206"/>
      <c r="AXZ23" s="206"/>
      <c r="AYA23" s="206"/>
      <c r="AYB23" s="206"/>
      <c r="AYC23" s="206"/>
      <c r="AYD23" s="206"/>
      <c r="AYE23" s="206"/>
      <c r="AYF23" s="206"/>
      <c r="AYG23" s="206"/>
      <c r="AYH23" s="206"/>
      <c r="AYI23" s="206"/>
      <c r="AYJ23" s="206"/>
      <c r="AYK23" s="206"/>
      <c r="AYL23" s="206"/>
      <c r="AYM23" s="206"/>
      <c r="AYN23" s="206"/>
      <c r="AYO23" s="206"/>
      <c r="AYP23" s="206"/>
      <c r="AYQ23" s="206"/>
      <c r="AYR23" s="206"/>
      <c r="AYS23" s="206"/>
      <c r="AYT23" s="206"/>
      <c r="AYU23" s="206"/>
      <c r="AYV23" s="206"/>
      <c r="AYW23" s="206"/>
      <c r="AYX23" s="206"/>
      <c r="AYY23" s="206"/>
      <c r="AYZ23" s="206"/>
      <c r="AZA23" s="206"/>
      <c r="AZB23" s="206"/>
      <c r="AZC23" s="206"/>
      <c r="AZD23" s="206"/>
      <c r="AZE23" s="206"/>
      <c r="AZF23" s="206"/>
      <c r="AZG23" s="206"/>
      <c r="AZH23" s="206"/>
      <c r="AZI23" s="206"/>
      <c r="AZJ23" s="206"/>
      <c r="AZK23" s="206"/>
      <c r="AZL23" s="206"/>
      <c r="AZM23" s="206"/>
      <c r="AZN23" s="206"/>
      <c r="AZO23" s="206"/>
      <c r="AZP23" s="206"/>
      <c r="AZQ23" s="206"/>
      <c r="AZR23" s="206"/>
      <c r="AZS23" s="206"/>
      <c r="AZT23" s="206"/>
      <c r="AZU23" s="206"/>
      <c r="AZV23" s="206"/>
      <c r="AZW23" s="206"/>
      <c r="AZX23" s="206"/>
      <c r="AZY23" s="206"/>
      <c r="AZZ23" s="206"/>
      <c r="BAA23" s="206"/>
      <c r="BAB23" s="206"/>
      <c r="BAC23" s="206"/>
      <c r="BAD23" s="206"/>
      <c r="BAE23" s="206"/>
      <c r="BAF23" s="206"/>
      <c r="BAG23" s="206"/>
      <c r="BAH23" s="206"/>
      <c r="BAI23" s="206"/>
      <c r="BAJ23" s="206"/>
      <c r="BAK23" s="206"/>
      <c r="BAL23" s="206"/>
      <c r="BAM23" s="206"/>
      <c r="BAN23" s="206"/>
      <c r="BAO23" s="206"/>
      <c r="BAP23" s="206"/>
      <c r="BAQ23" s="206"/>
      <c r="BAR23" s="206"/>
      <c r="BAS23" s="206"/>
      <c r="BAT23" s="206"/>
      <c r="BAU23" s="206"/>
      <c r="BAV23" s="206"/>
      <c r="BAW23" s="206"/>
      <c r="BAX23" s="206"/>
      <c r="BAY23" s="206"/>
      <c r="BAZ23" s="206"/>
      <c r="BBA23" s="206"/>
      <c r="BBB23" s="206"/>
      <c r="BBC23" s="206"/>
      <c r="BBD23" s="206"/>
      <c r="BBE23" s="206"/>
      <c r="BBF23" s="206"/>
      <c r="BBG23" s="206"/>
      <c r="BBH23" s="206"/>
      <c r="BBI23" s="206"/>
      <c r="BBJ23" s="206"/>
      <c r="BBK23" s="206"/>
      <c r="BBL23" s="206"/>
      <c r="BBM23" s="206"/>
      <c r="BBN23" s="206"/>
      <c r="BBO23" s="206"/>
      <c r="BBP23" s="206"/>
      <c r="BBQ23" s="206"/>
      <c r="BBR23" s="206"/>
      <c r="BBS23" s="206"/>
      <c r="BBT23" s="206"/>
      <c r="BBU23" s="206"/>
      <c r="BBV23" s="206"/>
      <c r="BBW23" s="206"/>
      <c r="BBX23" s="206"/>
      <c r="BBY23" s="206"/>
      <c r="BBZ23" s="206"/>
      <c r="BCA23" s="206"/>
      <c r="BCB23" s="206"/>
      <c r="BCC23" s="206"/>
      <c r="BCD23" s="206"/>
      <c r="BCE23" s="206"/>
      <c r="BCF23" s="206"/>
      <c r="BCG23" s="206"/>
      <c r="BCH23" s="206"/>
      <c r="BCI23" s="206"/>
      <c r="BCJ23" s="206"/>
      <c r="BCK23" s="206"/>
      <c r="BCL23" s="206"/>
      <c r="BCM23" s="206"/>
      <c r="BCN23" s="206"/>
      <c r="BCO23" s="206"/>
      <c r="BCP23" s="206"/>
      <c r="BCQ23" s="206"/>
      <c r="BCR23" s="206"/>
      <c r="BCS23" s="206"/>
      <c r="BCT23" s="206"/>
      <c r="BCU23" s="206"/>
      <c r="BCV23" s="206"/>
      <c r="BCW23" s="206"/>
      <c r="BCX23" s="206"/>
      <c r="BCY23" s="206"/>
      <c r="BCZ23" s="206"/>
      <c r="BDA23" s="206"/>
      <c r="BDB23" s="206"/>
      <c r="BDC23" s="206"/>
      <c r="BDD23" s="206"/>
      <c r="BDE23" s="206"/>
      <c r="BDF23" s="206"/>
      <c r="BDG23" s="206"/>
      <c r="BDH23" s="206"/>
      <c r="BDI23" s="206"/>
      <c r="BDJ23" s="206"/>
      <c r="BDK23" s="206"/>
      <c r="BDL23" s="206"/>
      <c r="BDM23" s="206"/>
      <c r="BDN23" s="206"/>
      <c r="BDO23" s="206"/>
      <c r="BDP23" s="206"/>
      <c r="BDQ23" s="206"/>
      <c r="BDR23" s="206"/>
      <c r="BDS23" s="206"/>
      <c r="BDT23" s="206"/>
      <c r="BDU23" s="206"/>
      <c r="BDV23" s="206"/>
      <c r="BDW23" s="206"/>
      <c r="BDX23" s="206"/>
      <c r="BDY23" s="206"/>
      <c r="BDZ23" s="206"/>
      <c r="BEA23" s="206"/>
      <c r="BEB23" s="206"/>
      <c r="BEC23" s="206"/>
      <c r="BED23" s="206"/>
      <c r="BEE23" s="206"/>
      <c r="BEF23" s="206"/>
      <c r="BEG23" s="206"/>
      <c r="BEH23" s="206"/>
      <c r="BEI23" s="206"/>
      <c r="BEJ23" s="206"/>
      <c r="BEK23" s="206"/>
      <c r="BEL23" s="206"/>
      <c r="BEM23" s="206"/>
      <c r="BEN23" s="206"/>
      <c r="BEO23" s="206"/>
      <c r="BEP23" s="206"/>
      <c r="BEQ23" s="206"/>
      <c r="BER23" s="206"/>
      <c r="BES23" s="206"/>
      <c r="BET23" s="206"/>
      <c r="BEU23" s="206"/>
      <c r="BEV23" s="206"/>
      <c r="BEW23" s="206"/>
      <c r="BEX23" s="206"/>
      <c r="BEY23" s="206"/>
      <c r="BEZ23" s="206"/>
      <c r="BFA23" s="206"/>
      <c r="BFB23" s="206"/>
      <c r="BFC23" s="206"/>
      <c r="BFD23" s="206"/>
      <c r="BFE23" s="206"/>
      <c r="BFF23" s="206"/>
      <c r="BFG23" s="206"/>
      <c r="BFH23" s="206"/>
      <c r="BFI23" s="206"/>
      <c r="BFJ23" s="206"/>
      <c r="BFK23" s="206"/>
      <c r="BFL23" s="206"/>
      <c r="BFM23" s="206"/>
      <c r="BFN23" s="206"/>
      <c r="BFO23" s="206"/>
      <c r="BFP23" s="206"/>
      <c r="BFQ23" s="206"/>
      <c r="BFR23" s="206"/>
      <c r="BFS23" s="206"/>
      <c r="BFT23" s="206"/>
      <c r="BFU23" s="206"/>
      <c r="BFV23" s="206"/>
      <c r="BFW23" s="206"/>
      <c r="BFX23" s="206"/>
      <c r="BFY23" s="206"/>
      <c r="BFZ23" s="206"/>
      <c r="BGA23" s="206"/>
      <c r="BGB23" s="206"/>
      <c r="BGC23" s="206"/>
      <c r="BGD23" s="206"/>
      <c r="BGE23" s="206"/>
      <c r="BGF23" s="206"/>
      <c r="BGG23" s="206"/>
      <c r="BGH23" s="206"/>
      <c r="BGI23" s="206"/>
      <c r="BGJ23" s="206"/>
      <c r="BGK23" s="206"/>
      <c r="BGL23" s="206"/>
      <c r="BGM23" s="206"/>
      <c r="BGN23" s="206"/>
      <c r="BGO23" s="206"/>
      <c r="BGP23" s="206"/>
      <c r="BGQ23" s="206"/>
      <c r="BGR23" s="206"/>
      <c r="BGS23" s="206"/>
      <c r="BGT23" s="206"/>
      <c r="BGU23" s="206"/>
      <c r="BGV23" s="206"/>
      <c r="BGW23" s="206"/>
      <c r="BGX23" s="206"/>
      <c r="BGY23" s="206"/>
      <c r="BGZ23" s="206"/>
      <c r="BHA23" s="206"/>
      <c r="BHB23" s="206"/>
      <c r="BHC23" s="206"/>
      <c r="BHD23" s="206"/>
      <c r="BHE23" s="206"/>
      <c r="BHF23" s="206"/>
      <c r="BHG23" s="206"/>
      <c r="BHH23" s="206"/>
      <c r="BHI23" s="206"/>
      <c r="BHJ23" s="206"/>
      <c r="BHK23" s="206"/>
      <c r="BHL23" s="206"/>
      <c r="BHM23" s="206"/>
      <c r="BHN23" s="206"/>
      <c r="BHO23" s="206"/>
      <c r="BHP23" s="206"/>
      <c r="BHQ23" s="206"/>
      <c r="BHR23" s="206"/>
      <c r="BHS23" s="206"/>
      <c r="BHT23" s="206"/>
      <c r="BHU23" s="206"/>
      <c r="BHV23" s="206"/>
      <c r="BHW23" s="206"/>
      <c r="BHX23" s="206"/>
      <c r="BHY23" s="206"/>
      <c r="BHZ23" s="206"/>
      <c r="BIA23" s="206"/>
      <c r="BIB23" s="206"/>
      <c r="BIC23" s="206"/>
      <c r="BID23" s="206"/>
      <c r="BIE23" s="206"/>
      <c r="BIF23" s="206"/>
      <c r="BIG23" s="206"/>
      <c r="BIH23" s="206"/>
      <c r="BII23" s="206"/>
      <c r="BIJ23" s="206"/>
      <c r="BIK23" s="206"/>
      <c r="BIL23" s="206"/>
      <c r="BIM23" s="206"/>
      <c r="BIN23" s="206"/>
      <c r="BIO23" s="206"/>
      <c r="BIP23" s="206"/>
      <c r="BIQ23" s="206"/>
      <c r="BIR23" s="206"/>
      <c r="BIS23" s="206"/>
      <c r="BIT23" s="206"/>
      <c r="BIU23" s="206"/>
      <c r="BIV23" s="206"/>
      <c r="BIW23" s="206"/>
      <c r="BIX23" s="206"/>
      <c r="BIY23" s="206"/>
      <c r="BIZ23" s="206"/>
      <c r="BJA23" s="206"/>
      <c r="BJB23" s="206"/>
      <c r="BJC23" s="206"/>
      <c r="BJD23" s="206"/>
      <c r="BJE23" s="206"/>
      <c r="BJF23" s="206"/>
      <c r="BJG23" s="206"/>
      <c r="BJH23" s="206"/>
      <c r="BJI23" s="206"/>
      <c r="BJJ23" s="206"/>
      <c r="BJK23" s="206"/>
      <c r="BJL23" s="206"/>
      <c r="BJM23" s="206"/>
      <c r="BJN23" s="206"/>
      <c r="BJO23" s="206"/>
      <c r="BJP23" s="206"/>
      <c r="BJQ23" s="206"/>
      <c r="BJR23" s="206"/>
      <c r="BJS23" s="206"/>
      <c r="BJT23" s="206"/>
      <c r="BJU23" s="206"/>
      <c r="BJV23" s="206"/>
      <c r="BJW23" s="206"/>
      <c r="BJX23" s="206"/>
      <c r="BJY23" s="206"/>
      <c r="BJZ23" s="206"/>
      <c r="BKA23" s="206"/>
      <c r="BKB23" s="206"/>
      <c r="BKC23" s="206"/>
      <c r="BKD23" s="206"/>
      <c r="BKE23" s="206"/>
      <c r="BKF23" s="206"/>
      <c r="BKG23" s="206"/>
      <c r="BKH23" s="206"/>
      <c r="BKI23" s="206"/>
      <c r="BKJ23" s="206"/>
      <c r="BKK23" s="206"/>
      <c r="BKL23" s="206"/>
      <c r="BKM23" s="206"/>
      <c r="BKN23" s="206"/>
      <c r="BKO23" s="206"/>
      <c r="BKP23" s="206"/>
      <c r="BKQ23" s="206"/>
      <c r="BKR23" s="206"/>
      <c r="BKS23" s="206"/>
      <c r="BKT23" s="206"/>
      <c r="BKU23" s="206"/>
      <c r="BKV23" s="206"/>
      <c r="BKW23" s="206"/>
      <c r="BKX23" s="206"/>
      <c r="BKY23" s="206"/>
      <c r="BKZ23" s="206"/>
      <c r="BLA23" s="206"/>
      <c r="BLB23" s="206"/>
      <c r="BLC23" s="206"/>
      <c r="BLD23" s="206"/>
      <c r="BLE23" s="206"/>
      <c r="BLF23" s="206"/>
      <c r="BLG23" s="206"/>
      <c r="BLH23" s="206"/>
      <c r="BLI23" s="206"/>
      <c r="BLJ23" s="206"/>
      <c r="BLK23" s="206"/>
      <c r="BLL23" s="206"/>
      <c r="BLM23" s="206"/>
      <c r="BLN23" s="206"/>
      <c r="BLO23" s="206"/>
      <c r="BLP23" s="206"/>
      <c r="BLQ23" s="206"/>
      <c r="BLR23" s="206"/>
      <c r="BLS23" s="206"/>
      <c r="BLT23" s="206"/>
      <c r="BLU23" s="206"/>
      <c r="BLV23" s="206"/>
      <c r="BLW23" s="206"/>
      <c r="BLX23" s="206"/>
      <c r="BLY23" s="206"/>
      <c r="BLZ23" s="206"/>
      <c r="BMA23" s="206"/>
      <c r="BMB23" s="206"/>
      <c r="BMC23" s="206"/>
      <c r="BMD23" s="206"/>
      <c r="BME23" s="206"/>
      <c r="BMF23" s="206"/>
      <c r="BMG23" s="206"/>
      <c r="BMH23" s="206"/>
      <c r="BMI23" s="206"/>
      <c r="BMJ23" s="206"/>
      <c r="BMK23" s="206"/>
      <c r="BML23" s="206"/>
      <c r="BMM23" s="206"/>
      <c r="BMN23" s="206"/>
      <c r="BMO23" s="206"/>
      <c r="BMP23" s="206"/>
      <c r="BMQ23" s="206"/>
      <c r="BMR23" s="206"/>
      <c r="BMS23" s="206"/>
      <c r="BMT23" s="206"/>
      <c r="BMU23" s="206"/>
      <c r="BMV23" s="206"/>
      <c r="BMW23" s="206"/>
      <c r="BMX23" s="206"/>
      <c r="BMY23" s="206"/>
      <c r="BMZ23" s="206"/>
      <c r="BNA23" s="206"/>
      <c r="BNB23" s="206"/>
      <c r="BNC23" s="206"/>
      <c r="BND23" s="206"/>
      <c r="BNE23" s="206"/>
      <c r="BNF23" s="206"/>
      <c r="BNG23" s="206"/>
      <c r="BNH23" s="206"/>
      <c r="BNI23" s="206"/>
      <c r="BNJ23" s="206"/>
      <c r="BNK23" s="206"/>
      <c r="BNL23" s="206"/>
      <c r="BNM23" s="206"/>
      <c r="BNN23" s="206"/>
      <c r="BNO23" s="206"/>
      <c r="BNP23" s="206"/>
      <c r="BNQ23" s="206"/>
      <c r="BNR23" s="206"/>
      <c r="BNS23" s="206"/>
      <c r="BNT23" s="206"/>
      <c r="BNU23" s="206"/>
      <c r="BNV23" s="206"/>
      <c r="BNW23" s="206"/>
      <c r="BNX23" s="206"/>
      <c r="BNY23" s="206"/>
      <c r="BNZ23" s="206"/>
      <c r="BOA23" s="206"/>
      <c r="BOB23" s="206"/>
      <c r="BOC23" s="206"/>
      <c r="BOD23" s="206"/>
      <c r="BOE23" s="206"/>
      <c r="BOF23" s="206"/>
      <c r="BOG23" s="206"/>
      <c r="BOH23" s="206"/>
      <c r="BOI23" s="206"/>
      <c r="BOJ23" s="206"/>
      <c r="BOK23" s="206"/>
      <c r="BOL23" s="206"/>
      <c r="BOM23" s="206"/>
      <c r="BON23" s="206"/>
      <c r="BOO23" s="206"/>
      <c r="BOP23" s="206"/>
      <c r="BOQ23" s="206"/>
      <c r="BOR23" s="206"/>
      <c r="BOS23" s="206"/>
      <c r="BOT23" s="206"/>
      <c r="BOU23" s="206"/>
      <c r="BOV23" s="206"/>
      <c r="BOW23" s="206"/>
      <c r="BOX23" s="206"/>
      <c r="BOY23" s="206"/>
      <c r="BOZ23" s="206"/>
      <c r="BPA23" s="206"/>
      <c r="BPB23" s="206"/>
      <c r="BPC23" s="206"/>
      <c r="BPD23" s="206"/>
      <c r="BPE23" s="206"/>
      <c r="BPF23" s="206"/>
      <c r="BPG23" s="206"/>
      <c r="BPH23" s="206"/>
      <c r="BPI23" s="206"/>
      <c r="BPJ23" s="206"/>
      <c r="BPK23" s="206"/>
      <c r="BPL23" s="206"/>
      <c r="BPM23" s="206"/>
      <c r="BPN23" s="206"/>
      <c r="BPO23" s="206"/>
      <c r="BPP23" s="206"/>
      <c r="BPQ23" s="206"/>
      <c r="BPR23" s="206"/>
      <c r="BPS23" s="206"/>
      <c r="BPT23" s="206"/>
      <c r="BPU23" s="206"/>
      <c r="BPV23" s="206"/>
      <c r="BPW23" s="206"/>
      <c r="BPX23" s="206"/>
      <c r="BPY23" s="206"/>
      <c r="BPZ23" s="206"/>
      <c r="BQA23" s="206"/>
      <c r="BQB23" s="206"/>
      <c r="BQC23" s="206"/>
      <c r="BQD23" s="206"/>
      <c r="BQE23" s="206"/>
      <c r="BQF23" s="206"/>
      <c r="BQG23" s="206"/>
      <c r="BQH23" s="206"/>
      <c r="BQI23" s="206"/>
      <c r="BQJ23" s="206"/>
      <c r="BQK23" s="206"/>
      <c r="BQL23" s="206"/>
      <c r="BQM23" s="206"/>
      <c r="BQN23" s="206"/>
      <c r="BQO23" s="206"/>
      <c r="BQP23" s="206"/>
      <c r="BQQ23" s="206"/>
      <c r="BQR23" s="206"/>
      <c r="BQS23" s="206"/>
      <c r="BQT23" s="206"/>
      <c r="BQU23" s="206"/>
      <c r="BQV23" s="206"/>
      <c r="BQW23" s="206"/>
      <c r="BQX23" s="206"/>
      <c r="BQY23" s="206"/>
      <c r="BQZ23" s="206"/>
      <c r="BRA23" s="206"/>
      <c r="BRB23" s="206"/>
      <c r="BRC23" s="206"/>
      <c r="BRD23" s="206"/>
      <c r="BRE23" s="206"/>
      <c r="BRF23" s="206"/>
      <c r="BRG23" s="206"/>
      <c r="BRH23" s="206"/>
      <c r="BRI23" s="206"/>
      <c r="BRJ23" s="206"/>
      <c r="BRK23" s="206"/>
      <c r="BRL23" s="206"/>
      <c r="BRM23" s="206"/>
      <c r="BRN23" s="206"/>
      <c r="BRO23" s="206"/>
      <c r="BRP23" s="206"/>
      <c r="BRQ23" s="206"/>
      <c r="BRR23" s="206"/>
      <c r="BRS23" s="206"/>
      <c r="BRT23" s="206"/>
      <c r="BRU23" s="206"/>
      <c r="BRV23" s="206"/>
      <c r="BRW23" s="206"/>
      <c r="BRX23" s="206"/>
      <c r="BRY23" s="206"/>
      <c r="BRZ23" s="206"/>
      <c r="BSA23" s="206"/>
      <c r="BSB23" s="206"/>
      <c r="BSC23" s="206"/>
      <c r="BSD23" s="206"/>
      <c r="BSE23" s="206"/>
      <c r="BSF23" s="206"/>
      <c r="BSG23" s="206"/>
      <c r="BSH23" s="206"/>
      <c r="BSI23" s="206"/>
      <c r="BSJ23" s="206"/>
      <c r="BSK23" s="206"/>
      <c r="BSL23" s="206"/>
      <c r="BSM23" s="206"/>
      <c r="BSN23" s="206"/>
      <c r="BSO23" s="206"/>
      <c r="BSP23" s="206"/>
      <c r="BSQ23" s="206"/>
      <c r="BSR23" s="206"/>
      <c r="BSS23" s="206"/>
      <c r="BST23" s="206"/>
      <c r="BSU23" s="206"/>
      <c r="BSV23" s="206"/>
      <c r="BSW23" s="206"/>
      <c r="BSX23" s="206"/>
      <c r="BSY23" s="206"/>
      <c r="BSZ23" s="206"/>
      <c r="BTA23" s="206"/>
      <c r="BTB23" s="206"/>
      <c r="BTC23" s="206"/>
      <c r="BTD23" s="206"/>
      <c r="BTE23" s="206"/>
      <c r="BTF23" s="206"/>
      <c r="BTG23" s="206"/>
      <c r="BTH23" s="206"/>
      <c r="BTI23" s="206"/>
      <c r="BTJ23" s="206"/>
      <c r="BTK23" s="206"/>
      <c r="BTL23" s="206"/>
      <c r="BTM23" s="206"/>
      <c r="BTN23" s="206"/>
      <c r="BTO23" s="206"/>
      <c r="BTP23" s="206"/>
      <c r="BTQ23" s="206"/>
      <c r="BTR23" s="206"/>
      <c r="BTS23" s="206"/>
      <c r="BTT23" s="206"/>
      <c r="BTU23" s="206"/>
      <c r="BTV23" s="206"/>
      <c r="BTW23" s="206"/>
      <c r="BTX23" s="206"/>
      <c r="BTY23" s="206"/>
      <c r="BTZ23" s="206"/>
      <c r="BUA23" s="206"/>
      <c r="BUB23" s="206"/>
      <c r="BUC23" s="206"/>
      <c r="BUD23" s="206"/>
      <c r="BUE23" s="206"/>
      <c r="BUF23" s="206"/>
      <c r="BUG23" s="206"/>
      <c r="BUH23" s="206"/>
      <c r="BUI23" s="206"/>
      <c r="BUJ23" s="206"/>
      <c r="BUK23" s="206"/>
      <c r="BUL23" s="206"/>
      <c r="BUM23" s="206"/>
      <c r="BUN23" s="206"/>
      <c r="BUO23" s="206"/>
      <c r="BUP23" s="206"/>
      <c r="BUQ23" s="206"/>
      <c r="BUR23" s="206"/>
      <c r="BUS23" s="206"/>
      <c r="BUT23" s="206"/>
      <c r="BUU23" s="206"/>
      <c r="BUV23" s="206"/>
      <c r="BUW23" s="206"/>
      <c r="BUX23" s="206"/>
      <c r="BUY23" s="206"/>
      <c r="BUZ23" s="206"/>
      <c r="BVA23" s="206"/>
      <c r="BVB23" s="206"/>
      <c r="BVC23" s="206"/>
      <c r="BVD23" s="206"/>
      <c r="BVE23" s="206"/>
      <c r="BVF23" s="206"/>
      <c r="BVG23" s="206"/>
      <c r="BVH23" s="206"/>
      <c r="BVI23" s="206"/>
      <c r="BVJ23" s="206"/>
      <c r="BVK23" s="206"/>
      <c r="BVL23" s="206"/>
      <c r="BVM23" s="206"/>
      <c r="BVN23" s="206"/>
      <c r="BVO23" s="206"/>
      <c r="BVP23" s="206"/>
      <c r="BVQ23" s="206"/>
      <c r="BVR23" s="206"/>
      <c r="BVS23" s="206"/>
      <c r="BVT23" s="206"/>
      <c r="BVU23" s="206"/>
      <c r="BVV23" s="206"/>
      <c r="BVW23" s="206"/>
      <c r="BVX23" s="206"/>
      <c r="BVY23" s="206"/>
      <c r="BVZ23" s="206"/>
      <c r="BWA23" s="206"/>
      <c r="BWB23" s="206"/>
      <c r="BWC23" s="206"/>
      <c r="BWD23" s="206"/>
      <c r="BWE23" s="206"/>
      <c r="BWF23" s="206"/>
      <c r="BWG23" s="206"/>
      <c r="BWH23" s="206"/>
      <c r="BWI23" s="206"/>
      <c r="BWJ23" s="206"/>
      <c r="BWK23" s="206"/>
      <c r="BWL23" s="206"/>
      <c r="BWM23" s="206"/>
      <c r="BWN23" s="206"/>
      <c r="BWO23" s="206"/>
      <c r="BWP23" s="206"/>
      <c r="BWQ23" s="206"/>
      <c r="BWR23" s="206"/>
      <c r="BWS23" s="206"/>
      <c r="BWT23" s="206"/>
      <c r="BWU23" s="206"/>
      <c r="BWV23" s="206"/>
      <c r="BWW23" s="206"/>
      <c r="BWX23" s="206"/>
      <c r="BWY23" s="206"/>
      <c r="BWZ23" s="206"/>
      <c r="BXA23" s="206"/>
      <c r="BXB23" s="206"/>
      <c r="BXC23" s="206"/>
      <c r="BXD23" s="206"/>
      <c r="BXE23" s="206"/>
      <c r="BXF23" s="206"/>
      <c r="BXG23" s="206"/>
      <c r="BXH23" s="206"/>
      <c r="BXI23" s="206"/>
      <c r="BXJ23" s="206"/>
      <c r="BXK23" s="206"/>
      <c r="BXL23" s="206"/>
      <c r="BXM23" s="206"/>
      <c r="BXN23" s="206"/>
      <c r="BXO23" s="206"/>
      <c r="BXP23" s="206"/>
      <c r="BXQ23" s="206"/>
      <c r="BXR23" s="206"/>
      <c r="BXS23" s="206"/>
      <c r="BXT23" s="206"/>
      <c r="BXU23" s="206"/>
      <c r="BXV23" s="206"/>
      <c r="BXW23" s="206"/>
      <c r="BXX23" s="206"/>
      <c r="BXY23" s="206"/>
      <c r="BXZ23" s="206"/>
      <c r="BYA23" s="206"/>
      <c r="BYB23" s="206"/>
      <c r="BYC23" s="206"/>
      <c r="BYD23" s="206"/>
      <c r="BYE23" s="206"/>
      <c r="BYF23" s="206"/>
      <c r="BYG23" s="206"/>
    </row>
    <row r="24" spans="1:2009" s="99" customFormat="1" ht="12.75" hidden="1" customHeight="1" thickBot="1" x14ac:dyDescent="0.3">
      <c r="A24" s="106"/>
      <c r="B24" s="107"/>
      <c r="C24" s="175"/>
      <c r="D24" s="175"/>
      <c r="E24" s="175"/>
      <c r="F24" s="175"/>
      <c r="G24" s="635"/>
      <c r="H24" s="98"/>
      <c r="I24" s="722"/>
      <c r="J24" s="98"/>
      <c r="K24" s="417"/>
      <c r="L24" s="416">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92</v>
      </c>
      <c r="B25" s="138"/>
      <c r="C25" s="176"/>
      <c r="D25" s="176"/>
      <c r="E25" s="177"/>
      <c r="F25" s="177"/>
      <c r="G25" s="636"/>
      <c r="H25" s="93"/>
      <c r="I25" s="544"/>
      <c r="J25" s="93"/>
      <c r="K25" s="417"/>
      <c r="L25" s="417" t="s">
        <v>194</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153</v>
      </c>
      <c r="C26" s="178"/>
      <c r="D26" s="178"/>
      <c r="E26" s="179"/>
      <c r="F26" s="179"/>
      <c r="G26" s="637"/>
      <c r="H26" s="93"/>
      <c r="I26" s="544"/>
      <c r="J26" s="93"/>
      <c r="K26" s="418"/>
      <c r="L26"/>
      <c r="M26" s="419">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2" customFormat="1" ht="24.95" hidden="1" customHeight="1" thickBot="1" x14ac:dyDescent="0.3">
      <c r="A27" s="208"/>
      <c r="B27" s="209" t="s">
        <v>137</v>
      </c>
      <c r="C27" s="210"/>
      <c r="D27" s="211"/>
      <c r="E27" s="211"/>
      <c r="F27" s="211">
        <f>SUM(F25:F26)</f>
        <v>0</v>
      </c>
      <c r="G27" s="638">
        <f>ROUND(SUM(C27:F27),5)</f>
        <v>0</v>
      </c>
      <c r="H27" s="195"/>
      <c r="I27" s="544"/>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6"/>
      <c r="BK27" s="196"/>
      <c r="BL27" s="196"/>
      <c r="BM27" s="196"/>
      <c r="BN27" s="196"/>
      <c r="BO27" s="196"/>
      <c r="BP27" s="196"/>
      <c r="BQ27" s="196"/>
      <c r="BR27" s="196"/>
      <c r="BS27" s="196"/>
      <c r="BT27" s="196"/>
      <c r="BU27" s="196"/>
      <c r="BV27" s="196"/>
      <c r="BW27" s="196"/>
      <c r="BX27" s="196"/>
      <c r="BY27" s="196"/>
      <c r="BZ27" s="196"/>
      <c r="CA27" s="196"/>
      <c r="CB27" s="196"/>
      <c r="CC27" s="196"/>
      <c r="CD27" s="196"/>
      <c r="CE27" s="196"/>
      <c r="CF27" s="196"/>
      <c r="CG27" s="196"/>
      <c r="CH27" s="196"/>
      <c r="CI27" s="196"/>
      <c r="CJ27" s="196"/>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196"/>
      <c r="EN27" s="196"/>
      <c r="EO27" s="196"/>
      <c r="EP27" s="196"/>
      <c r="EQ27" s="196"/>
      <c r="ER27" s="196"/>
      <c r="ES27" s="196"/>
      <c r="ET27" s="196"/>
      <c r="EU27" s="196"/>
      <c r="EV27" s="196"/>
      <c r="EW27" s="196"/>
      <c r="EX27" s="196"/>
      <c r="EY27" s="196"/>
      <c r="EZ27" s="196"/>
      <c r="FA27" s="196"/>
      <c r="FB27" s="196"/>
      <c r="FC27" s="196"/>
      <c r="FD27" s="196"/>
      <c r="FE27" s="196"/>
      <c r="FF27" s="196"/>
      <c r="FG27" s="196"/>
      <c r="FH27" s="196"/>
      <c r="FI27" s="196"/>
      <c r="FJ27" s="196"/>
      <c r="FK27" s="196"/>
      <c r="FL27" s="196"/>
      <c r="FM27" s="196"/>
      <c r="FN27" s="196"/>
      <c r="FO27" s="196"/>
      <c r="FP27" s="196"/>
      <c r="FQ27" s="196"/>
      <c r="FR27" s="196"/>
      <c r="FS27" s="196"/>
      <c r="FT27" s="196"/>
      <c r="FU27" s="196"/>
      <c r="FV27" s="196"/>
      <c r="FW27" s="196"/>
      <c r="FX27" s="196"/>
      <c r="FY27" s="196"/>
      <c r="FZ27" s="196"/>
      <c r="GA27" s="196"/>
      <c r="GB27" s="196"/>
      <c r="GC27" s="196"/>
      <c r="GD27" s="196"/>
      <c r="GE27" s="196"/>
      <c r="GF27" s="196"/>
      <c r="GG27" s="196"/>
      <c r="GH27" s="196"/>
      <c r="GI27" s="196"/>
      <c r="GJ27" s="196"/>
      <c r="GK27" s="196"/>
      <c r="GL27" s="196"/>
      <c r="GM27" s="196"/>
      <c r="GN27" s="196"/>
      <c r="GO27" s="196"/>
      <c r="GP27" s="196"/>
      <c r="GQ27" s="196"/>
      <c r="GR27" s="196"/>
      <c r="GS27" s="196"/>
      <c r="GT27" s="196"/>
      <c r="GU27" s="196"/>
      <c r="GV27" s="196"/>
      <c r="GW27" s="196"/>
      <c r="GX27" s="196"/>
      <c r="GY27" s="196"/>
      <c r="GZ27" s="196"/>
      <c r="HA27" s="196"/>
      <c r="HB27" s="196"/>
      <c r="HC27" s="196"/>
      <c r="HD27" s="196"/>
      <c r="HE27" s="196"/>
      <c r="HF27" s="196"/>
      <c r="HG27" s="196"/>
      <c r="HH27" s="196"/>
      <c r="HI27" s="196"/>
      <c r="HJ27" s="196"/>
      <c r="HK27" s="196"/>
      <c r="HL27" s="196"/>
      <c r="HM27" s="196"/>
      <c r="HN27" s="196"/>
      <c r="HO27" s="196"/>
      <c r="HP27" s="196"/>
      <c r="HQ27" s="196"/>
      <c r="HR27" s="196"/>
      <c r="HS27" s="196"/>
      <c r="HT27" s="196"/>
      <c r="HU27" s="196"/>
      <c r="HV27" s="196"/>
      <c r="HW27" s="196"/>
      <c r="HX27" s="196"/>
      <c r="HY27" s="196"/>
      <c r="HZ27" s="196"/>
      <c r="IA27" s="196"/>
      <c r="IB27" s="196"/>
      <c r="IC27" s="196"/>
      <c r="ID27" s="196"/>
      <c r="IE27" s="196"/>
      <c r="IF27" s="196"/>
      <c r="IG27" s="196"/>
      <c r="IH27" s="196"/>
      <c r="II27" s="196"/>
      <c r="IJ27" s="196"/>
      <c r="IK27" s="196"/>
      <c r="IL27" s="196"/>
      <c r="IM27" s="196"/>
      <c r="IN27" s="196"/>
      <c r="IO27" s="196"/>
      <c r="IP27" s="196"/>
      <c r="IQ27" s="196"/>
      <c r="IR27" s="196"/>
      <c r="IS27" s="196"/>
      <c r="IT27" s="196"/>
      <c r="IU27" s="196"/>
      <c r="IV27" s="196"/>
      <c r="IW27" s="196"/>
      <c r="IX27" s="196"/>
      <c r="IY27" s="196"/>
      <c r="IZ27" s="196"/>
      <c r="JA27" s="196"/>
      <c r="JB27" s="196"/>
      <c r="JC27" s="196"/>
      <c r="JD27" s="196"/>
      <c r="JE27" s="196"/>
      <c r="JF27" s="196"/>
      <c r="JG27" s="196"/>
      <c r="JH27" s="196"/>
      <c r="JI27" s="196"/>
      <c r="JJ27" s="196"/>
      <c r="JK27" s="196"/>
      <c r="JL27" s="196"/>
      <c r="JM27" s="196"/>
      <c r="JN27" s="196"/>
      <c r="JO27" s="196"/>
      <c r="JP27" s="196"/>
      <c r="JQ27" s="196"/>
      <c r="JR27" s="196"/>
      <c r="JS27" s="196"/>
      <c r="JT27" s="196"/>
      <c r="JU27" s="196"/>
      <c r="JV27" s="196"/>
      <c r="JW27" s="196"/>
      <c r="JX27" s="196"/>
      <c r="JY27" s="196"/>
      <c r="JZ27" s="196"/>
      <c r="KA27" s="196"/>
      <c r="KB27" s="196"/>
      <c r="KC27" s="196"/>
      <c r="KD27" s="196"/>
      <c r="KE27" s="196"/>
      <c r="KF27" s="196"/>
      <c r="KG27" s="196"/>
      <c r="KH27" s="196"/>
      <c r="KI27" s="196"/>
      <c r="KJ27" s="196"/>
      <c r="KK27" s="196"/>
      <c r="KL27" s="196"/>
      <c r="KM27" s="196"/>
      <c r="KN27" s="196"/>
      <c r="KO27" s="196"/>
      <c r="KP27" s="196"/>
      <c r="KQ27" s="196"/>
      <c r="KR27" s="196"/>
      <c r="KS27" s="196"/>
      <c r="KT27" s="196"/>
      <c r="KU27" s="196"/>
      <c r="KV27" s="196"/>
      <c r="KW27" s="196"/>
      <c r="KX27" s="196"/>
      <c r="KY27" s="196"/>
      <c r="KZ27" s="196"/>
      <c r="LA27" s="196"/>
      <c r="LB27" s="196"/>
      <c r="LC27" s="196"/>
      <c r="LD27" s="196"/>
      <c r="LE27" s="196"/>
      <c r="LF27" s="196"/>
      <c r="LG27" s="196"/>
      <c r="LH27" s="196"/>
      <c r="LI27" s="196"/>
      <c r="LJ27" s="196"/>
      <c r="LK27" s="196"/>
      <c r="LL27" s="196"/>
      <c r="LM27" s="196"/>
      <c r="LN27" s="196"/>
      <c r="LO27" s="196"/>
      <c r="LP27" s="196"/>
      <c r="LQ27" s="196"/>
      <c r="LR27" s="196"/>
      <c r="LS27" s="196"/>
      <c r="LT27" s="196"/>
      <c r="LU27" s="196"/>
      <c r="LV27" s="196"/>
      <c r="LW27" s="196"/>
      <c r="LX27" s="196"/>
      <c r="LY27" s="196"/>
      <c r="LZ27" s="196"/>
      <c r="MA27" s="196"/>
      <c r="MB27" s="196"/>
      <c r="MC27" s="196"/>
      <c r="MD27" s="196"/>
      <c r="ME27" s="196"/>
      <c r="MF27" s="196"/>
      <c r="MG27" s="196"/>
      <c r="MH27" s="196"/>
      <c r="MI27" s="196"/>
      <c r="MJ27" s="196"/>
      <c r="MK27" s="196"/>
      <c r="ML27" s="196"/>
      <c r="MM27" s="196"/>
      <c r="MN27" s="196"/>
      <c r="MO27" s="196"/>
      <c r="MP27" s="196"/>
      <c r="MQ27" s="196"/>
      <c r="MR27" s="196"/>
      <c r="MS27" s="196"/>
      <c r="MT27" s="196"/>
      <c r="MU27" s="196"/>
      <c r="MV27" s="196"/>
      <c r="MW27" s="196"/>
      <c r="MX27" s="196"/>
      <c r="MY27" s="196"/>
      <c r="MZ27" s="196"/>
      <c r="NA27" s="196"/>
      <c r="NB27" s="196"/>
      <c r="NC27" s="196"/>
      <c r="ND27" s="196"/>
      <c r="NE27" s="196"/>
      <c r="NF27" s="196"/>
      <c r="NG27" s="196"/>
      <c r="NH27" s="196"/>
      <c r="NI27" s="196"/>
      <c r="NJ27" s="196"/>
      <c r="NK27" s="196"/>
      <c r="NL27" s="196"/>
      <c r="NM27" s="196"/>
      <c r="NN27" s="196"/>
      <c r="NO27" s="196"/>
      <c r="NP27" s="196"/>
      <c r="NQ27" s="196"/>
      <c r="NR27" s="196"/>
      <c r="NS27" s="196"/>
      <c r="NT27" s="196"/>
      <c r="NU27" s="196"/>
      <c r="NV27" s="196"/>
      <c r="NW27" s="196"/>
      <c r="NX27" s="196"/>
      <c r="NY27" s="196"/>
      <c r="NZ27" s="196"/>
      <c r="OA27" s="196"/>
      <c r="OB27" s="196"/>
      <c r="OC27" s="196"/>
      <c r="OD27" s="196"/>
      <c r="OE27" s="196"/>
      <c r="OF27" s="196"/>
      <c r="OG27" s="196"/>
      <c r="OH27" s="196"/>
      <c r="OI27" s="196"/>
      <c r="OJ27" s="196"/>
      <c r="OK27" s="196"/>
      <c r="OL27" s="196"/>
      <c r="OM27" s="196"/>
      <c r="ON27" s="196"/>
      <c r="OO27" s="196"/>
      <c r="OP27" s="196"/>
      <c r="OQ27" s="196"/>
      <c r="OR27" s="196"/>
      <c r="OS27" s="196"/>
      <c r="OT27" s="196"/>
      <c r="OU27" s="196"/>
      <c r="OV27" s="196"/>
      <c r="OW27" s="196"/>
      <c r="OX27" s="196"/>
      <c r="OY27" s="196"/>
      <c r="OZ27" s="196"/>
      <c r="PA27" s="196"/>
      <c r="PB27" s="196"/>
      <c r="PC27" s="196"/>
      <c r="PD27" s="196"/>
      <c r="PE27" s="196"/>
      <c r="PF27" s="196"/>
      <c r="PG27" s="196"/>
      <c r="PH27" s="196"/>
      <c r="PI27" s="196"/>
      <c r="PJ27" s="196"/>
      <c r="PK27" s="196"/>
      <c r="PL27" s="196"/>
      <c r="PM27" s="196"/>
      <c r="PN27" s="196"/>
      <c r="PO27" s="196"/>
      <c r="PP27" s="196"/>
      <c r="PQ27" s="196"/>
      <c r="PR27" s="196"/>
      <c r="PS27" s="196"/>
      <c r="PT27" s="196"/>
      <c r="PU27" s="196"/>
      <c r="PV27" s="196"/>
      <c r="PW27" s="196"/>
      <c r="PX27" s="196"/>
      <c r="PY27" s="196"/>
      <c r="PZ27" s="196"/>
      <c r="QA27" s="196"/>
      <c r="QB27" s="196"/>
      <c r="QC27" s="196"/>
      <c r="QD27" s="196"/>
      <c r="QE27" s="196"/>
      <c r="QF27" s="196"/>
      <c r="QG27" s="196"/>
      <c r="QH27" s="196"/>
      <c r="QI27" s="196"/>
      <c r="QJ27" s="196"/>
      <c r="QK27" s="196"/>
      <c r="QL27" s="196"/>
      <c r="QM27" s="196"/>
      <c r="QN27" s="196"/>
      <c r="QO27" s="196"/>
      <c r="QP27" s="196"/>
      <c r="QQ27" s="196"/>
      <c r="QR27" s="196"/>
      <c r="QS27" s="196"/>
      <c r="QT27" s="196"/>
      <c r="QU27" s="196"/>
      <c r="QV27" s="196"/>
      <c r="QW27" s="196"/>
      <c r="QX27" s="196"/>
      <c r="QY27" s="196"/>
      <c r="QZ27" s="196"/>
      <c r="RA27" s="196"/>
      <c r="RB27" s="196"/>
      <c r="RC27" s="196"/>
      <c r="RD27" s="196"/>
      <c r="RE27" s="196"/>
      <c r="RF27" s="196"/>
      <c r="RG27" s="196"/>
      <c r="RH27" s="196"/>
      <c r="RI27" s="196"/>
      <c r="RJ27" s="196"/>
      <c r="RK27" s="196"/>
      <c r="RL27" s="196"/>
      <c r="RM27" s="196"/>
      <c r="RN27" s="196"/>
      <c r="RO27" s="196"/>
      <c r="RP27" s="196"/>
      <c r="RQ27" s="196"/>
      <c r="RR27" s="196"/>
      <c r="RS27" s="196"/>
      <c r="RT27" s="196"/>
      <c r="RU27" s="196"/>
      <c r="RV27" s="196"/>
      <c r="RW27" s="196"/>
      <c r="RX27" s="196"/>
      <c r="RY27" s="196"/>
      <c r="RZ27" s="196"/>
      <c r="SA27" s="196"/>
      <c r="SB27" s="196"/>
      <c r="SC27" s="196"/>
      <c r="SD27" s="196"/>
      <c r="SE27" s="196"/>
      <c r="SF27" s="196"/>
      <c r="SG27" s="196"/>
      <c r="SH27" s="196"/>
      <c r="SI27" s="196"/>
      <c r="SJ27" s="196"/>
      <c r="SK27" s="196"/>
      <c r="SL27" s="196"/>
      <c r="SM27" s="196"/>
      <c r="SN27" s="196"/>
      <c r="SO27" s="196"/>
      <c r="SP27" s="196"/>
      <c r="SQ27" s="196"/>
      <c r="SR27" s="196"/>
      <c r="SS27" s="196"/>
      <c r="ST27" s="196"/>
      <c r="SU27" s="196"/>
      <c r="SV27" s="196"/>
      <c r="SW27" s="196"/>
      <c r="SX27" s="196"/>
      <c r="SY27" s="196"/>
      <c r="SZ27" s="196"/>
      <c r="TA27" s="196"/>
      <c r="TB27" s="196"/>
      <c r="TC27" s="196"/>
      <c r="TD27" s="196"/>
      <c r="TE27" s="196"/>
      <c r="TF27" s="196"/>
      <c r="TG27" s="196"/>
      <c r="TH27" s="196"/>
      <c r="TI27" s="196"/>
      <c r="TJ27" s="196"/>
      <c r="TK27" s="196"/>
      <c r="TL27" s="196"/>
      <c r="TM27" s="196"/>
      <c r="TN27" s="196"/>
      <c r="TO27" s="196"/>
      <c r="TP27" s="196"/>
      <c r="TQ27" s="196"/>
      <c r="TR27" s="196"/>
      <c r="TS27" s="196"/>
      <c r="TT27" s="196"/>
      <c r="TU27" s="196"/>
      <c r="TV27" s="196"/>
      <c r="TW27" s="196"/>
      <c r="TX27" s="196"/>
      <c r="TY27" s="196"/>
      <c r="TZ27" s="196"/>
      <c r="UA27" s="196"/>
      <c r="UB27" s="196"/>
      <c r="UC27" s="196"/>
      <c r="UD27" s="196"/>
      <c r="UE27" s="196"/>
      <c r="UF27" s="196"/>
      <c r="UG27" s="196"/>
      <c r="UH27" s="196"/>
      <c r="UI27" s="196"/>
      <c r="UJ27" s="196"/>
      <c r="UK27" s="196"/>
      <c r="UL27" s="196"/>
      <c r="UM27" s="196"/>
      <c r="UN27" s="196"/>
      <c r="UO27" s="196"/>
      <c r="UP27" s="196"/>
      <c r="UQ27" s="196"/>
      <c r="UR27" s="196"/>
      <c r="US27" s="196"/>
      <c r="UT27" s="196"/>
      <c r="UU27" s="196"/>
      <c r="UV27" s="196"/>
      <c r="UW27" s="196"/>
      <c r="UX27" s="196"/>
      <c r="UY27" s="196"/>
      <c r="UZ27" s="196"/>
      <c r="VA27" s="196"/>
      <c r="VB27" s="196"/>
      <c r="VC27" s="196"/>
      <c r="VD27" s="196"/>
      <c r="VE27" s="196"/>
      <c r="VF27" s="196"/>
      <c r="VG27" s="196"/>
      <c r="VH27" s="196"/>
      <c r="VI27" s="196"/>
      <c r="VJ27" s="196"/>
      <c r="VK27" s="196"/>
      <c r="VL27" s="196"/>
      <c r="VM27" s="196"/>
      <c r="VN27" s="196"/>
      <c r="VO27" s="196"/>
      <c r="VP27" s="196"/>
      <c r="VQ27" s="196"/>
      <c r="VR27" s="196"/>
      <c r="VS27" s="196"/>
      <c r="VT27" s="196"/>
      <c r="VU27" s="196"/>
      <c r="VV27" s="196"/>
      <c r="VW27" s="196"/>
      <c r="VX27" s="196"/>
      <c r="VY27" s="196"/>
      <c r="VZ27" s="196"/>
      <c r="WA27" s="196"/>
      <c r="WB27" s="196"/>
      <c r="WC27" s="196"/>
      <c r="WD27" s="196"/>
      <c r="WE27" s="196"/>
      <c r="WF27" s="196"/>
      <c r="WG27" s="196"/>
      <c r="WH27" s="196"/>
      <c r="WI27" s="196"/>
      <c r="WJ27" s="196"/>
      <c r="WK27" s="196"/>
      <c r="WL27" s="196"/>
      <c r="WM27" s="196"/>
      <c r="WN27" s="196"/>
      <c r="WO27" s="196"/>
      <c r="WP27" s="196"/>
      <c r="WQ27" s="196"/>
      <c r="WR27" s="196"/>
      <c r="WS27" s="196"/>
      <c r="WT27" s="196"/>
      <c r="WU27" s="196"/>
      <c r="WV27" s="196"/>
      <c r="WW27" s="196"/>
      <c r="WX27" s="196"/>
      <c r="WY27" s="196"/>
      <c r="WZ27" s="196"/>
      <c r="XA27" s="196"/>
      <c r="XB27" s="196"/>
      <c r="XC27" s="196"/>
      <c r="XD27" s="196"/>
      <c r="XE27" s="196"/>
      <c r="XF27" s="196"/>
      <c r="XG27" s="196"/>
      <c r="XH27" s="196"/>
      <c r="XI27" s="196"/>
      <c r="XJ27" s="196"/>
      <c r="XK27" s="196"/>
      <c r="XL27" s="196"/>
      <c r="XM27" s="196"/>
      <c r="XN27" s="196"/>
      <c r="XO27" s="196"/>
      <c r="XP27" s="196"/>
      <c r="XQ27" s="196"/>
      <c r="XR27" s="196"/>
      <c r="XS27" s="196"/>
      <c r="XT27" s="196"/>
      <c r="XU27" s="196"/>
      <c r="XV27" s="196"/>
      <c r="XW27" s="196"/>
      <c r="XX27" s="196"/>
      <c r="XY27" s="196"/>
      <c r="XZ27" s="196"/>
      <c r="YA27" s="196"/>
      <c r="YB27" s="196"/>
      <c r="YC27" s="196"/>
      <c r="YD27" s="196"/>
      <c r="YE27" s="196"/>
      <c r="YF27" s="196"/>
      <c r="YG27" s="196"/>
      <c r="YH27" s="196"/>
      <c r="YI27" s="196"/>
      <c r="YJ27" s="196"/>
      <c r="YK27" s="196"/>
      <c r="YL27" s="196"/>
      <c r="YM27" s="196"/>
      <c r="YN27" s="196"/>
      <c r="YO27" s="196"/>
      <c r="YP27" s="196"/>
      <c r="YQ27" s="196"/>
      <c r="YR27" s="196"/>
      <c r="YS27" s="196"/>
      <c r="YT27" s="196"/>
      <c r="YU27" s="196"/>
      <c r="YV27" s="196"/>
      <c r="YW27" s="196"/>
      <c r="YX27" s="196"/>
      <c r="YY27" s="196"/>
      <c r="YZ27" s="196"/>
      <c r="ZA27" s="196"/>
      <c r="ZB27" s="196"/>
      <c r="ZC27" s="196"/>
      <c r="ZD27" s="196"/>
      <c r="ZE27" s="196"/>
      <c r="ZF27" s="196"/>
      <c r="ZG27" s="196"/>
      <c r="ZH27" s="196"/>
      <c r="ZI27" s="196"/>
      <c r="ZJ27" s="196"/>
      <c r="ZK27" s="196"/>
      <c r="ZL27" s="196"/>
      <c r="ZM27" s="196"/>
      <c r="ZN27" s="196"/>
      <c r="ZO27" s="196"/>
      <c r="ZP27" s="196"/>
      <c r="ZQ27" s="196"/>
      <c r="ZR27" s="196"/>
      <c r="ZS27" s="196"/>
      <c r="ZT27" s="196"/>
      <c r="ZU27" s="196"/>
      <c r="ZV27" s="196"/>
      <c r="ZW27" s="196"/>
      <c r="ZX27" s="196"/>
      <c r="ZY27" s="196"/>
      <c r="ZZ27" s="196"/>
      <c r="AAA27" s="196"/>
      <c r="AAB27" s="196"/>
      <c r="AAC27" s="196"/>
      <c r="AAD27" s="196"/>
      <c r="AAE27" s="196"/>
      <c r="AAF27" s="196"/>
      <c r="AAG27" s="196"/>
      <c r="AAH27" s="196"/>
      <c r="AAI27" s="196"/>
      <c r="AAJ27" s="196"/>
      <c r="AAK27" s="196"/>
      <c r="AAL27" s="196"/>
      <c r="AAM27" s="196"/>
      <c r="AAN27" s="196"/>
      <c r="AAO27" s="196"/>
      <c r="AAP27" s="196"/>
      <c r="AAQ27" s="196"/>
      <c r="AAR27" s="196"/>
      <c r="AAS27" s="196"/>
      <c r="AAT27" s="196"/>
      <c r="AAU27" s="196"/>
      <c r="AAV27" s="196"/>
      <c r="AAW27" s="196"/>
      <c r="AAX27" s="196"/>
      <c r="AAY27" s="196"/>
      <c r="AAZ27" s="196"/>
      <c r="ABA27" s="196"/>
      <c r="ABB27" s="196"/>
      <c r="ABC27" s="196"/>
      <c r="ABD27" s="196"/>
      <c r="ABE27" s="196"/>
      <c r="ABF27" s="196"/>
      <c r="ABG27" s="196"/>
      <c r="ABH27" s="196"/>
      <c r="ABI27" s="196"/>
      <c r="ABJ27" s="196"/>
      <c r="ABK27" s="196"/>
      <c r="ABL27" s="196"/>
      <c r="ABM27" s="196"/>
      <c r="ABN27" s="196"/>
      <c r="ABO27" s="196"/>
      <c r="ABP27" s="196"/>
      <c r="ABQ27" s="196"/>
      <c r="ABR27" s="196"/>
      <c r="ABS27" s="196"/>
      <c r="ABT27" s="196"/>
      <c r="ABU27" s="196"/>
      <c r="ABV27" s="196"/>
      <c r="ABW27" s="196"/>
      <c r="ABX27" s="196"/>
      <c r="ABY27" s="196"/>
      <c r="ABZ27" s="196"/>
      <c r="ACA27" s="196"/>
      <c r="ACB27" s="196"/>
      <c r="ACC27" s="196"/>
      <c r="ACD27" s="196"/>
      <c r="ACE27" s="196"/>
      <c r="ACF27" s="196"/>
      <c r="ACG27" s="196"/>
      <c r="ACH27" s="196"/>
      <c r="ACI27" s="196"/>
      <c r="ACJ27" s="196"/>
      <c r="ACK27" s="196"/>
      <c r="ACL27" s="196"/>
      <c r="ACM27" s="196"/>
      <c r="ACN27" s="196"/>
      <c r="ACO27" s="196"/>
      <c r="ACP27" s="196"/>
      <c r="ACQ27" s="196"/>
      <c r="ACR27" s="196"/>
      <c r="ACS27" s="196"/>
      <c r="ACT27" s="196"/>
      <c r="ACU27" s="196"/>
      <c r="ACV27" s="196"/>
      <c r="ACW27" s="196"/>
      <c r="ACX27" s="196"/>
      <c r="ACY27" s="196"/>
      <c r="ACZ27" s="196"/>
      <c r="ADA27" s="196"/>
      <c r="ADB27" s="196"/>
      <c r="ADC27" s="196"/>
      <c r="ADD27" s="196"/>
      <c r="ADE27" s="196"/>
      <c r="ADF27" s="196"/>
      <c r="ADG27" s="196"/>
      <c r="ADH27" s="196"/>
      <c r="ADI27" s="196"/>
      <c r="ADJ27" s="196"/>
      <c r="ADK27" s="196"/>
      <c r="ADL27" s="196"/>
      <c r="ADM27" s="196"/>
      <c r="ADN27" s="196"/>
      <c r="ADO27" s="196"/>
      <c r="ADP27" s="196"/>
      <c r="ADQ27" s="196"/>
      <c r="ADR27" s="196"/>
      <c r="ADS27" s="196"/>
      <c r="ADT27" s="196"/>
      <c r="ADU27" s="196"/>
      <c r="ADV27" s="196"/>
      <c r="ADW27" s="196"/>
      <c r="ADX27" s="196"/>
      <c r="ADY27" s="196"/>
      <c r="ADZ27" s="196"/>
      <c r="AEA27" s="196"/>
      <c r="AEB27" s="196"/>
      <c r="AEC27" s="196"/>
      <c r="AED27" s="196"/>
      <c r="AEE27" s="196"/>
      <c r="AEF27" s="196"/>
      <c r="AEG27" s="196"/>
      <c r="AEH27" s="196"/>
      <c r="AEI27" s="196"/>
      <c r="AEJ27" s="196"/>
      <c r="AEK27" s="196"/>
      <c r="AEL27" s="196"/>
      <c r="AEM27" s="196"/>
      <c r="AEN27" s="196"/>
      <c r="AEO27" s="196"/>
      <c r="AEP27" s="196"/>
      <c r="AEQ27" s="196"/>
      <c r="AER27" s="196"/>
      <c r="AES27" s="196"/>
      <c r="AET27" s="196"/>
      <c r="AEU27" s="196"/>
      <c r="AEV27" s="196"/>
      <c r="AEW27" s="196"/>
      <c r="AEX27" s="196"/>
      <c r="AEY27" s="196"/>
      <c r="AEZ27" s="196"/>
      <c r="AFA27" s="196"/>
      <c r="AFB27" s="196"/>
      <c r="AFC27" s="196"/>
      <c r="AFD27" s="196"/>
      <c r="AFE27" s="196"/>
      <c r="AFF27" s="196"/>
      <c r="AFG27" s="196"/>
      <c r="AFH27" s="196"/>
      <c r="AFI27" s="196"/>
      <c r="AFJ27" s="196"/>
      <c r="AFK27" s="196"/>
      <c r="AFL27" s="196"/>
      <c r="AFM27" s="196"/>
      <c r="AFN27" s="196"/>
      <c r="AFO27" s="196"/>
      <c r="AFP27" s="196"/>
      <c r="AFQ27" s="196"/>
      <c r="AFR27" s="196"/>
      <c r="AFS27" s="196"/>
      <c r="AFT27" s="196"/>
      <c r="AFU27" s="196"/>
      <c r="AFV27" s="196"/>
      <c r="AFW27" s="196"/>
      <c r="AFX27" s="196"/>
      <c r="AFY27" s="196"/>
      <c r="AFZ27" s="196"/>
      <c r="AGA27" s="196"/>
      <c r="AGB27" s="196"/>
      <c r="AGC27" s="196"/>
      <c r="AGD27" s="196"/>
      <c r="AGE27" s="196"/>
      <c r="AGF27" s="196"/>
      <c r="AGG27" s="196"/>
      <c r="AGH27" s="196"/>
      <c r="AGI27" s="196"/>
      <c r="AGJ27" s="196"/>
      <c r="AGK27" s="196"/>
      <c r="AGL27" s="196"/>
      <c r="AGM27" s="196"/>
      <c r="AGN27" s="196"/>
      <c r="AGO27" s="196"/>
      <c r="AGP27" s="196"/>
      <c r="AGQ27" s="196"/>
      <c r="AGR27" s="196"/>
      <c r="AGS27" s="196"/>
      <c r="AGT27" s="196"/>
      <c r="AGU27" s="196"/>
      <c r="AGV27" s="196"/>
      <c r="AGW27" s="196"/>
      <c r="AGX27" s="196"/>
      <c r="AGY27" s="196"/>
      <c r="AGZ27" s="196"/>
      <c r="AHA27" s="196"/>
      <c r="AHB27" s="196"/>
      <c r="AHC27" s="196"/>
      <c r="AHD27" s="196"/>
      <c r="AHE27" s="196"/>
      <c r="AHF27" s="196"/>
      <c r="AHG27" s="196"/>
      <c r="AHH27" s="196"/>
      <c r="AHI27" s="196"/>
      <c r="AHJ27" s="196"/>
      <c r="AHK27" s="196"/>
      <c r="AHL27" s="196"/>
      <c r="AHM27" s="196"/>
      <c r="AHN27" s="196"/>
      <c r="AHO27" s="196"/>
      <c r="AHP27" s="196"/>
      <c r="AHQ27" s="196"/>
      <c r="AHR27" s="196"/>
      <c r="AHS27" s="196"/>
      <c r="AHT27" s="196"/>
      <c r="AHU27" s="196"/>
      <c r="AHV27" s="196"/>
      <c r="AHW27" s="196"/>
      <c r="AHX27" s="196"/>
      <c r="AHY27" s="196"/>
      <c r="AHZ27" s="196"/>
      <c r="AIA27" s="196"/>
      <c r="AIB27" s="196"/>
      <c r="AIC27" s="196"/>
      <c r="AID27" s="196"/>
      <c r="AIE27" s="196"/>
      <c r="AIF27" s="196"/>
      <c r="AIG27" s="196"/>
      <c r="AIH27" s="196"/>
      <c r="AII27" s="196"/>
      <c r="AIJ27" s="196"/>
      <c r="AIK27" s="196"/>
      <c r="AIL27" s="196"/>
      <c r="AIM27" s="196"/>
      <c r="AIN27" s="196"/>
      <c r="AIO27" s="196"/>
      <c r="AIP27" s="196"/>
      <c r="AIQ27" s="196"/>
      <c r="AIR27" s="196"/>
      <c r="AIS27" s="196"/>
      <c r="AIT27" s="196"/>
      <c r="AIU27" s="196"/>
      <c r="AIV27" s="196"/>
      <c r="AIW27" s="196"/>
      <c r="AIX27" s="196"/>
      <c r="AIY27" s="196"/>
      <c r="AIZ27" s="196"/>
      <c r="AJA27" s="196"/>
      <c r="AJB27" s="196"/>
      <c r="AJC27" s="196"/>
      <c r="AJD27" s="196"/>
      <c r="AJE27" s="196"/>
      <c r="AJF27" s="196"/>
      <c r="AJG27" s="196"/>
      <c r="AJH27" s="196"/>
      <c r="AJI27" s="196"/>
      <c r="AJJ27" s="196"/>
      <c r="AJK27" s="196"/>
      <c r="AJL27" s="196"/>
      <c r="AJM27" s="196"/>
      <c r="AJN27" s="196"/>
      <c r="AJO27" s="196"/>
      <c r="AJP27" s="196"/>
      <c r="AJQ27" s="196"/>
      <c r="AJR27" s="196"/>
      <c r="AJS27" s="196"/>
      <c r="AJT27" s="196"/>
      <c r="AJU27" s="196"/>
      <c r="AJV27" s="196"/>
      <c r="AJW27" s="196"/>
      <c r="AJX27" s="196"/>
      <c r="AJY27" s="196"/>
      <c r="AJZ27" s="196"/>
      <c r="AKA27" s="196"/>
      <c r="AKB27" s="196"/>
      <c r="AKC27" s="196"/>
      <c r="AKD27" s="196"/>
      <c r="AKE27" s="196"/>
      <c r="AKF27" s="196"/>
      <c r="AKG27" s="196"/>
      <c r="AKH27" s="196"/>
      <c r="AKI27" s="196"/>
      <c r="AKJ27" s="196"/>
      <c r="AKK27" s="196"/>
      <c r="AKL27" s="196"/>
      <c r="AKM27" s="196"/>
      <c r="AKN27" s="196"/>
      <c r="AKO27" s="196"/>
      <c r="AKP27" s="196"/>
      <c r="AKQ27" s="196"/>
      <c r="AKR27" s="196"/>
      <c r="AKS27" s="196"/>
      <c r="AKT27" s="196"/>
      <c r="AKU27" s="196"/>
      <c r="AKV27" s="196"/>
      <c r="AKW27" s="196"/>
      <c r="AKX27" s="196"/>
      <c r="AKY27" s="196"/>
      <c r="AKZ27" s="196"/>
      <c r="ALA27" s="196"/>
      <c r="ALB27" s="196"/>
      <c r="ALC27" s="196"/>
      <c r="ALD27" s="196"/>
      <c r="ALE27" s="196"/>
      <c r="ALF27" s="196"/>
      <c r="ALG27" s="196"/>
      <c r="ALH27" s="196"/>
      <c r="ALI27" s="196"/>
      <c r="ALJ27" s="196"/>
      <c r="ALK27" s="196"/>
      <c r="ALL27" s="196"/>
      <c r="ALM27" s="196"/>
      <c r="ALN27" s="196"/>
      <c r="ALO27" s="196"/>
      <c r="ALP27" s="196"/>
      <c r="ALQ27" s="196"/>
      <c r="ALR27" s="196"/>
      <c r="ALS27" s="196"/>
      <c r="ALT27" s="196"/>
      <c r="ALU27" s="196"/>
      <c r="ALV27" s="196"/>
      <c r="ALW27" s="196"/>
      <c r="ALX27" s="196"/>
      <c r="ALY27" s="196"/>
      <c r="ALZ27" s="196"/>
      <c r="AMA27" s="196"/>
      <c r="AMB27" s="196"/>
      <c r="AMC27" s="196"/>
      <c r="AMD27" s="196"/>
      <c r="AME27" s="196"/>
      <c r="AMF27" s="196"/>
      <c r="AMG27" s="196"/>
      <c r="AMH27" s="196"/>
      <c r="AMI27" s="196"/>
      <c r="AMJ27" s="196"/>
      <c r="AMK27" s="196"/>
      <c r="AML27" s="196"/>
      <c r="AMM27" s="196"/>
      <c r="AMN27" s="196"/>
      <c r="AMO27" s="196"/>
      <c r="AMP27" s="196"/>
      <c r="AMQ27" s="196"/>
      <c r="AMR27" s="196"/>
      <c r="AMS27" s="196"/>
      <c r="AMT27" s="196"/>
      <c r="AMU27" s="196"/>
      <c r="AMV27" s="196"/>
      <c r="AMW27" s="196"/>
      <c r="AMX27" s="196"/>
      <c r="AMY27" s="196"/>
      <c r="AMZ27" s="196"/>
      <c r="ANA27" s="196"/>
      <c r="ANB27" s="196"/>
      <c r="ANC27" s="196"/>
      <c r="AND27" s="196"/>
      <c r="ANE27" s="196"/>
      <c r="ANF27" s="196"/>
      <c r="ANG27" s="196"/>
      <c r="ANH27" s="196"/>
      <c r="ANI27" s="196"/>
      <c r="ANJ27" s="196"/>
      <c r="ANK27" s="196"/>
      <c r="ANL27" s="196"/>
      <c r="ANM27" s="196"/>
      <c r="ANN27" s="196"/>
      <c r="ANO27" s="196"/>
      <c r="ANP27" s="196"/>
      <c r="ANQ27" s="196"/>
      <c r="ANR27" s="196"/>
      <c r="ANS27" s="196"/>
      <c r="ANT27" s="196"/>
      <c r="ANU27" s="196"/>
      <c r="ANV27" s="196"/>
      <c r="ANW27" s="196"/>
      <c r="ANX27" s="196"/>
      <c r="ANY27" s="196"/>
      <c r="ANZ27" s="196"/>
      <c r="AOA27" s="196"/>
      <c r="AOB27" s="196"/>
      <c r="AOC27" s="196"/>
      <c r="AOD27" s="196"/>
      <c r="AOE27" s="196"/>
      <c r="AOF27" s="196"/>
      <c r="AOG27" s="196"/>
      <c r="AOH27" s="196"/>
      <c r="AOI27" s="196"/>
      <c r="AOJ27" s="196"/>
      <c r="AOK27" s="196"/>
      <c r="AOL27" s="196"/>
      <c r="AOM27" s="196"/>
      <c r="AON27" s="196"/>
      <c r="AOO27" s="196"/>
      <c r="AOP27" s="196"/>
      <c r="AOQ27" s="196"/>
      <c r="AOR27" s="196"/>
      <c r="AOS27" s="196"/>
      <c r="AOT27" s="196"/>
      <c r="AOU27" s="196"/>
      <c r="AOV27" s="196"/>
      <c r="AOW27" s="196"/>
      <c r="AOX27" s="196"/>
      <c r="AOY27" s="196"/>
      <c r="AOZ27" s="196"/>
      <c r="APA27" s="196"/>
      <c r="APB27" s="196"/>
      <c r="APC27" s="196"/>
      <c r="APD27" s="196"/>
      <c r="APE27" s="196"/>
      <c r="APF27" s="196"/>
      <c r="APG27" s="196"/>
      <c r="APH27" s="196"/>
      <c r="API27" s="196"/>
      <c r="APJ27" s="196"/>
      <c r="APK27" s="196"/>
      <c r="APL27" s="196"/>
      <c r="APM27" s="196"/>
      <c r="APN27" s="196"/>
      <c r="APO27" s="196"/>
      <c r="APP27" s="196"/>
      <c r="APQ27" s="196"/>
      <c r="APR27" s="196"/>
      <c r="APS27" s="196"/>
      <c r="APT27" s="196"/>
      <c r="APU27" s="196"/>
      <c r="APV27" s="196"/>
      <c r="APW27" s="196"/>
      <c r="APX27" s="196"/>
      <c r="APY27" s="196"/>
      <c r="APZ27" s="196"/>
      <c r="AQA27" s="196"/>
      <c r="AQB27" s="196"/>
      <c r="AQC27" s="196"/>
      <c r="AQD27" s="196"/>
      <c r="AQE27" s="196"/>
      <c r="AQF27" s="196"/>
      <c r="AQG27" s="196"/>
      <c r="AQH27" s="196"/>
      <c r="AQI27" s="196"/>
      <c r="AQJ27" s="196"/>
      <c r="AQK27" s="196"/>
      <c r="AQL27" s="196"/>
      <c r="AQM27" s="196"/>
      <c r="AQN27" s="196"/>
      <c r="AQO27" s="196"/>
      <c r="AQP27" s="196"/>
      <c r="AQQ27" s="196"/>
      <c r="AQR27" s="196"/>
      <c r="AQS27" s="196"/>
      <c r="AQT27" s="196"/>
      <c r="AQU27" s="196"/>
      <c r="AQV27" s="196"/>
      <c r="AQW27" s="196"/>
      <c r="AQX27" s="196"/>
      <c r="AQY27" s="196"/>
      <c r="AQZ27" s="196"/>
      <c r="ARA27" s="196"/>
      <c r="ARB27" s="196"/>
      <c r="ARC27" s="196"/>
      <c r="ARD27" s="196"/>
      <c r="ARE27" s="196"/>
      <c r="ARF27" s="196"/>
      <c r="ARG27" s="196"/>
      <c r="ARH27" s="196"/>
      <c r="ARI27" s="196"/>
      <c r="ARJ27" s="196"/>
      <c r="ARK27" s="196"/>
      <c r="ARL27" s="196"/>
      <c r="ARM27" s="196"/>
      <c r="ARN27" s="196"/>
      <c r="ARO27" s="196"/>
      <c r="ARP27" s="196"/>
      <c r="ARQ27" s="196"/>
      <c r="ARR27" s="196"/>
      <c r="ARS27" s="196"/>
      <c r="ART27" s="196"/>
      <c r="ARU27" s="196"/>
      <c r="ARV27" s="196"/>
      <c r="ARW27" s="196"/>
      <c r="ARX27" s="196"/>
      <c r="ARY27" s="196"/>
      <c r="ARZ27" s="196"/>
      <c r="ASA27" s="196"/>
      <c r="ASB27" s="196"/>
      <c r="ASC27" s="196"/>
      <c r="ASD27" s="196"/>
      <c r="ASE27" s="196"/>
      <c r="ASF27" s="196"/>
      <c r="ASG27" s="196"/>
      <c r="ASH27" s="196"/>
      <c r="ASI27" s="196"/>
      <c r="ASJ27" s="196"/>
      <c r="ASK27" s="196"/>
      <c r="ASL27" s="196"/>
      <c r="ASM27" s="196"/>
      <c r="ASN27" s="196"/>
      <c r="ASO27" s="196"/>
      <c r="ASP27" s="196"/>
      <c r="ASQ27" s="196"/>
      <c r="ASR27" s="196"/>
      <c r="ASS27" s="196"/>
      <c r="AST27" s="196"/>
      <c r="ASU27" s="196"/>
      <c r="ASV27" s="196"/>
      <c r="ASW27" s="196"/>
      <c r="ASX27" s="196"/>
      <c r="ASY27" s="196"/>
      <c r="ASZ27" s="196"/>
      <c r="ATA27" s="196"/>
      <c r="ATB27" s="196"/>
      <c r="ATC27" s="196"/>
      <c r="ATD27" s="196"/>
      <c r="ATE27" s="196"/>
      <c r="ATF27" s="196"/>
      <c r="ATG27" s="196"/>
      <c r="ATH27" s="196"/>
      <c r="ATI27" s="196"/>
      <c r="ATJ27" s="196"/>
      <c r="ATK27" s="196"/>
      <c r="ATL27" s="196"/>
      <c r="ATM27" s="196"/>
      <c r="ATN27" s="196"/>
      <c r="ATO27" s="196"/>
      <c r="ATP27" s="196"/>
      <c r="ATQ27" s="196"/>
      <c r="ATR27" s="196"/>
      <c r="ATS27" s="196"/>
      <c r="ATT27" s="196"/>
      <c r="ATU27" s="196"/>
      <c r="ATV27" s="196"/>
      <c r="ATW27" s="196"/>
      <c r="ATX27" s="196"/>
      <c r="ATY27" s="196"/>
      <c r="ATZ27" s="196"/>
      <c r="AUA27" s="196"/>
      <c r="AUB27" s="196"/>
      <c r="AUC27" s="196"/>
      <c r="AUD27" s="196"/>
      <c r="AUE27" s="196"/>
      <c r="AUF27" s="196"/>
      <c r="AUG27" s="196"/>
      <c r="AUH27" s="196"/>
      <c r="AUI27" s="196"/>
      <c r="AUJ27" s="196"/>
      <c r="AUK27" s="196"/>
      <c r="AUL27" s="196"/>
      <c r="AUM27" s="196"/>
      <c r="AUN27" s="196"/>
      <c r="AUO27" s="196"/>
      <c r="AUP27" s="196"/>
      <c r="AUQ27" s="196"/>
      <c r="AUR27" s="196"/>
      <c r="AUS27" s="196"/>
      <c r="AUT27" s="196"/>
      <c r="AUU27" s="196"/>
      <c r="AUV27" s="196"/>
      <c r="AUW27" s="196"/>
      <c r="AUX27" s="196"/>
      <c r="AUY27" s="196"/>
      <c r="AUZ27" s="196"/>
      <c r="AVA27" s="196"/>
      <c r="AVB27" s="196"/>
      <c r="AVC27" s="196"/>
      <c r="AVD27" s="196"/>
      <c r="AVE27" s="196"/>
      <c r="AVF27" s="196"/>
      <c r="AVG27" s="196"/>
      <c r="AVH27" s="196"/>
      <c r="AVI27" s="196"/>
      <c r="AVJ27" s="196"/>
      <c r="AVK27" s="196"/>
      <c r="AVL27" s="196"/>
      <c r="AVM27" s="196"/>
      <c r="AVN27" s="196"/>
      <c r="AVO27" s="196"/>
      <c r="AVP27" s="196"/>
      <c r="AVQ27" s="196"/>
      <c r="AVR27" s="196"/>
      <c r="AVS27" s="196"/>
      <c r="AVT27" s="196"/>
      <c r="AVU27" s="196"/>
      <c r="AVV27" s="196"/>
      <c r="AVW27" s="196"/>
      <c r="AVX27" s="196"/>
      <c r="AVY27" s="196"/>
      <c r="AVZ27" s="196"/>
      <c r="AWA27" s="196"/>
      <c r="AWB27" s="196"/>
      <c r="AWC27" s="196"/>
      <c r="AWD27" s="196"/>
      <c r="AWE27" s="196"/>
      <c r="AWF27" s="196"/>
      <c r="AWG27" s="196"/>
      <c r="AWH27" s="196"/>
      <c r="AWI27" s="196"/>
      <c r="AWJ27" s="196"/>
      <c r="AWK27" s="196"/>
      <c r="AWL27" s="196"/>
      <c r="AWM27" s="196"/>
      <c r="AWN27" s="196"/>
      <c r="AWO27" s="196"/>
      <c r="AWP27" s="196"/>
      <c r="AWQ27" s="196"/>
      <c r="AWR27" s="196"/>
      <c r="AWS27" s="196"/>
      <c r="AWT27" s="196"/>
      <c r="AWU27" s="196"/>
      <c r="AWV27" s="196"/>
      <c r="AWW27" s="196"/>
      <c r="AWX27" s="196"/>
      <c r="AWY27" s="196"/>
      <c r="AWZ27" s="196"/>
      <c r="AXA27" s="196"/>
      <c r="AXB27" s="196"/>
      <c r="AXC27" s="196"/>
      <c r="AXD27" s="196"/>
      <c r="AXE27" s="196"/>
      <c r="AXF27" s="196"/>
      <c r="AXG27" s="196"/>
      <c r="AXH27" s="196"/>
      <c r="AXI27" s="196"/>
      <c r="AXJ27" s="196"/>
      <c r="AXK27" s="196"/>
      <c r="AXL27" s="196"/>
      <c r="AXM27" s="196"/>
      <c r="AXN27" s="196"/>
      <c r="AXO27" s="196"/>
      <c r="AXP27" s="196"/>
      <c r="AXQ27" s="196"/>
      <c r="AXR27" s="196"/>
      <c r="AXS27" s="196"/>
      <c r="AXT27" s="196"/>
      <c r="AXU27" s="196"/>
      <c r="AXV27" s="196"/>
      <c r="AXW27" s="196"/>
      <c r="AXX27" s="196"/>
      <c r="AXY27" s="196"/>
      <c r="AXZ27" s="196"/>
      <c r="AYA27" s="196"/>
      <c r="AYB27" s="196"/>
      <c r="AYC27" s="196"/>
      <c r="AYD27" s="196"/>
      <c r="AYE27" s="196"/>
      <c r="AYF27" s="196"/>
      <c r="AYG27" s="196"/>
      <c r="AYH27" s="196"/>
      <c r="AYI27" s="196"/>
      <c r="AYJ27" s="196"/>
      <c r="AYK27" s="196"/>
      <c r="AYL27" s="196"/>
      <c r="AYM27" s="196"/>
      <c r="AYN27" s="196"/>
      <c r="AYO27" s="196"/>
      <c r="AYP27" s="196"/>
      <c r="AYQ27" s="196"/>
      <c r="AYR27" s="196"/>
      <c r="AYS27" s="196"/>
      <c r="AYT27" s="196"/>
      <c r="AYU27" s="196"/>
      <c r="AYV27" s="196"/>
      <c r="AYW27" s="196"/>
      <c r="AYX27" s="196"/>
      <c r="AYY27" s="196"/>
      <c r="AYZ27" s="196"/>
      <c r="AZA27" s="196"/>
      <c r="AZB27" s="196"/>
      <c r="AZC27" s="196"/>
      <c r="AZD27" s="196"/>
      <c r="AZE27" s="196"/>
      <c r="AZF27" s="196"/>
      <c r="AZG27" s="196"/>
      <c r="AZH27" s="196"/>
      <c r="AZI27" s="196"/>
      <c r="AZJ27" s="196"/>
      <c r="AZK27" s="196"/>
      <c r="AZL27" s="196"/>
      <c r="AZM27" s="196"/>
      <c r="AZN27" s="196"/>
      <c r="AZO27" s="196"/>
      <c r="AZP27" s="196"/>
      <c r="AZQ27" s="196"/>
      <c r="AZR27" s="196"/>
      <c r="AZS27" s="196"/>
      <c r="AZT27" s="196"/>
      <c r="AZU27" s="196"/>
      <c r="AZV27" s="196"/>
      <c r="AZW27" s="196"/>
      <c r="AZX27" s="196"/>
      <c r="AZY27" s="196"/>
      <c r="AZZ27" s="196"/>
      <c r="BAA27" s="196"/>
      <c r="BAB27" s="196"/>
      <c r="BAC27" s="196"/>
      <c r="BAD27" s="196"/>
      <c r="BAE27" s="196"/>
      <c r="BAF27" s="196"/>
      <c r="BAG27" s="196"/>
      <c r="BAH27" s="196"/>
      <c r="BAI27" s="196"/>
      <c r="BAJ27" s="196"/>
      <c r="BAK27" s="196"/>
      <c r="BAL27" s="196"/>
      <c r="BAM27" s="196"/>
      <c r="BAN27" s="196"/>
      <c r="BAO27" s="196"/>
      <c r="BAP27" s="196"/>
      <c r="BAQ27" s="196"/>
      <c r="BAR27" s="196"/>
      <c r="BAS27" s="196"/>
      <c r="BAT27" s="196"/>
      <c r="BAU27" s="196"/>
      <c r="BAV27" s="196"/>
      <c r="BAW27" s="196"/>
      <c r="BAX27" s="196"/>
      <c r="BAY27" s="196"/>
      <c r="BAZ27" s="196"/>
      <c r="BBA27" s="196"/>
      <c r="BBB27" s="196"/>
      <c r="BBC27" s="196"/>
      <c r="BBD27" s="196"/>
      <c r="BBE27" s="196"/>
      <c r="BBF27" s="196"/>
      <c r="BBG27" s="196"/>
      <c r="BBH27" s="196"/>
      <c r="BBI27" s="196"/>
      <c r="BBJ27" s="196"/>
      <c r="BBK27" s="196"/>
      <c r="BBL27" s="196"/>
      <c r="BBM27" s="196"/>
      <c r="BBN27" s="196"/>
      <c r="BBO27" s="196"/>
      <c r="BBP27" s="196"/>
      <c r="BBQ27" s="196"/>
      <c r="BBR27" s="196"/>
      <c r="BBS27" s="196"/>
      <c r="BBT27" s="196"/>
      <c r="BBU27" s="196"/>
      <c r="BBV27" s="196"/>
      <c r="BBW27" s="196"/>
      <c r="BBX27" s="196"/>
      <c r="BBY27" s="196"/>
      <c r="BBZ27" s="196"/>
      <c r="BCA27" s="196"/>
      <c r="BCB27" s="196"/>
      <c r="BCC27" s="196"/>
      <c r="BCD27" s="196"/>
      <c r="BCE27" s="196"/>
      <c r="BCF27" s="196"/>
      <c r="BCG27" s="196"/>
      <c r="BCH27" s="196"/>
      <c r="BCI27" s="196"/>
      <c r="BCJ27" s="196"/>
      <c r="BCK27" s="196"/>
      <c r="BCL27" s="196"/>
      <c r="BCM27" s="196"/>
      <c r="BCN27" s="196"/>
      <c r="BCO27" s="196"/>
      <c r="BCP27" s="196"/>
      <c r="BCQ27" s="196"/>
      <c r="BCR27" s="196"/>
      <c r="BCS27" s="196"/>
      <c r="BCT27" s="196"/>
      <c r="BCU27" s="196"/>
      <c r="BCV27" s="196"/>
      <c r="BCW27" s="196"/>
      <c r="BCX27" s="196"/>
      <c r="BCY27" s="196"/>
      <c r="BCZ27" s="196"/>
      <c r="BDA27" s="196"/>
      <c r="BDB27" s="196"/>
      <c r="BDC27" s="196"/>
      <c r="BDD27" s="196"/>
      <c r="BDE27" s="196"/>
      <c r="BDF27" s="196"/>
      <c r="BDG27" s="196"/>
      <c r="BDH27" s="196"/>
      <c r="BDI27" s="196"/>
      <c r="BDJ27" s="196"/>
      <c r="BDK27" s="196"/>
      <c r="BDL27" s="196"/>
      <c r="BDM27" s="196"/>
      <c r="BDN27" s="196"/>
      <c r="BDO27" s="196"/>
      <c r="BDP27" s="196"/>
      <c r="BDQ27" s="196"/>
      <c r="BDR27" s="196"/>
      <c r="BDS27" s="196"/>
      <c r="BDT27" s="196"/>
      <c r="BDU27" s="196"/>
      <c r="BDV27" s="196"/>
      <c r="BDW27" s="196"/>
      <c r="BDX27" s="196"/>
      <c r="BDY27" s="196"/>
      <c r="BDZ27" s="196"/>
      <c r="BEA27" s="196"/>
      <c r="BEB27" s="196"/>
      <c r="BEC27" s="196"/>
      <c r="BED27" s="196"/>
      <c r="BEE27" s="196"/>
      <c r="BEF27" s="196"/>
      <c r="BEG27" s="196"/>
      <c r="BEH27" s="196"/>
      <c r="BEI27" s="196"/>
      <c r="BEJ27" s="196"/>
      <c r="BEK27" s="196"/>
      <c r="BEL27" s="196"/>
      <c r="BEM27" s="196"/>
      <c r="BEN27" s="196"/>
      <c r="BEO27" s="196"/>
      <c r="BEP27" s="196"/>
      <c r="BEQ27" s="196"/>
      <c r="BER27" s="196"/>
      <c r="BES27" s="196"/>
      <c r="BET27" s="196"/>
      <c r="BEU27" s="196"/>
      <c r="BEV27" s="196"/>
      <c r="BEW27" s="196"/>
      <c r="BEX27" s="196"/>
      <c r="BEY27" s="196"/>
      <c r="BEZ27" s="196"/>
      <c r="BFA27" s="196"/>
      <c r="BFB27" s="196"/>
      <c r="BFC27" s="196"/>
      <c r="BFD27" s="196"/>
      <c r="BFE27" s="196"/>
      <c r="BFF27" s="196"/>
      <c r="BFG27" s="196"/>
      <c r="BFH27" s="196"/>
      <c r="BFI27" s="196"/>
      <c r="BFJ27" s="196"/>
      <c r="BFK27" s="196"/>
      <c r="BFL27" s="196"/>
      <c r="BFM27" s="196"/>
      <c r="BFN27" s="196"/>
      <c r="BFO27" s="196"/>
      <c r="BFP27" s="196"/>
      <c r="BFQ27" s="196"/>
      <c r="BFR27" s="196"/>
      <c r="BFS27" s="196"/>
      <c r="BFT27" s="196"/>
      <c r="BFU27" s="196"/>
      <c r="BFV27" s="196"/>
      <c r="BFW27" s="196"/>
      <c r="BFX27" s="196"/>
      <c r="BFY27" s="196"/>
      <c r="BFZ27" s="196"/>
      <c r="BGA27" s="196"/>
      <c r="BGB27" s="196"/>
      <c r="BGC27" s="196"/>
      <c r="BGD27" s="196"/>
      <c r="BGE27" s="196"/>
      <c r="BGF27" s="196"/>
      <c r="BGG27" s="196"/>
      <c r="BGH27" s="196"/>
      <c r="BGI27" s="196"/>
      <c r="BGJ27" s="196"/>
      <c r="BGK27" s="196"/>
      <c r="BGL27" s="196"/>
      <c r="BGM27" s="196"/>
      <c r="BGN27" s="196"/>
      <c r="BGO27" s="196"/>
      <c r="BGP27" s="196"/>
      <c r="BGQ27" s="196"/>
      <c r="BGR27" s="196"/>
      <c r="BGS27" s="196"/>
      <c r="BGT27" s="196"/>
      <c r="BGU27" s="196"/>
      <c r="BGV27" s="196"/>
      <c r="BGW27" s="196"/>
      <c r="BGX27" s="196"/>
      <c r="BGY27" s="196"/>
      <c r="BGZ27" s="196"/>
      <c r="BHA27" s="196"/>
      <c r="BHB27" s="196"/>
      <c r="BHC27" s="196"/>
      <c r="BHD27" s="196"/>
      <c r="BHE27" s="196"/>
      <c r="BHF27" s="196"/>
      <c r="BHG27" s="196"/>
      <c r="BHH27" s="196"/>
      <c r="BHI27" s="196"/>
      <c r="BHJ27" s="196"/>
      <c r="BHK27" s="196"/>
      <c r="BHL27" s="196"/>
      <c r="BHM27" s="196"/>
      <c r="BHN27" s="196"/>
      <c r="BHO27" s="196"/>
      <c r="BHP27" s="196"/>
      <c r="BHQ27" s="196"/>
      <c r="BHR27" s="196"/>
      <c r="BHS27" s="196"/>
      <c r="BHT27" s="196"/>
      <c r="BHU27" s="196"/>
      <c r="BHV27" s="196"/>
      <c r="BHW27" s="196"/>
      <c r="BHX27" s="196"/>
      <c r="BHY27" s="196"/>
      <c r="BHZ27" s="196"/>
      <c r="BIA27" s="196"/>
      <c r="BIB27" s="196"/>
      <c r="BIC27" s="196"/>
      <c r="BID27" s="196"/>
      <c r="BIE27" s="196"/>
      <c r="BIF27" s="196"/>
      <c r="BIG27" s="196"/>
      <c r="BIH27" s="196"/>
      <c r="BII27" s="196"/>
      <c r="BIJ27" s="196"/>
      <c r="BIK27" s="196"/>
      <c r="BIL27" s="196"/>
      <c r="BIM27" s="196"/>
      <c r="BIN27" s="196"/>
      <c r="BIO27" s="196"/>
      <c r="BIP27" s="196"/>
      <c r="BIQ27" s="196"/>
      <c r="BIR27" s="196"/>
      <c r="BIS27" s="196"/>
      <c r="BIT27" s="196"/>
      <c r="BIU27" s="196"/>
      <c r="BIV27" s="196"/>
      <c r="BIW27" s="196"/>
      <c r="BIX27" s="196"/>
      <c r="BIY27" s="196"/>
      <c r="BIZ27" s="196"/>
      <c r="BJA27" s="196"/>
      <c r="BJB27" s="196"/>
      <c r="BJC27" s="196"/>
      <c r="BJD27" s="196"/>
      <c r="BJE27" s="196"/>
      <c r="BJF27" s="196"/>
      <c r="BJG27" s="196"/>
      <c r="BJH27" s="196"/>
      <c r="BJI27" s="196"/>
      <c r="BJJ27" s="196"/>
      <c r="BJK27" s="196"/>
      <c r="BJL27" s="196"/>
      <c r="BJM27" s="196"/>
      <c r="BJN27" s="196"/>
      <c r="BJO27" s="196"/>
      <c r="BJP27" s="196"/>
      <c r="BJQ27" s="196"/>
      <c r="BJR27" s="196"/>
      <c r="BJS27" s="196"/>
      <c r="BJT27" s="196"/>
      <c r="BJU27" s="196"/>
      <c r="BJV27" s="196"/>
      <c r="BJW27" s="196"/>
      <c r="BJX27" s="196"/>
      <c r="BJY27" s="196"/>
      <c r="BJZ27" s="196"/>
      <c r="BKA27" s="196"/>
      <c r="BKB27" s="196"/>
      <c r="BKC27" s="196"/>
      <c r="BKD27" s="196"/>
      <c r="BKE27" s="196"/>
      <c r="BKF27" s="196"/>
      <c r="BKG27" s="196"/>
      <c r="BKH27" s="196"/>
      <c r="BKI27" s="196"/>
      <c r="BKJ27" s="196"/>
      <c r="BKK27" s="196"/>
      <c r="BKL27" s="196"/>
      <c r="BKM27" s="196"/>
      <c r="BKN27" s="196"/>
      <c r="BKO27" s="196"/>
      <c r="BKP27" s="196"/>
      <c r="BKQ27" s="196"/>
      <c r="BKR27" s="196"/>
      <c r="BKS27" s="196"/>
      <c r="BKT27" s="196"/>
      <c r="BKU27" s="196"/>
      <c r="BKV27" s="196"/>
      <c r="BKW27" s="196"/>
      <c r="BKX27" s="196"/>
      <c r="BKY27" s="196"/>
      <c r="BKZ27" s="196"/>
      <c r="BLA27" s="196"/>
      <c r="BLB27" s="196"/>
      <c r="BLC27" s="196"/>
      <c r="BLD27" s="196"/>
      <c r="BLE27" s="196"/>
      <c r="BLF27" s="196"/>
      <c r="BLG27" s="196"/>
      <c r="BLH27" s="196"/>
      <c r="BLI27" s="196"/>
      <c r="BLJ27" s="196"/>
      <c r="BLK27" s="196"/>
      <c r="BLL27" s="196"/>
      <c r="BLM27" s="196"/>
      <c r="BLN27" s="196"/>
      <c r="BLO27" s="196"/>
      <c r="BLP27" s="196"/>
      <c r="BLQ27" s="196"/>
      <c r="BLR27" s="196"/>
      <c r="BLS27" s="196"/>
      <c r="BLT27" s="196"/>
      <c r="BLU27" s="196"/>
      <c r="BLV27" s="196"/>
      <c r="BLW27" s="196"/>
      <c r="BLX27" s="196"/>
      <c r="BLY27" s="196"/>
      <c r="BLZ27" s="196"/>
      <c r="BMA27" s="196"/>
      <c r="BMB27" s="196"/>
      <c r="BMC27" s="196"/>
      <c r="BMD27" s="196"/>
      <c r="BME27" s="196"/>
      <c r="BMF27" s="196"/>
      <c r="BMG27" s="196"/>
      <c r="BMH27" s="196"/>
      <c r="BMI27" s="196"/>
      <c r="BMJ27" s="196"/>
      <c r="BMK27" s="196"/>
      <c r="BML27" s="196"/>
      <c r="BMM27" s="196"/>
      <c r="BMN27" s="196"/>
      <c r="BMO27" s="196"/>
      <c r="BMP27" s="196"/>
      <c r="BMQ27" s="196"/>
      <c r="BMR27" s="196"/>
      <c r="BMS27" s="196"/>
      <c r="BMT27" s="196"/>
      <c r="BMU27" s="196"/>
      <c r="BMV27" s="196"/>
      <c r="BMW27" s="196"/>
      <c r="BMX27" s="196"/>
      <c r="BMY27" s="196"/>
      <c r="BMZ27" s="196"/>
      <c r="BNA27" s="196"/>
      <c r="BNB27" s="196"/>
      <c r="BNC27" s="196"/>
      <c r="BND27" s="196"/>
      <c r="BNE27" s="196"/>
      <c r="BNF27" s="196"/>
      <c r="BNG27" s="196"/>
      <c r="BNH27" s="196"/>
      <c r="BNI27" s="196"/>
      <c r="BNJ27" s="196"/>
      <c r="BNK27" s="196"/>
      <c r="BNL27" s="196"/>
      <c r="BNM27" s="196"/>
      <c r="BNN27" s="196"/>
      <c r="BNO27" s="196"/>
      <c r="BNP27" s="196"/>
      <c r="BNQ27" s="196"/>
      <c r="BNR27" s="196"/>
      <c r="BNS27" s="196"/>
      <c r="BNT27" s="196"/>
      <c r="BNU27" s="196"/>
      <c r="BNV27" s="196"/>
      <c r="BNW27" s="196"/>
      <c r="BNX27" s="196"/>
      <c r="BNY27" s="196"/>
      <c r="BNZ27" s="196"/>
      <c r="BOA27" s="196"/>
      <c r="BOB27" s="196"/>
      <c r="BOC27" s="196"/>
      <c r="BOD27" s="196"/>
      <c r="BOE27" s="196"/>
      <c r="BOF27" s="196"/>
      <c r="BOG27" s="196"/>
      <c r="BOH27" s="196"/>
      <c r="BOI27" s="196"/>
      <c r="BOJ27" s="196"/>
      <c r="BOK27" s="196"/>
      <c r="BOL27" s="196"/>
      <c r="BOM27" s="196"/>
      <c r="BON27" s="196"/>
      <c r="BOO27" s="196"/>
      <c r="BOP27" s="196"/>
      <c r="BOQ27" s="196"/>
      <c r="BOR27" s="196"/>
      <c r="BOS27" s="196"/>
      <c r="BOT27" s="196"/>
      <c r="BOU27" s="196"/>
      <c r="BOV27" s="196"/>
      <c r="BOW27" s="196"/>
      <c r="BOX27" s="196"/>
      <c r="BOY27" s="196"/>
      <c r="BOZ27" s="196"/>
      <c r="BPA27" s="196"/>
      <c r="BPB27" s="196"/>
      <c r="BPC27" s="196"/>
      <c r="BPD27" s="196"/>
      <c r="BPE27" s="196"/>
      <c r="BPF27" s="196"/>
      <c r="BPG27" s="196"/>
      <c r="BPH27" s="196"/>
      <c r="BPI27" s="196"/>
      <c r="BPJ27" s="196"/>
      <c r="BPK27" s="196"/>
      <c r="BPL27" s="196"/>
      <c r="BPM27" s="196"/>
      <c r="BPN27" s="196"/>
      <c r="BPO27" s="196"/>
      <c r="BPP27" s="196"/>
      <c r="BPQ27" s="196"/>
      <c r="BPR27" s="196"/>
      <c r="BPS27" s="196"/>
      <c r="BPT27" s="196"/>
      <c r="BPU27" s="196"/>
      <c r="BPV27" s="196"/>
      <c r="BPW27" s="196"/>
      <c r="BPX27" s="196"/>
      <c r="BPY27" s="196"/>
      <c r="BPZ27" s="196"/>
      <c r="BQA27" s="196"/>
      <c r="BQB27" s="196"/>
      <c r="BQC27" s="196"/>
      <c r="BQD27" s="196"/>
      <c r="BQE27" s="196"/>
      <c r="BQF27" s="196"/>
      <c r="BQG27" s="196"/>
      <c r="BQH27" s="196"/>
      <c r="BQI27" s="196"/>
      <c r="BQJ27" s="196"/>
      <c r="BQK27" s="196"/>
      <c r="BQL27" s="196"/>
      <c r="BQM27" s="196"/>
      <c r="BQN27" s="196"/>
      <c r="BQO27" s="196"/>
      <c r="BQP27" s="196"/>
      <c r="BQQ27" s="196"/>
      <c r="BQR27" s="196"/>
      <c r="BQS27" s="196"/>
      <c r="BQT27" s="196"/>
      <c r="BQU27" s="196"/>
      <c r="BQV27" s="196"/>
      <c r="BQW27" s="196"/>
      <c r="BQX27" s="196"/>
      <c r="BQY27" s="196"/>
      <c r="BQZ27" s="196"/>
      <c r="BRA27" s="196"/>
      <c r="BRB27" s="196"/>
      <c r="BRC27" s="196"/>
      <c r="BRD27" s="196"/>
      <c r="BRE27" s="196"/>
      <c r="BRF27" s="196"/>
      <c r="BRG27" s="196"/>
      <c r="BRH27" s="196"/>
      <c r="BRI27" s="196"/>
      <c r="BRJ27" s="196"/>
      <c r="BRK27" s="196"/>
      <c r="BRL27" s="196"/>
      <c r="BRM27" s="196"/>
      <c r="BRN27" s="196"/>
      <c r="BRO27" s="196"/>
      <c r="BRP27" s="196"/>
      <c r="BRQ27" s="196"/>
      <c r="BRR27" s="196"/>
      <c r="BRS27" s="196"/>
      <c r="BRT27" s="196"/>
      <c r="BRU27" s="196"/>
      <c r="BRV27" s="196"/>
      <c r="BRW27" s="196"/>
      <c r="BRX27" s="196"/>
      <c r="BRY27" s="196"/>
      <c r="BRZ27" s="196"/>
      <c r="BSA27" s="196"/>
      <c r="BSB27" s="196"/>
      <c r="BSC27" s="196"/>
      <c r="BSD27" s="196"/>
      <c r="BSE27" s="196"/>
      <c r="BSF27" s="196"/>
      <c r="BSG27" s="196"/>
      <c r="BSH27" s="196"/>
      <c r="BSI27" s="196"/>
      <c r="BSJ27" s="196"/>
      <c r="BSK27" s="196"/>
      <c r="BSL27" s="196"/>
      <c r="BSM27" s="196"/>
      <c r="BSN27" s="196"/>
      <c r="BSO27" s="196"/>
      <c r="BSP27" s="196"/>
      <c r="BSQ27" s="196"/>
      <c r="BSR27" s="196"/>
      <c r="BSS27" s="196"/>
      <c r="BST27" s="196"/>
      <c r="BSU27" s="196"/>
      <c r="BSV27" s="196"/>
      <c r="BSW27" s="196"/>
      <c r="BSX27" s="196"/>
      <c r="BSY27" s="196"/>
      <c r="BSZ27" s="196"/>
      <c r="BTA27" s="196"/>
      <c r="BTB27" s="196"/>
      <c r="BTC27" s="196"/>
      <c r="BTD27" s="196"/>
      <c r="BTE27" s="196"/>
      <c r="BTF27" s="196"/>
      <c r="BTG27" s="196"/>
      <c r="BTH27" s="196"/>
      <c r="BTI27" s="196"/>
      <c r="BTJ27" s="196"/>
      <c r="BTK27" s="196"/>
      <c r="BTL27" s="196"/>
      <c r="BTM27" s="196"/>
      <c r="BTN27" s="196"/>
      <c r="BTO27" s="196"/>
      <c r="BTP27" s="196"/>
      <c r="BTQ27" s="196"/>
      <c r="BTR27" s="196"/>
      <c r="BTS27" s="196"/>
      <c r="BTT27" s="196"/>
      <c r="BTU27" s="196"/>
      <c r="BTV27" s="196"/>
      <c r="BTW27" s="196"/>
      <c r="BTX27" s="196"/>
      <c r="BTY27" s="196"/>
      <c r="BTZ27" s="196"/>
      <c r="BUA27" s="196"/>
      <c r="BUB27" s="196"/>
      <c r="BUC27" s="196"/>
      <c r="BUD27" s="196"/>
      <c r="BUE27" s="196"/>
      <c r="BUF27" s="196"/>
      <c r="BUG27" s="196"/>
      <c r="BUH27" s="196"/>
      <c r="BUI27" s="196"/>
      <c r="BUJ27" s="196"/>
      <c r="BUK27" s="196"/>
      <c r="BUL27" s="196"/>
      <c r="BUM27" s="196"/>
      <c r="BUN27" s="196"/>
      <c r="BUO27" s="196"/>
      <c r="BUP27" s="196"/>
      <c r="BUQ27" s="196"/>
      <c r="BUR27" s="196"/>
      <c r="BUS27" s="196"/>
      <c r="BUT27" s="196"/>
      <c r="BUU27" s="196"/>
      <c r="BUV27" s="196"/>
      <c r="BUW27" s="196"/>
      <c r="BUX27" s="196"/>
      <c r="BUY27" s="196"/>
      <c r="BUZ27" s="196"/>
      <c r="BVA27" s="196"/>
      <c r="BVB27" s="196"/>
      <c r="BVC27" s="196"/>
      <c r="BVD27" s="196"/>
      <c r="BVE27" s="196"/>
      <c r="BVF27" s="196"/>
      <c r="BVG27" s="196"/>
      <c r="BVH27" s="196"/>
      <c r="BVI27" s="196"/>
      <c r="BVJ27" s="196"/>
      <c r="BVK27" s="196"/>
      <c r="BVL27" s="196"/>
      <c r="BVM27" s="196"/>
      <c r="BVN27" s="196"/>
      <c r="BVO27" s="196"/>
      <c r="BVP27" s="196"/>
      <c r="BVQ27" s="196"/>
      <c r="BVR27" s="196"/>
      <c r="BVS27" s="196"/>
      <c r="BVT27" s="196"/>
      <c r="BVU27" s="196"/>
      <c r="BVV27" s="196"/>
      <c r="BVW27" s="196"/>
      <c r="BVX27" s="196"/>
      <c r="BVY27" s="196"/>
      <c r="BVZ27" s="196"/>
      <c r="BWA27" s="196"/>
      <c r="BWB27" s="196"/>
      <c r="BWC27" s="196"/>
      <c r="BWD27" s="196"/>
      <c r="BWE27" s="196"/>
      <c r="BWF27" s="196"/>
      <c r="BWG27" s="196"/>
      <c r="BWH27" s="196"/>
      <c r="BWI27" s="196"/>
      <c r="BWJ27" s="196"/>
      <c r="BWK27" s="196"/>
      <c r="BWL27" s="196"/>
      <c r="BWM27" s="196"/>
      <c r="BWN27" s="196"/>
      <c r="BWO27" s="196"/>
      <c r="BWP27" s="196"/>
      <c r="BWQ27" s="196"/>
      <c r="BWR27" s="196"/>
      <c r="BWS27" s="196"/>
      <c r="BWT27" s="196"/>
      <c r="BWU27" s="196"/>
      <c r="BWV27" s="196"/>
      <c r="BWW27" s="196"/>
      <c r="BWX27" s="196"/>
      <c r="BWY27" s="196"/>
      <c r="BWZ27" s="196"/>
      <c r="BXA27" s="196"/>
      <c r="BXB27" s="196"/>
      <c r="BXC27" s="196"/>
      <c r="BXD27" s="196"/>
      <c r="BXE27" s="196"/>
      <c r="BXF27" s="196"/>
      <c r="BXG27" s="196"/>
      <c r="BXH27" s="196"/>
      <c r="BXI27" s="196"/>
      <c r="BXJ27" s="196"/>
      <c r="BXK27" s="196"/>
      <c r="BXL27" s="196"/>
      <c r="BXM27" s="196"/>
      <c r="BXN27" s="196"/>
      <c r="BXO27" s="196"/>
      <c r="BXP27" s="196"/>
      <c r="BXQ27" s="196"/>
      <c r="BXR27" s="196"/>
      <c r="BXS27" s="196"/>
      <c r="BXT27" s="196"/>
      <c r="BXU27" s="196"/>
      <c r="BXV27" s="196"/>
      <c r="BXW27" s="196"/>
      <c r="BXX27" s="196"/>
      <c r="BXY27" s="196"/>
      <c r="BXZ27" s="196"/>
      <c r="BYA27" s="196"/>
      <c r="BYB27" s="196"/>
      <c r="BYC27" s="196"/>
      <c r="BYD27" s="196"/>
      <c r="BYE27" s="196"/>
      <c r="BYF27" s="196"/>
      <c r="BYG27" s="196"/>
    </row>
    <row r="28" spans="1:2009" s="100" customFormat="1" ht="12.75" hidden="1" customHeight="1" thickBot="1" x14ac:dyDescent="0.3">
      <c r="A28" s="97"/>
      <c r="B28" s="97"/>
      <c r="C28" s="169"/>
      <c r="D28" s="169"/>
      <c r="E28" s="169"/>
      <c r="F28" s="169"/>
      <c r="G28" s="631"/>
      <c r="H28" s="98"/>
      <c r="I28" s="722"/>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151</v>
      </c>
      <c r="B29" s="141"/>
      <c r="C29" s="180"/>
      <c r="D29" s="180"/>
      <c r="E29" s="181"/>
      <c r="F29" s="181"/>
      <c r="G29" s="639"/>
      <c r="H29" s="93"/>
      <c r="I29" s="544"/>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hidden="1" customHeight="1" x14ac:dyDescent="0.25">
      <c r="A30" s="356"/>
      <c r="B30" s="113" t="s">
        <v>491</v>
      </c>
      <c r="C30" s="182"/>
      <c r="D30" s="182"/>
      <c r="E30" s="183"/>
      <c r="F30" s="183"/>
      <c r="G30" s="640"/>
      <c r="H30" s="93"/>
      <c r="I30" s="544"/>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492</v>
      </c>
      <c r="C31" s="182">
        <v>22287.41</v>
      </c>
      <c r="D31" s="182">
        <v>27303.41</v>
      </c>
      <c r="E31" s="183">
        <v>33679.949999999997</v>
      </c>
      <c r="F31" s="183">
        <f>134923.12-SUM(C31:E31)</f>
        <v>51652.350000000006</v>
      </c>
      <c r="G31" s="640">
        <f>SUM(C31:F31)</f>
        <v>134923.12</v>
      </c>
      <c r="H31" s="93"/>
      <c r="I31" s="544"/>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7" customFormat="1" ht="24.95" customHeight="1" thickBot="1" x14ac:dyDescent="0.3">
      <c r="A32" s="213"/>
      <c r="B32" s="214" t="s">
        <v>152</v>
      </c>
      <c r="C32" s="215">
        <f>SUM(C30:C31)</f>
        <v>22287.41</v>
      </c>
      <c r="D32" s="215">
        <f>D30+D31</f>
        <v>27303.41</v>
      </c>
      <c r="E32" s="215">
        <f>E30+E31</f>
        <v>33679.949999999997</v>
      </c>
      <c r="F32" s="215">
        <f>F30+F31</f>
        <v>51652.350000000006</v>
      </c>
      <c r="G32" s="813">
        <f>SUM(G30:G31)</f>
        <v>134923.12</v>
      </c>
      <c r="H32" s="195"/>
      <c r="I32" s="544"/>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6"/>
      <c r="CP32" s="216"/>
      <c r="CQ32" s="216"/>
      <c r="CR32" s="216"/>
      <c r="CS32" s="216"/>
      <c r="CT32" s="216"/>
      <c r="CU32" s="216"/>
      <c r="CV32" s="216"/>
      <c r="CW32" s="216"/>
      <c r="CX32" s="216"/>
      <c r="CY32" s="216"/>
      <c r="CZ32" s="216"/>
      <c r="DA32" s="216"/>
      <c r="DB32" s="216"/>
      <c r="DC32" s="216"/>
      <c r="DD32" s="216"/>
      <c r="DE32" s="216"/>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c r="FP32" s="216"/>
      <c r="FQ32" s="216"/>
      <c r="FR32" s="216"/>
      <c r="FS32" s="216"/>
      <c r="FT32" s="216"/>
      <c r="FU32" s="216"/>
      <c r="FV32" s="216"/>
      <c r="FW32" s="216"/>
      <c r="FX32" s="216"/>
      <c r="FY32" s="216"/>
      <c r="FZ32" s="216"/>
      <c r="GA32" s="216"/>
      <c r="GB32" s="216"/>
      <c r="GC32" s="216"/>
      <c r="GD32" s="216"/>
      <c r="GE32" s="216"/>
      <c r="GF32" s="216"/>
      <c r="GG32" s="216"/>
      <c r="GH32" s="216"/>
      <c r="GI32" s="216"/>
      <c r="GJ32" s="216"/>
      <c r="GK32" s="216"/>
      <c r="GL32" s="216"/>
      <c r="GM32" s="216"/>
      <c r="GN32" s="216"/>
      <c r="GO32" s="216"/>
      <c r="GP32" s="216"/>
      <c r="GQ32" s="216"/>
      <c r="GR32" s="216"/>
      <c r="GS32" s="216"/>
      <c r="GT32" s="216"/>
      <c r="GU32" s="216"/>
      <c r="GV32" s="216"/>
      <c r="GW32" s="216"/>
      <c r="GX32" s="216"/>
      <c r="GY32" s="216"/>
      <c r="GZ32" s="216"/>
      <c r="HA32" s="216"/>
      <c r="HB32" s="216"/>
      <c r="HC32" s="216"/>
      <c r="HD32" s="216"/>
      <c r="HE32" s="216"/>
      <c r="HF32" s="216"/>
      <c r="HG32" s="216"/>
      <c r="HH32" s="216"/>
      <c r="HI32" s="216"/>
      <c r="HJ32" s="216"/>
      <c r="HK32" s="216"/>
      <c r="HL32" s="216"/>
      <c r="HM32" s="216"/>
      <c r="HN32" s="216"/>
      <c r="HO32" s="216"/>
      <c r="HP32" s="216"/>
      <c r="HQ32" s="216"/>
      <c r="HR32" s="216"/>
      <c r="HS32" s="216"/>
      <c r="HT32" s="216"/>
      <c r="HU32" s="216"/>
      <c r="HV32" s="216"/>
      <c r="HW32" s="216"/>
      <c r="HX32" s="216"/>
      <c r="HY32" s="216"/>
      <c r="HZ32" s="216"/>
      <c r="IA32" s="216"/>
      <c r="IB32" s="216"/>
      <c r="IC32" s="216"/>
      <c r="ID32" s="216"/>
      <c r="IE32" s="216"/>
      <c r="IF32" s="216"/>
      <c r="IG32" s="216"/>
      <c r="IH32" s="216"/>
      <c r="II32" s="216"/>
      <c r="IJ32" s="216"/>
      <c r="IK32" s="216"/>
      <c r="IL32" s="216"/>
      <c r="IM32" s="216"/>
      <c r="IN32" s="216"/>
      <c r="IO32" s="216"/>
      <c r="IP32" s="216"/>
      <c r="IQ32" s="216"/>
      <c r="IR32" s="216"/>
      <c r="IS32" s="216"/>
      <c r="IT32" s="216"/>
      <c r="IU32" s="216"/>
      <c r="IV32" s="216"/>
      <c r="IW32" s="216"/>
      <c r="IX32" s="216"/>
      <c r="IY32" s="216"/>
      <c r="IZ32" s="216"/>
      <c r="JA32" s="216"/>
      <c r="JB32" s="216"/>
      <c r="JC32" s="216"/>
      <c r="JD32" s="216"/>
      <c r="JE32" s="216"/>
      <c r="JF32" s="216"/>
      <c r="JG32" s="216"/>
      <c r="JH32" s="216"/>
      <c r="JI32" s="216"/>
      <c r="JJ32" s="216"/>
      <c r="JK32" s="216"/>
      <c r="JL32" s="216"/>
      <c r="JM32" s="216"/>
      <c r="JN32" s="216"/>
      <c r="JO32" s="216"/>
      <c r="JP32" s="216"/>
      <c r="JQ32" s="216"/>
      <c r="JR32" s="216"/>
      <c r="JS32" s="216"/>
      <c r="JT32" s="216"/>
      <c r="JU32" s="216"/>
      <c r="JV32" s="216"/>
      <c r="JW32" s="216"/>
      <c r="JX32" s="216"/>
      <c r="JY32" s="216"/>
      <c r="JZ32" s="216"/>
      <c r="KA32" s="216"/>
      <c r="KB32" s="216"/>
      <c r="KC32" s="216"/>
      <c r="KD32" s="216"/>
      <c r="KE32" s="216"/>
      <c r="KF32" s="216"/>
      <c r="KG32" s="216"/>
      <c r="KH32" s="216"/>
      <c r="KI32" s="216"/>
      <c r="KJ32" s="216"/>
      <c r="KK32" s="216"/>
      <c r="KL32" s="216"/>
      <c r="KM32" s="216"/>
      <c r="KN32" s="216"/>
      <c r="KO32" s="216"/>
      <c r="KP32" s="216"/>
      <c r="KQ32" s="216"/>
      <c r="KR32" s="216"/>
      <c r="KS32" s="216"/>
      <c r="KT32" s="216"/>
      <c r="KU32" s="216"/>
      <c r="KV32" s="216"/>
      <c r="KW32" s="216"/>
      <c r="KX32" s="216"/>
      <c r="KY32" s="216"/>
      <c r="KZ32" s="216"/>
      <c r="LA32" s="216"/>
      <c r="LB32" s="216"/>
      <c r="LC32" s="216"/>
      <c r="LD32" s="216"/>
      <c r="LE32" s="216"/>
      <c r="LF32" s="216"/>
      <c r="LG32" s="216"/>
      <c r="LH32" s="216"/>
      <c r="LI32" s="216"/>
      <c r="LJ32" s="216"/>
      <c r="LK32" s="216"/>
      <c r="LL32" s="216"/>
      <c r="LM32" s="216"/>
      <c r="LN32" s="216"/>
      <c r="LO32" s="216"/>
      <c r="LP32" s="216"/>
      <c r="LQ32" s="216"/>
      <c r="LR32" s="216"/>
      <c r="LS32" s="216"/>
      <c r="LT32" s="216"/>
      <c r="LU32" s="216"/>
      <c r="LV32" s="216"/>
      <c r="LW32" s="216"/>
      <c r="LX32" s="216"/>
      <c r="LY32" s="216"/>
      <c r="LZ32" s="216"/>
      <c r="MA32" s="216"/>
      <c r="MB32" s="216"/>
      <c r="MC32" s="216"/>
      <c r="MD32" s="216"/>
      <c r="ME32" s="216"/>
      <c r="MF32" s="216"/>
      <c r="MG32" s="216"/>
      <c r="MH32" s="216"/>
      <c r="MI32" s="216"/>
      <c r="MJ32" s="216"/>
      <c r="MK32" s="216"/>
      <c r="ML32" s="216"/>
      <c r="MM32" s="216"/>
      <c r="MN32" s="216"/>
      <c r="MO32" s="216"/>
      <c r="MP32" s="216"/>
      <c r="MQ32" s="216"/>
      <c r="MR32" s="216"/>
      <c r="MS32" s="216"/>
      <c r="MT32" s="216"/>
      <c r="MU32" s="216"/>
      <c r="MV32" s="216"/>
      <c r="MW32" s="216"/>
      <c r="MX32" s="216"/>
      <c r="MY32" s="216"/>
      <c r="MZ32" s="216"/>
      <c r="NA32" s="216"/>
      <c r="NB32" s="216"/>
      <c r="NC32" s="216"/>
      <c r="ND32" s="216"/>
      <c r="NE32" s="216"/>
      <c r="NF32" s="216"/>
      <c r="NG32" s="216"/>
      <c r="NH32" s="216"/>
      <c r="NI32" s="216"/>
      <c r="NJ32" s="216"/>
      <c r="NK32" s="216"/>
      <c r="NL32" s="216"/>
      <c r="NM32" s="216"/>
      <c r="NN32" s="216"/>
      <c r="NO32" s="216"/>
      <c r="NP32" s="216"/>
      <c r="NQ32" s="216"/>
      <c r="NR32" s="216"/>
      <c r="NS32" s="216"/>
      <c r="NT32" s="216"/>
      <c r="NU32" s="216"/>
      <c r="NV32" s="216"/>
      <c r="NW32" s="216"/>
      <c r="NX32" s="216"/>
      <c r="NY32" s="216"/>
      <c r="NZ32" s="216"/>
      <c r="OA32" s="216"/>
      <c r="OB32" s="216"/>
      <c r="OC32" s="216"/>
      <c r="OD32" s="216"/>
      <c r="OE32" s="216"/>
      <c r="OF32" s="216"/>
      <c r="OG32" s="216"/>
      <c r="OH32" s="216"/>
      <c r="OI32" s="216"/>
      <c r="OJ32" s="216"/>
      <c r="OK32" s="216"/>
      <c r="OL32" s="216"/>
      <c r="OM32" s="216"/>
      <c r="ON32" s="216"/>
      <c r="OO32" s="216"/>
      <c r="OP32" s="216"/>
      <c r="OQ32" s="216"/>
      <c r="OR32" s="216"/>
      <c r="OS32" s="216"/>
      <c r="OT32" s="216"/>
      <c r="OU32" s="216"/>
      <c r="OV32" s="216"/>
      <c r="OW32" s="216"/>
      <c r="OX32" s="216"/>
      <c r="OY32" s="216"/>
      <c r="OZ32" s="216"/>
      <c r="PA32" s="216"/>
      <c r="PB32" s="216"/>
      <c r="PC32" s="216"/>
      <c r="PD32" s="216"/>
      <c r="PE32" s="216"/>
      <c r="PF32" s="216"/>
      <c r="PG32" s="216"/>
      <c r="PH32" s="216"/>
      <c r="PI32" s="216"/>
      <c r="PJ32" s="216"/>
      <c r="PK32" s="216"/>
      <c r="PL32" s="216"/>
      <c r="PM32" s="216"/>
      <c r="PN32" s="216"/>
      <c r="PO32" s="216"/>
      <c r="PP32" s="216"/>
      <c r="PQ32" s="216"/>
      <c r="PR32" s="216"/>
      <c r="PS32" s="216"/>
      <c r="PT32" s="216"/>
      <c r="PU32" s="216"/>
      <c r="PV32" s="216"/>
      <c r="PW32" s="216"/>
      <c r="PX32" s="216"/>
      <c r="PY32" s="216"/>
      <c r="PZ32" s="216"/>
      <c r="QA32" s="216"/>
      <c r="QB32" s="216"/>
      <c r="QC32" s="216"/>
      <c r="QD32" s="216"/>
      <c r="QE32" s="216"/>
      <c r="QF32" s="216"/>
      <c r="QG32" s="216"/>
      <c r="QH32" s="216"/>
      <c r="QI32" s="216"/>
      <c r="QJ32" s="216"/>
      <c r="QK32" s="216"/>
      <c r="QL32" s="216"/>
      <c r="QM32" s="216"/>
      <c r="QN32" s="216"/>
      <c r="QO32" s="216"/>
      <c r="QP32" s="216"/>
      <c r="QQ32" s="216"/>
      <c r="QR32" s="216"/>
      <c r="QS32" s="216"/>
      <c r="QT32" s="216"/>
      <c r="QU32" s="216"/>
      <c r="QV32" s="216"/>
      <c r="QW32" s="216"/>
      <c r="QX32" s="216"/>
      <c r="QY32" s="216"/>
      <c r="QZ32" s="216"/>
      <c r="RA32" s="216"/>
      <c r="RB32" s="216"/>
      <c r="RC32" s="216"/>
      <c r="RD32" s="216"/>
      <c r="RE32" s="216"/>
      <c r="RF32" s="216"/>
      <c r="RG32" s="216"/>
      <c r="RH32" s="216"/>
      <c r="RI32" s="216"/>
      <c r="RJ32" s="216"/>
      <c r="RK32" s="216"/>
      <c r="RL32" s="216"/>
      <c r="RM32" s="216"/>
      <c r="RN32" s="216"/>
      <c r="RO32" s="216"/>
      <c r="RP32" s="216"/>
      <c r="RQ32" s="216"/>
      <c r="RR32" s="216"/>
      <c r="RS32" s="216"/>
      <c r="RT32" s="216"/>
      <c r="RU32" s="216"/>
      <c r="RV32" s="216"/>
      <c r="RW32" s="216"/>
      <c r="RX32" s="216"/>
      <c r="RY32" s="216"/>
      <c r="RZ32" s="216"/>
      <c r="SA32" s="216"/>
      <c r="SB32" s="216"/>
      <c r="SC32" s="216"/>
      <c r="SD32" s="216"/>
      <c r="SE32" s="216"/>
      <c r="SF32" s="216"/>
      <c r="SG32" s="216"/>
      <c r="SH32" s="216"/>
      <c r="SI32" s="216"/>
      <c r="SJ32" s="216"/>
      <c r="SK32" s="216"/>
      <c r="SL32" s="216"/>
      <c r="SM32" s="216"/>
      <c r="SN32" s="216"/>
      <c r="SO32" s="216"/>
      <c r="SP32" s="216"/>
      <c r="SQ32" s="216"/>
      <c r="SR32" s="216"/>
      <c r="SS32" s="216"/>
      <c r="ST32" s="216"/>
      <c r="SU32" s="216"/>
      <c r="SV32" s="216"/>
      <c r="SW32" s="216"/>
      <c r="SX32" s="216"/>
      <c r="SY32" s="216"/>
      <c r="SZ32" s="216"/>
      <c r="TA32" s="216"/>
      <c r="TB32" s="216"/>
      <c r="TC32" s="216"/>
      <c r="TD32" s="216"/>
      <c r="TE32" s="216"/>
      <c r="TF32" s="216"/>
      <c r="TG32" s="216"/>
      <c r="TH32" s="216"/>
      <c r="TI32" s="216"/>
      <c r="TJ32" s="216"/>
      <c r="TK32" s="216"/>
      <c r="TL32" s="216"/>
      <c r="TM32" s="216"/>
      <c r="TN32" s="216"/>
      <c r="TO32" s="216"/>
      <c r="TP32" s="216"/>
      <c r="TQ32" s="216"/>
      <c r="TR32" s="216"/>
      <c r="TS32" s="216"/>
      <c r="TT32" s="216"/>
      <c r="TU32" s="216"/>
      <c r="TV32" s="216"/>
      <c r="TW32" s="216"/>
      <c r="TX32" s="216"/>
      <c r="TY32" s="216"/>
      <c r="TZ32" s="216"/>
      <c r="UA32" s="216"/>
      <c r="UB32" s="216"/>
      <c r="UC32" s="216"/>
      <c r="UD32" s="216"/>
      <c r="UE32" s="216"/>
      <c r="UF32" s="216"/>
      <c r="UG32" s="216"/>
      <c r="UH32" s="216"/>
      <c r="UI32" s="216"/>
      <c r="UJ32" s="216"/>
      <c r="UK32" s="216"/>
      <c r="UL32" s="216"/>
      <c r="UM32" s="216"/>
      <c r="UN32" s="216"/>
      <c r="UO32" s="216"/>
      <c r="UP32" s="216"/>
      <c r="UQ32" s="216"/>
      <c r="UR32" s="216"/>
      <c r="US32" s="216"/>
      <c r="UT32" s="216"/>
      <c r="UU32" s="216"/>
      <c r="UV32" s="216"/>
      <c r="UW32" s="216"/>
      <c r="UX32" s="216"/>
      <c r="UY32" s="216"/>
      <c r="UZ32" s="216"/>
      <c r="VA32" s="216"/>
      <c r="VB32" s="216"/>
      <c r="VC32" s="216"/>
      <c r="VD32" s="216"/>
      <c r="VE32" s="216"/>
      <c r="VF32" s="216"/>
      <c r="VG32" s="216"/>
      <c r="VH32" s="216"/>
      <c r="VI32" s="216"/>
      <c r="VJ32" s="216"/>
      <c r="VK32" s="216"/>
      <c r="VL32" s="216"/>
      <c r="VM32" s="216"/>
      <c r="VN32" s="216"/>
      <c r="VO32" s="216"/>
      <c r="VP32" s="216"/>
      <c r="VQ32" s="216"/>
      <c r="VR32" s="216"/>
      <c r="VS32" s="216"/>
      <c r="VT32" s="216"/>
      <c r="VU32" s="216"/>
      <c r="VV32" s="216"/>
      <c r="VW32" s="216"/>
      <c r="VX32" s="216"/>
      <c r="VY32" s="216"/>
      <c r="VZ32" s="216"/>
      <c r="WA32" s="216"/>
      <c r="WB32" s="216"/>
      <c r="WC32" s="216"/>
      <c r="WD32" s="216"/>
      <c r="WE32" s="216"/>
      <c r="WF32" s="216"/>
      <c r="WG32" s="216"/>
      <c r="WH32" s="216"/>
      <c r="WI32" s="216"/>
      <c r="WJ32" s="216"/>
      <c r="WK32" s="216"/>
      <c r="WL32" s="216"/>
      <c r="WM32" s="216"/>
      <c r="WN32" s="216"/>
      <c r="WO32" s="216"/>
      <c r="WP32" s="216"/>
      <c r="WQ32" s="216"/>
      <c r="WR32" s="216"/>
      <c r="WS32" s="216"/>
      <c r="WT32" s="216"/>
      <c r="WU32" s="216"/>
      <c r="WV32" s="216"/>
      <c r="WW32" s="216"/>
      <c r="WX32" s="216"/>
      <c r="WY32" s="216"/>
      <c r="WZ32" s="216"/>
      <c r="XA32" s="216"/>
      <c r="XB32" s="216"/>
      <c r="XC32" s="216"/>
      <c r="XD32" s="216"/>
      <c r="XE32" s="216"/>
      <c r="XF32" s="216"/>
      <c r="XG32" s="216"/>
      <c r="XH32" s="216"/>
      <c r="XI32" s="216"/>
      <c r="XJ32" s="216"/>
      <c r="XK32" s="216"/>
      <c r="XL32" s="216"/>
      <c r="XM32" s="216"/>
      <c r="XN32" s="216"/>
      <c r="XO32" s="216"/>
      <c r="XP32" s="216"/>
      <c r="XQ32" s="216"/>
      <c r="XR32" s="216"/>
      <c r="XS32" s="216"/>
      <c r="XT32" s="216"/>
      <c r="XU32" s="216"/>
      <c r="XV32" s="216"/>
      <c r="XW32" s="216"/>
      <c r="XX32" s="216"/>
      <c r="XY32" s="216"/>
      <c r="XZ32" s="216"/>
      <c r="YA32" s="216"/>
      <c r="YB32" s="216"/>
      <c r="YC32" s="216"/>
      <c r="YD32" s="216"/>
      <c r="YE32" s="216"/>
      <c r="YF32" s="216"/>
      <c r="YG32" s="216"/>
      <c r="YH32" s="216"/>
      <c r="YI32" s="216"/>
      <c r="YJ32" s="216"/>
      <c r="YK32" s="216"/>
      <c r="YL32" s="216"/>
      <c r="YM32" s="216"/>
      <c r="YN32" s="216"/>
      <c r="YO32" s="216"/>
      <c r="YP32" s="216"/>
      <c r="YQ32" s="216"/>
      <c r="YR32" s="216"/>
      <c r="YS32" s="216"/>
      <c r="YT32" s="216"/>
      <c r="YU32" s="216"/>
      <c r="YV32" s="216"/>
      <c r="YW32" s="216"/>
      <c r="YX32" s="216"/>
      <c r="YY32" s="216"/>
      <c r="YZ32" s="216"/>
      <c r="ZA32" s="216"/>
      <c r="ZB32" s="216"/>
      <c r="ZC32" s="216"/>
      <c r="ZD32" s="216"/>
      <c r="ZE32" s="216"/>
      <c r="ZF32" s="216"/>
      <c r="ZG32" s="216"/>
      <c r="ZH32" s="216"/>
      <c r="ZI32" s="216"/>
      <c r="ZJ32" s="216"/>
      <c r="ZK32" s="216"/>
      <c r="ZL32" s="216"/>
      <c r="ZM32" s="216"/>
      <c r="ZN32" s="216"/>
      <c r="ZO32" s="216"/>
      <c r="ZP32" s="216"/>
      <c r="ZQ32" s="216"/>
      <c r="ZR32" s="216"/>
      <c r="ZS32" s="216"/>
      <c r="ZT32" s="216"/>
      <c r="ZU32" s="216"/>
      <c r="ZV32" s="216"/>
      <c r="ZW32" s="216"/>
      <c r="ZX32" s="216"/>
      <c r="ZY32" s="216"/>
      <c r="ZZ32" s="216"/>
      <c r="AAA32" s="216"/>
      <c r="AAB32" s="216"/>
      <c r="AAC32" s="216"/>
      <c r="AAD32" s="216"/>
      <c r="AAE32" s="216"/>
      <c r="AAF32" s="216"/>
      <c r="AAG32" s="216"/>
      <c r="AAH32" s="216"/>
      <c r="AAI32" s="216"/>
      <c r="AAJ32" s="216"/>
      <c r="AAK32" s="216"/>
      <c r="AAL32" s="216"/>
      <c r="AAM32" s="216"/>
      <c r="AAN32" s="216"/>
      <c r="AAO32" s="216"/>
      <c r="AAP32" s="216"/>
      <c r="AAQ32" s="216"/>
      <c r="AAR32" s="216"/>
      <c r="AAS32" s="216"/>
      <c r="AAT32" s="216"/>
      <c r="AAU32" s="216"/>
      <c r="AAV32" s="216"/>
      <c r="AAW32" s="216"/>
      <c r="AAX32" s="216"/>
      <c r="AAY32" s="216"/>
      <c r="AAZ32" s="216"/>
      <c r="ABA32" s="216"/>
      <c r="ABB32" s="216"/>
      <c r="ABC32" s="216"/>
      <c r="ABD32" s="216"/>
      <c r="ABE32" s="216"/>
      <c r="ABF32" s="216"/>
      <c r="ABG32" s="216"/>
      <c r="ABH32" s="216"/>
      <c r="ABI32" s="216"/>
      <c r="ABJ32" s="216"/>
      <c r="ABK32" s="216"/>
      <c r="ABL32" s="216"/>
      <c r="ABM32" s="216"/>
      <c r="ABN32" s="216"/>
      <c r="ABO32" s="216"/>
      <c r="ABP32" s="216"/>
      <c r="ABQ32" s="216"/>
      <c r="ABR32" s="216"/>
      <c r="ABS32" s="216"/>
      <c r="ABT32" s="216"/>
      <c r="ABU32" s="216"/>
      <c r="ABV32" s="216"/>
      <c r="ABW32" s="216"/>
      <c r="ABX32" s="216"/>
      <c r="ABY32" s="216"/>
      <c r="ABZ32" s="216"/>
      <c r="ACA32" s="216"/>
      <c r="ACB32" s="216"/>
      <c r="ACC32" s="216"/>
      <c r="ACD32" s="216"/>
      <c r="ACE32" s="216"/>
      <c r="ACF32" s="216"/>
      <c r="ACG32" s="216"/>
      <c r="ACH32" s="216"/>
      <c r="ACI32" s="216"/>
      <c r="ACJ32" s="216"/>
      <c r="ACK32" s="216"/>
      <c r="ACL32" s="216"/>
      <c r="ACM32" s="216"/>
      <c r="ACN32" s="216"/>
      <c r="ACO32" s="216"/>
      <c r="ACP32" s="216"/>
      <c r="ACQ32" s="216"/>
      <c r="ACR32" s="216"/>
      <c r="ACS32" s="216"/>
      <c r="ACT32" s="216"/>
      <c r="ACU32" s="216"/>
      <c r="ACV32" s="216"/>
      <c r="ACW32" s="216"/>
      <c r="ACX32" s="216"/>
      <c r="ACY32" s="216"/>
      <c r="ACZ32" s="216"/>
      <c r="ADA32" s="216"/>
      <c r="ADB32" s="216"/>
      <c r="ADC32" s="216"/>
      <c r="ADD32" s="216"/>
      <c r="ADE32" s="216"/>
      <c r="ADF32" s="216"/>
      <c r="ADG32" s="216"/>
      <c r="ADH32" s="216"/>
      <c r="ADI32" s="216"/>
      <c r="ADJ32" s="216"/>
      <c r="ADK32" s="216"/>
      <c r="ADL32" s="216"/>
      <c r="ADM32" s="216"/>
      <c r="ADN32" s="216"/>
      <c r="ADO32" s="216"/>
      <c r="ADP32" s="216"/>
      <c r="ADQ32" s="216"/>
      <c r="ADR32" s="216"/>
      <c r="ADS32" s="216"/>
      <c r="ADT32" s="216"/>
      <c r="ADU32" s="216"/>
      <c r="ADV32" s="216"/>
      <c r="ADW32" s="216"/>
      <c r="ADX32" s="216"/>
      <c r="ADY32" s="216"/>
      <c r="ADZ32" s="216"/>
      <c r="AEA32" s="216"/>
      <c r="AEB32" s="216"/>
      <c r="AEC32" s="216"/>
      <c r="AED32" s="216"/>
      <c r="AEE32" s="216"/>
      <c r="AEF32" s="216"/>
      <c r="AEG32" s="216"/>
      <c r="AEH32" s="216"/>
      <c r="AEI32" s="216"/>
      <c r="AEJ32" s="216"/>
      <c r="AEK32" s="216"/>
      <c r="AEL32" s="216"/>
      <c r="AEM32" s="216"/>
      <c r="AEN32" s="216"/>
      <c r="AEO32" s="216"/>
      <c r="AEP32" s="216"/>
      <c r="AEQ32" s="216"/>
      <c r="AER32" s="216"/>
      <c r="AES32" s="216"/>
      <c r="AET32" s="216"/>
      <c r="AEU32" s="216"/>
      <c r="AEV32" s="216"/>
      <c r="AEW32" s="216"/>
      <c r="AEX32" s="216"/>
      <c r="AEY32" s="216"/>
      <c r="AEZ32" s="216"/>
      <c r="AFA32" s="216"/>
      <c r="AFB32" s="216"/>
      <c r="AFC32" s="216"/>
      <c r="AFD32" s="216"/>
      <c r="AFE32" s="216"/>
      <c r="AFF32" s="216"/>
      <c r="AFG32" s="216"/>
      <c r="AFH32" s="216"/>
      <c r="AFI32" s="216"/>
      <c r="AFJ32" s="216"/>
      <c r="AFK32" s="216"/>
      <c r="AFL32" s="216"/>
      <c r="AFM32" s="216"/>
      <c r="AFN32" s="216"/>
      <c r="AFO32" s="216"/>
      <c r="AFP32" s="216"/>
      <c r="AFQ32" s="216"/>
      <c r="AFR32" s="216"/>
      <c r="AFS32" s="216"/>
      <c r="AFT32" s="216"/>
      <c r="AFU32" s="216"/>
      <c r="AFV32" s="216"/>
      <c r="AFW32" s="216"/>
      <c r="AFX32" s="216"/>
      <c r="AFY32" s="216"/>
      <c r="AFZ32" s="216"/>
      <c r="AGA32" s="216"/>
      <c r="AGB32" s="216"/>
      <c r="AGC32" s="216"/>
      <c r="AGD32" s="216"/>
      <c r="AGE32" s="216"/>
      <c r="AGF32" s="216"/>
      <c r="AGG32" s="216"/>
      <c r="AGH32" s="216"/>
      <c r="AGI32" s="216"/>
      <c r="AGJ32" s="216"/>
      <c r="AGK32" s="216"/>
      <c r="AGL32" s="216"/>
      <c r="AGM32" s="216"/>
      <c r="AGN32" s="216"/>
      <c r="AGO32" s="216"/>
      <c r="AGP32" s="216"/>
      <c r="AGQ32" s="216"/>
      <c r="AGR32" s="216"/>
      <c r="AGS32" s="216"/>
      <c r="AGT32" s="216"/>
      <c r="AGU32" s="216"/>
      <c r="AGV32" s="216"/>
      <c r="AGW32" s="216"/>
      <c r="AGX32" s="216"/>
      <c r="AGY32" s="216"/>
      <c r="AGZ32" s="216"/>
      <c r="AHA32" s="216"/>
      <c r="AHB32" s="216"/>
      <c r="AHC32" s="216"/>
      <c r="AHD32" s="216"/>
      <c r="AHE32" s="216"/>
      <c r="AHF32" s="216"/>
      <c r="AHG32" s="216"/>
      <c r="AHH32" s="216"/>
      <c r="AHI32" s="216"/>
      <c r="AHJ32" s="216"/>
      <c r="AHK32" s="216"/>
      <c r="AHL32" s="216"/>
      <c r="AHM32" s="216"/>
      <c r="AHN32" s="216"/>
      <c r="AHO32" s="216"/>
      <c r="AHP32" s="216"/>
      <c r="AHQ32" s="216"/>
      <c r="AHR32" s="216"/>
      <c r="AHS32" s="216"/>
      <c r="AHT32" s="216"/>
      <c r="AHU32" s="216"/>
      <c r="AHV32" s="216"/>
      <c r="AHW32" s="216"/>
      <c r="AHX32" s="216"/>
      <c r="AHY32" s="216"/>
      <c r="AHZ32" s="216"/>
      <c r="AIA32" s="216"/>
      <c r="AIB32" s="216"/>
      <c r="AIC32" s="216"/>
      <c r="AID32" s="216"/>
      <c r="AIE32" s="216"/>
      <c r="AIF32" s="216"/>
      <c r="AIG32" s="216"/>
      <c r="AIH32" s="216"/>
      <c r="AII32" s="216"/>
      <c r="AIJ32" s="216"/>
      <c r="AIK32" s="216"/>
      <c r="AIL32" s="216"/>
      <c r="AIM32" s="216"/>
      <c r="AIN32" s="216"/>
      <c r="AIO32" s="216"/>
      <c r="AIP32" s="216"/>
      <c r="AIQ32" s="216"/>
      <c r="AIR32" s="216"/>
      <c r="AIS32" s="216"/>
      <c r="AIT32" s="216"/>
      <c r="AIU32" s="216"/>
      <c r="AIV32" s="216"/>
      <c r="AIW32" s="216"/>
      <c r="AIX32" s="216"/>
      <c r="AIY32" s="216"/>
      <c r="AIZ32" s="216"/>
      <c r="AJA32" s="216"/>
      <c r="AJB32" s="216"/>
      <c r="AJC32" s="216"/>
      <c r="AJD32" s="216"/>
      <c r="AJE32" s="216"/>
      <c r="AJF32" s="216"/>
      <c r="AJG32" s="216"/>
      <c r="AJH32" s="216"/>
      <c r="AJI32" s="216"/>
      <c r="AJJ32" s="216"/>
      <c r="AJK32" s="216"/>
      <c r="AJL32" s="216"/>
      <c r="AJM32" s="216"/>
      <c r="AJN32" s="216"/>
      <c r="AJO32" s="216"/>
      <c r="AJP32" s="216"/>
      <c r="AJQ32" s="216"/>
      <c r="AJR32" s="216"/>
      <c r="AJS32" s="216"/>
      <c r="AJT32" s="216"/>
      <c r="AJU32" s="216"/>
      <c r="AJV32" s="216"/>
      <c r="AJW32" s="216"/>
      <c r="AJX32" s="216"/>
      <c r="AJY32" s="216"/>
      <c r="AJZ32" s="216"/>
      <c r="AKA32" s="216"/>
      <c r="AKB32" s="216"/>
      <c r="AKC32" s="216"/>
      <c r="AKD32" s="216"/>
      <c r="AKE32" s="216"/>
      <c r="AKF32" s="216"/>
      <c r="AKG32" s="216"/>
      <c r="AKH32" s="216"/>
      <c r="AKI32" s="216"/>
      <c r="AKJ32" s="216"/>
      <c r="AKK32" s="216"/>
      <c r="AKL32" s="216"/>
      <c r="AKM32" s="216"/>
      <c r="AKN32" s="216"/>
      <c r="AKO32" s="216"/>
      <c r="AKP32" s="216"/>
      <c r="AKQ32" s="216"/>
      <c r="AKR32" s="216"/>
      <c r="AKS32" s="216"/>
      <c r="AKT32" s="216"/>
      <c r="AKU32" s="216"/>
      <c r="AKV32" s="216"/>
      <c r="AKW32" s="216"/>
      <c r="AKX32" s="216"/>
      <c r="AKY32" s="216"/>
      <c r="AKZ32" s="216"/>
      <c r="ALA32" s="216"/>
      <c r="ALB32" s="216"/>
      <c r="ALC32" s="216"/>
      <c r="ALD32" s="216"/>
      <c r="ALE32" s="216"/>
      <c r="ALF32" s="216"/>
      <c r="ALG32" s="216"/>
      <c r="ALH32" s="216"/>
      <c r="ALI32" s="216"/>
      <c r="ALJ32" s="216"/>
      <c r="ALK32" s="216"/>
      <c r="ALL32" s="216"/>
      <c r="ALM32" s="216"/>
      <c r="ALN32" s="216"/>
      <c r="ALO32" s="216"/>
      <c r="ALP32" s="216"/>
      <c r="ALQ32" s="216"/>
      <c r="ALR32" s="216"/>
      <c r="ALS32" s="216"/>
      <c r="ALT32" s="216"/>
      <c r="ALU32" s="216"/>
      <c r="ALV32" s="216"/>
      <c r="ALW32" s="216"/>
      <c r="ALX32" s="216"/>
      <c r="ALY32" s="216"/>
      <c r="ALZ32" s="216"/>
      <c r="AMA32" s="216"/>
      <c r="AMB32" s="216"/>
      <c r="AMC32" s="216"/>
      <c r="AMD32" s="216"/>
      <c r="AME32" s="216"/>
      <c r="AMF32" s="216"/>
      <c r="AMG32" s="216"/>
      <c r="AMH32" s="216"/>
      <c r="AMI32" s="216"/>
      <c r="AMJ32" s="216"/>
      <c r="AMK32" s="216"/>
      <c r="AML32" s="216"/>
      <c r="AMM32" s="216"/>
      <c r="AMN32" s="216"/>
      <c r="AMO32" s="216"/>
      <c r="AMP32" s="216"/>
      <c r="AMQ32" s="216"/>
      <c r="AMR32" s="216"/>
      <c r="AMS32" s="216"/>
      <c r="AMT32" s="216"/>
      <c r="AMU32" s="216"/>
      <c r="AMV32" s="216"/>
      <c r="AMW32" s="216"/>
      <c r="AMX32" s="216"/>
      <c r="AMY32" s="216"/>
      <c r="AMZ32" s="216"/>
      <c r="ANA32" s="216"/>
      <c r="ANB32" s="216"/>
      <c r="ANC32" s="216"/>
      <c r="AND32" s="216"/>
      <c r="ANE32" s="216"/>
      <c r="ANF32" s="216"/>
      <c r="ANG32" s="216"/>
      <c r="ANH32" s="216"/>
      <c r="ANI32" s="216"/>
      <c r="ANJ32" s="216"/>
      <c r="ANK32" s="216"/>
      <c r="ANL32" s="216"/>
      <c r="ANM32" s="216"/>
      <c r="ANN32" s="216"/>
      <c r="ANO32" s="216"/>
      <c r="ANP32" s="216"/>
      <c r="ANQ32" s="216"/>
      <c r="ANR32" s="216"/>
      <c r="ANS32" s="216"/>
      <c r="ANT32" s="216"/>
      <c r="ANU32" s="216"/>
      <c r="ANV32" s="216"/>
      <c r="ANW32" s="216"/>
      <c r="ANX32" s="216"/>
      <c r="ANY32" s="216"/>
      <c r="ANZ32" s="216"/>
      <c r="AOA32" s="216"/>
      <c r="AOB32" s="216"/>
      <c r="AOC32" s="216"/>
      <c r="AOD32" s="216"/>
      <c r="AOE32" s="216"/>
      <c r="AOF32" s="216"/>
      <c r="AOG32" s="216"/>
      <c r="AOH32" s="216"/>
      <c r="AOI32" s="216"/>
      <c r="AOJ32" s="216"/>
      <c r="AOK32" s="216"/>
      <c r="AOL32" s="216"/>
      <c r="AOM32" s="216"/>
      <c r="AON32" s="216"/>
      <c r="AOO32" s="216"/>
      <c r="AOP32" s="216"/>
      <c r="AOQ32" s="216"/>
      <c r="AOR32" s="216"/>
      <c r="AOS32" s="216"/>
      <c r="AOT32" s="216"/>
      <c r="AOU32" s="216"/>
      <c r="AOV32" s="216"/>
      <c r="AOW32" s="216"/>
      <c r="AOX32" s="216"/>
      <c r="AOY32" s="216"/>
      <c r="AOZ32" s="216"/>
      <c r="APA32" s="216"/>
      <c r="APB32" s="216"/>
      <c r="APC32" s="216"/>
      <c r="APD32" s="216"/>
      <c r="APE32" s="216"/>
      <c r="APF32" s="216"/>
      <c r="APG32" s="216"/>
      <c r="APH32" s="216"/>
      <c r="API32" s="216"/>
      <c r="APJ32" s="216"/>
      <c r="APK32" s="216"/>
      <c r="APL32" s="216"/>
      <c r="APM32" s="216"/>
      <c r="APN32" s="216"/>
      <c r="APO32" s="216"/>
      <c r="APP32" s="216"/>
      <c r="APQ32" s="216"/>
      <c r="APR32" s="216"/>
      <c r="APS32" s="216"/>
      <c r="APT32" s="216"/>
      <c r="APU32" s="216"/>
      <c r="APV32" s="216"/>
      <c r="APW32" s="216"/>
      <c r="APX32" s="216"/>
      <c r="APY32" s="216"/>
      <c r="APZ32" s="216"/>
      <c r="AQA32" s="216"/>
      <c r="AQB32" s="216"/>
      <c r="AQC32" s="216"/>
      <c r="AQD32" s="216"/>
      <c r="AQE32" s="216"/>
      <c r="AQF32" s="216"/>
      <c r="AQG32" s="216"/>
      <c r="AQH32" s="216"/>
      <c r="AQI32" s="216"/>
      <c r="AQJ32" s="216"/>
      <c r="AQK32" s="216"/>
      <c r="AQL32" s="216"/>
      <c r="AQM32" s="216"/>
      <c r="AQN32" s="216"/>
      <c r="AQO32" s="216"/>
      <c r="AQP32" s="216"/>
      <c r="AQQ32" s="216"/>
      <c r="AQR32" s="216"/>
      <c r="AQS32" s="216"/>
      <c r="AQT32" s="216"/>
      <c r="AQU32" s="216"/>
      <c r="AQV32" s="216"/>
      <c r="AQW32" s="216"/>
      <c r="AQX32" s="216"/>
      <c r="AQY32" s="216"/>
      <c r="AQZ32" s="216"/>
      <c r="ARA32" s="216"/>
      <c r="ARB32" s="216"/>
      <c r="ARC32" s="216"/>
      <c r="ARD32" s="216"/>
      <c r="ARE32" s="216"/>
      <c r="ARF32" s="216"/>
      <c r="ARG32" s="216"/>
      <c r="ARH32" s="216"/>
      <c r="ARI32" s="216"/>
      <c r="ARJ32" s="216"/>
      <c r="ARK32" s="216"/>
      <c r="ARL32" s="216"/>
      <c r="ARM32" s="216"/>
      <c r="ARN32" s="216"/>
      <c r="ARO32" s="216"/>
      <c r="ARP32" s="216"/>
      <c r="ARQ32" s="216"/>
      <c r="ARR32" s="216"/>
      <c r="ARS32" s="216"/>
      <c r="ART32" s="216"/>
      <c r="ARU32" s="216"/>
      <c r="ARV32" s="216"/>
      <c r="ARW32" s="216"/>
      <c r="ARX32" s="216"/>
      <c r="ARY32" s="216"/>
      <c r="ARZ32" s="216"/>
      <c r="ASA32" s="216"/>
      <c r="ASB32" s="216"/>
      <c r="ASC32" s="216"/>
      <c r="ASD32" s="216"/>
      <c r="ASE32" s="216"/>
      <c r="ASF32" s="216"/>
      <c r="ASG32" s="216"/>
      <c r="ASH32" s="216"/>
      <c r="ASI32" s="216"/>
      <c r="ASJ32" s="216"/>
      <c r="ASK32" s="216"/>
      <c r="ASL32" s="216"/>
      <c r="ASM32" s="216"/>
      <c r="ASN32" s="216"/>
      <c r="ASO32" s="216"/>
      <c r="ASP32" s="216"/>
      <c r="ASQ32" s="216"/>
      <c r="ASR32" s="216"/>
      <c r="ASS32" s="216"/>
      <c r="AST32" s="216"/>
      <c r="ASU32" s="216"/>
      <c r="ASV32" s="216"/>
      <c r="ASW32" s="216"/>
      <c r="ASX32" s="216"/>
      <c r="ASY32" s="216"/>
      <c r="ASZ32" s="216"/>
      <c r="ATA32" s="216"/>
      <c r="ATB32" s="216"/>
      <c r="ATC32" s="216"/>
      <c r="ATD32" s="216"/>
      <c r="ATE32" s="216"/>
      <c r="ATF32" s="216"/>
      <c r="ATG32" s="216"/>
      <c r="ATH32" s="216"/>
      <c r="ATI32" s="216"/>
      <c r="ATJ32" s="216"/>
      <c r="ATK32" s="216"/>
      <c r="ATL32" s="216"/>
      <c r="ATM32" s="216"/>
      <c r="ATN32" s="216"/>
      <c r="ATO32" s="216"/>
      <c r="ATP32" s="216"/>
      <c r="ATQ32" s="216"/>
      <c r="ATR32" s="216"/>
      <c r="ATS32" s="216"/>
      <c r="ATT32" s="216"/>
      <c r="ATU32" s="216"/>
      <c r="ATV32" s="216"/>
      <c r="ATW32" s="216"/>
      <c r="ATX32" s="216"/>
      <c r="ATY32" s="216"/>
      <c r="ATZ32" s="216"/>
      <c r="AUA32" s="216"/>
      <c r="AUB32" s="216"/>
      <c r="AUC32" s="216"/>
      <c r="AUD32" s="216"/>
      <c r="AUE32" s="216"/>
      <c r="AUF32" s="216"/>
      <c r="AUG32" s="216"/>
      <c r="AUH32" s="216"/>
      <c r="AUI32" s="216"/>
      <c r="AUJ32" s="216"/>
      <c r="AUK32" s="216"/>
      <c r="AUL32" s="216"/>
      <c r="AUM32" s="216"/>
      <c r="AUN32" s="216"/>
      <c r="AUO32" s="216"/>
      <c r="AUP32" s="216"/>
      <c r="AUQ32" s="216"/>
      <c r="AUR32" s="216"/>
      <c r="AUS32" s="216"/>
      <c r="AUT32" s="216"/>
      <c r="AUU32" s="216"/>
      <c r="AUV32" s="216"/>
      <c r="AUW32" s="216"/>
      <c r="AUX32" s="216"/>
      <c r="AUY32" s="216"/>
      <c r="AUZ32" s="216"/>
      <c r="AVA32" s="216"/>
      <c r="AVB32" s="216"/>
      <c r="AVC32" s="216"/>
      <c r="AVD32" s="216"/>
      <c r="AVE32" s="216"/>
      <c r="AVF32" s="216"/>
      <c r="AVG32" s="216"/>
      <c r="AVH32" s="216"/>
      <c r="AVI32" s="216"/>
      <c r="AVJ32" s="216"/>
      <c r="AVK32" s="216"/>
      <c r="AVL32" s="216"/>
      <c r="AVM32" s="216"/>
      <c r="AVN32" s="216"/>
      <c r="AVO32" s="216"/>
      <c r="AVP32" s="216"/>
      <c r="AVQ32" s="216"/>
      <c r="AVR32" s="216"/>
      <c r="AVS32" s="216"/>
      <c r="AVT32" s="216"/>
      <c r="AVU32" s="216"/>
      <c r="AVV32" s="216"/>
      <c r="AVW32" s="216"/>
      <c r="AVX32" s="216"/>
      <c r="AVY32" s="216"/>
      <c r="AVZ32" s="216"/>
      <c r="AWA32" s="216"/>
      <c r="AWB32" s="216"/>
      <c r="AWC32" s="216"/>
      <c r="AWD32" s="216"/>
      <c r="AWE32" s="216"/>
      <c r="AWF32" s="216"/>
      <c r="AWG32" s="216"/>
      <c r="AWH32" s="216"/>
      <c r="AWI32" s="216"/>
      <c r="AWJ32" s="216"/>
      <c r="AWK32" s="216"/>
      <c r="AWL32" s="216"/>
      <c r="AWM32" s="216"/>
      <c r="AWN32" s="216"/>
      <c r="AWO32" s="216"/>
      <c r="AWP32" s="216"/>
      <c r="AWQ32" s="216"/>
      <c r="AWR32" s="216"/>
      <c r="AWS32" s="216"/>
      <c r="AWT32" s="216"/>
      <c r="AWU32" s="216"/>
      <c r="AWV32" s="216"/>
      <c r="AWW32" s="216"/>
      <c r="AWX32" s="216"/>
      <c r="AWY32" s="216"/>
      <c r="AWZ32" s="216"/>
      <c r="AXA32" s="216"/>
      <c r="AXB32" s="216"/>
      <c r="AXC32" s="216"/>
      <c r="AXD32" s="216"/>
      <c r="AXE32" s="216"/>
      <c r="AXF32" s="216"/>
      <c r="AXG32" s="216"/>
      <c r="AXH32" s="216"/>
      <c r="AXI32" s="216"/>
      <c r="AXJ32" s="216"/>
      <c r="AXK32" s="216"/>
      <c r="AXL32" s="216"/>
      <c r="AXM32" s="216"/>
      <c r="AXN32" s="216"/>
      <c r="AXO32" s="216"/>
      <c r="AXP32" s="216"/>
      <c r="AXQ32" s="216"/>
      <c r="AXR32" s="216"/>
      <c r="AXS32" s="216"/>
      <c r="AXT32" s="216"/>
      <c r="AXU32" s="216"/>
      <c r="AXV32" s="216"/>
      <c r="AXW32" s="216"/>
      <c r="AXX32" s="216"/>
      <c r="AXY32" s="216"/>
      <c r="AXZ32" s="216"/>
      <c r="AYA32" s="216"/>
      <c r="AYB32" s="216"/>
      <c r="AYC32" s="216"/>
      <c r="AYD32" s="216"/>
      <c r="AYE32" s="216"/>
      <c r="AYF32" s="216"/>
      <c r="AYG32" s="216"/>
      <c r="AYH32" s="216"/>
      <c r="AYI32" s="216"/>
      <c r="AYJ32" s="216"/>
      <c r="AYK32" s="216"/>
      <c r="AYL32" s="216"/>
      <c r="AYM32" s="216"/>
      <c r="AYN32" s="216"/>
      <c r="AYO32" s="216"/>
      <c r="AYP32" s="216"/>
      <c r="AYQ32" s="216"/>
      <c r="AYR32" s="216"/>
      <c r="AYS32" s="216"/>
      <c r="AYT32" s="216"/>
      <c r="AYU32" s="216"/>
      <c r="AYV32" s="216"/>
      <c r="AYW32" s="216"/>
      <c r="AYX32" s="216"/>
      <c r="AYY32" s="216"/>
      <c r="AYZ32" s="216"/>
      <c r="AZA32" s="216"/>
      <c r="AZB32" s="216"/>
      <c r="AZC32" s="216"/>
      <c r="AZD32" s="216"/>
      <c r="AZE32" s="216"/>
      <c r="AZF32" s="216"/>
      <c r="AZG32" s="216"/>
      <c r="AZH32" s="216"/>
      <c r="AZI32" s="216"/>
      <c r="AZJ32" s="216"/>
      <c r="AZK32" s="216"/>
      <c r="AZL32" s="216"/>
      <c r="AZM32" s="216"/>
      <c r="AZN32" s="216"/>
      <c r="AZO32" s="216"/>
      <c r="AZP32" s="216"/>
      <c r="AZQ32" s="216"/>
      <c r="AZR32" s="216"/>
      <c r="AZS32" s="216"/>
      <c r="AZT32" s="216"/>
      <c r="AZU32" s="216"/>
      <c r="AZV32" s="216"/>
      <c r="AZW32" s="216"/>
      <c r="AZX32" s="216"/>
      <c r="AZY32" s="216"/>
      <c r="AZZ32" s="216"/>
      <c r="BAA32" s="216"/>
      <c r="BAB32" s="216"/>
      <c r="BAC32" s="216"/>
      <c r="BAD32" s="216"/>
      <c r="BAE32" s="216"/>
      <c r="BAF32" s="216"/>
      <c r="BAG32" s="216"/>
      <c r="BAH32" s="216"/>
      <c r="BAI32" s="216"/>
      <c r="BAJ32" s="216"/>
      <c r="BAK32" s="216"/>
      <c r="BAL32" s="216"/>
      <c r="BAM32" s="216"/>
      <c r="BAN32" s="216"/>
      <c r="BAO32" s="216"/>
      <c r="BAP32" s="216"/>
      <c r="BAQ32" s="216"/>
      <c r="BAR32" s="216"/>
      <c r="BAS32" s="216"/>
      <c r="BAT32" s="216"/>
      <c r="BAU32" s="216"/>
      <c r="BAV32" s="216"/>
      <c r="BAW32" s="216"/>
      <c r="BAX32" s="216"/>
      <c r="BAY32" s="216"/>
      <c r="BAZ32" s="216"/>
      <c r="BBA32" s="216"/>
      <c r="BBB32" s="216"/>
      <c r="BBC32" s="216"/>
      <c r="BBD32" s="216"/>
      <c r="BBE32" s="216"/>
      <c r="BBF32" s="216"/>
      <c r="BBG32" s="216"/>
      <c r="BBH32" s="216"/>
      <c r="BBI32" s="216"/>
      <c r="BBJ32" s="216"/>
      <c r="BBK32" s="216"/>
      <c r="BBL32" s="216"/>
      <c r="BBM32" s="216"/>
      <c r="BBN32" s="216"/>
      <c r="BBO32" s="216"/>
      <c r="BBP32" s="216"/>
      <c r="BBQ32" s="216"/>
      <c r="BBR32" s="216"/>
      <c r="BBS32" s="216"/>
      <c r="BBT32" s="216"/>
      <c r="BBU32" s="216"/>
      <c r="BBV32" s="216"/>
      <c r="BBW32" s="216"/>
      <c r="BBX32" s="216"/>
      <c r="BBY32" s="216"/>
      <c r="BBZ32" s="216"/>
      <c r="BCA32" s="216"/>
      <c r="BCB32" s="216"/>
      <c r="BCC32" s="216"/>
      <c r="BCD32" s="216"/>
      <c r="BCE32" s="216"/>
      <c r="BCF32" s="216"/>
      <c r="BCG32" s="216"/>
      <c r="BCH32" s="216"/>
      <c r="BCI32" s="216"/>
      <c r="BCJ32" s="216"/>
      <c r="BCK32" s="216"/>
      <c r="BCL32" s="216"/>
      <c r="BCM32" s="216"/>
      <c r="BCN32" s="216"/>
      <c r="BCO32" s="216"/>
      <c r="BCP32" s="216"/>
      <c r="BCQ32" s="216"/>
      <c r="BCR32" s="216"/>
      <c r="BCS32" s="216"/>
      <c r="BCT32" s="216"/>
      <c r="BCU32" s="216"/>
      <c r="BCV32" s="216"/>
      <c r="BCW32" s="216"/>
      <c r="BCX32" s="216"/>
      <c r="BCY32" s="216"/>
      <c r="BCZ32" s="216"/>
      <c r="BDA32" s="216"/>
      <c r="BDB32" s="216"/>
      <c r="BDC32" s="216"/>
      <c r="BDD32" s="216"/>
      <c r="BDE32" s="216"/>
      <c r="BDF32" s="216"/>
      <c r="BDG32" s="216"/>
      <c r="BDH32" s="216"/>
      <c r="BDI32" s="216"/>
      <c r="BDJ32" s="216"/>
      <c r="BDK32" s="216"/>
      <c r="BDL32" s="216"/>
      <c r="BDM32" s="216"/>
      <c r="BDN32" s="216"/>
      <c r="BDO32" s="216"/>
      <c r="BDP32" s="216"/>
      <c r="BDQ32" s="216"/>
      <c r="BDR32" s="216"/>
      <c r="BDS32" s="216"/>
      <c r="BDT32" s="216"/>
      <c r="BDU32" s="216"/>
      <c r="BDV32" s="216"/>
      <c r="BDW32" s="216"/>
      <c r="BDX32" s="216"/>
      <c r="BDY32" s="216"/>
      <c r="BDZ32" s="216"/>
      <c r="BEA32" s="216"/>
      <c r="BEB32" s="216"/>
      <c r="BEC32" s="216"/>
      <c r="BED32" s="216"/>
      <c r="BEE32" s="216"/>
      <c r="BEF32" s="216"/>
      <c r="BEG32" s="216"/>
      <c r="BEH32" s="216"/>
      <c r="BEI32" s="216"/>
      <c r="BEJ32" s="216"/>
      <c r="BEK32" s="216"/>
      <c r="BEL32" s="216"/>
      <c r="BEM32" s="216"/>
      <c r="BEN32" s="216"/>
      <c r="BEO32" s="216"/>
      <c r="BEP32" s="216"/>
      <c r="BEQ32" s="216"/>
      <c r="BER32" s="216"/>
      <c r="BES32" s="216"/>
      <c r="BET32" s="216"/>
      <c r="BEU32" s="216"/>
      <c r="BEV32" s="216"/>
      <c r="BEW32" s="216"/>
      <c r="BEX32" s="216"/>
      <c r="BEY32" s="216"/>
      <c r="BEZ32" s="216"/>
      <c r="BFA32" s="216"/>
      <c r="BFB32" s="216"/>
      <c r="BFC32" s="216"/>
      <c r="BFD32" s="216"/>
      <c r="BFE32" s="216"/>
      <c r="BFF32" s="216"/>
      <c r="BFG32" s="216"/>
      <c r="BFH32" s="216"/>
      <c r="BFI32" s="216"/>
      <c r="BFJ32" s="216"/>
      <c r="BFK32" s="216"/>
      <c r="BFL32" s="216"/>
      <c r="BFM32" s="216"/>
      <c r="BFN32" s="216"/>
      <c r="BFO32" s="216"/>
      <c r="BFP32" s="216"/>
      <c r="BFQ32" s="216"/>
      <c r="BFR32" s="216"/>
      <c r="BFS32" s="216"/>
      <c r="BFT32" s="216"/>
      <c r="BFU32" s="216"/>
      <c r="BFV32" s="216"/>
      <c r="BFW32" s="216"/>
      <c r="BFX32" s="216"/>
      <c r="BFY32" s="216"/>
      <c r="BFZ32" s="216"/>
      <c r="BGA32" s="216"/>
      <c r="BGB32" s="216"/>
      <c r="BGC32" s="216"/>
      <c r="BGD32" s="216"/>
      <c r="BGE32" s="216"/>
      <c r="BGF32" s="216"/>
      <c r="BGG32" s="216"/>
      <c r="BGH32" s="216"/>
      <c r="BGI32" s="216"/>
      <c r="BGJ32" s="216"/>
      <c r="BGK32" s="216"/>
      <c r="BGL32" s="216"/>
      <c r="BGM32" s="216"/>
      <c r="BGN32" s="216"/>
      <c r="BGO32" s="216"/>
      <c r="BGP32" s="216"/>
      <c r="BGQ32" s="216"/>
      <c r="BGR32" s="216"/>
      <c r="BGS32" s="216"/>
      <c r="BGT32" s="216"/>
      <c r="BGU32" s="216"/>
      <c r="BGV32" s="216"/>
      <c r="BGW32" s="216"/>
      <c r="BGX32" s="216"/>
      <c r="BGY32" s="216"/>
      <c r="BGZ32" s="216"/>
      <c r="BHA32" s="216"/>
      <c r="BHB32" s="216"/>
      <c r="BHC32" s="216"/>
      <c r="BHD32" s="216"/>
      <c r="BHE32" s="216"/>
      <c r="BHF32" s="216"/>
      <c r="BHG32" s="216"/>
      <c r="BHH32" s="216"/>
      <c r="BHI32" s="216"/>
      <c r="BHJ32" s="216"/>
      <c r="BHK32" s="216"/>
      <c r="BHL32" s="216"/>
      <c r="BHM32" s="216"/>
      <c r="BHN32" s="216"/>
      <c r="BHO32" s="216"/>
      <c r="BHP32" s="216"/>
      <c r="BHQ32" s="216"/>
      <c r="BHR32" s="216"/>
      <c r="BHS32" s="216"/>
      <c r="BHT32" s="216"/>
      <c r="BHU32" s="216"/>
      <c r="BHV32" s="216"/>
      <c r="BHW32" s="216"/>
      <c r="BHX32" s="216"/>
      <c r="BHY32" s="216"/>
      <c r="BHZ32" s="216"/>
      <c r="BIA32" s="216"/>
      <c r="BIB32" s="216"/>
      <c r="BIC32" s="216"/>
      <c r="BID32" s="216"/>
      <c r="BIE32" s="216"/>
      <c r="BIF32" s="216"/>
      <c r="BIG32" s="216"/>
      <c r="BIH32" s="216"/>
      <c r="BII32" s="216"/>
      <c r="BIJ32" s="216"/>
      <c r="BIK32" s="216"/>
      <c r="BIL32" s="216"/>
      <c r="BIM32" s="216"/>
      <c r="BIN32" s="216"/>
      <c r="BIO32" s="216"/>
      <c r="BIP32" s="216"/>
      <c r="BIQ32" s="216"/>
      <c r="BIR32" s="216"/>
      <c r="BIS32" s="216"/>
      <c r="BIT32" s="216"/>
      <c r="BIU32" s="216"/>
      <c r="BIV32" s="216"/>
      <c r="BIW32" s="216"/>
      <c r="BIX32" s="216"/>
      <c r="BIY32" s="216"/>
      <c r="BIZ32" s="216"/>
      <c r="BJA32" s="216"/>
      <c r="BJB32" s="216"/>
      <c r="BJC32" s="216"/>
      <c r="BJD32" s="216"/>
      <c r="BJE32" s="216"/>
      <c r="BJF32" s="216"/>
      <c r="BJG32" s="216"/>
      <c r="BJH32" s="216"/>
      <c r="BJI32" s="216"/>
      <c r="BJJ32" s="216"/>
      <c r="BJK32" s="216"/>
      <c r="BJL32" s="216"/>
      <c r="BJM32" s="216"/>
      <c r="BJN32" s="216"/>
      <c r="BJO32" s="216"/>
      <c r="BJP32" s="216"/>
      <c r="BJQ32" s="216"/>
      <c r="BJR32" s="216"/>
      <c r="BJS32" s="216"/>
      <c r="BJT32" s="216"/>
      <c r="BJU32" s="216"/>
      <c r="BJV32" s="216"/>
      <c r="BJW32" s="216"/>
      <c r="BJX32" s="216"/>
      <c r="BJY32" s="216"/>
      <c r="BJZ32" s="216"/>
      <c r="BKA32" s="216"/>
      <c r="BKB32" s="216"/>
      <c r="BKC32" s="216"/>
      <c r="BKD32" s="216"/>
      <c r="BKE32" s="216"/>
      <c r="BKF32" s="216"/>
      <c r="BKG32" s="216"/>
      <c r="BKH32" s="216"/>
      <c r="BKI32" s="216"/>
      <c r="BKJ32" s="216"/>
      <c r="BKK32" s="216"/>
      <c r="BKL32" s="216"/>
      <c r="BKM32" s="216"/>
      <c r="BKN32" s="216"/>
      <c r="BKO32" s="216"/>
      <c r="BKP32" s="216"/>
      <c r="BKQ32" s="216"/>
      <c r="BKR32" s="216"/>
      <c r="BKS32" s="216"/>
      <c r="BKT32" s="216"/>
      <c r="BKU32" s="216"/>
      <c r="BKV32" s="216"/>
      <c r="BKW32" s="216"/>
      <c r="BKX32" s="216"/>
      <c r="BKY32" s="216"/>
      <c r="BKZ32" s="216"/>
      <c r="BLA32" s="216"/>
      <c r="BLB32" s="216"/>
      <c r="BLC32" s="216"/>
      <c r="BLD32" s="216"/>
      <c r="BLE32" s="216"/>
      <c r="BLF32" s="216"/>
      <c r="BLG32" s="216"/>
      <c r="BLH32" s="216"/>
      <c r="BLI32" s="216"/>
      <c r="BLJ32" s="216"/>
      <c r="BLK32" s="216"/>
      <c r="BLL32" s="216"/>
      <c r="BLM32" s="216"/>
      <c r="BLN32" s="216"/>
      <c r="BLO32" s="216"/>
      <c r="BLP32" s="216"/>
      <c r="BLQ32" s="216"/>
      <c r="BLR32" s="216"/>
      <c r="BLS32" s="216"/>
      <c r="BLT32" s="216"/>
      <c r="BLU32" s="216"/>
      <c r="BLV32" s="216"/>
      <c r="BLW32" s="216"/>
      <c r="BLX32" s="216"/>
      <c r="BLY32" s="216"/>
      <c r="BLZ32" s="216"/>
      <c r="BMA32" s="216"/>
      <c r="BMB32" s="216"/>
      <c r="BMC32" s="216"/>
      <c r="BMD32" s="216"/>
      <c r="BME32" s="216"/>
      <c r="BMF32" s="216"/>
      <c r="BMG32" s="216"/>
      <c r="BMH32" s="216"/>
      <c r="BMI32" s="216"/>
      <c r="BMJ32" s="216"/>
      <c r="BMK32" s="216"/>
      <c r="BML32" s="216"/>
      <c r="BMM32" s="216"/>
      <c r="BMN32" s="216"/>
      <c r="BMO32" s="216"/>
      <c r="BMP32" s="216"/>
      <c r="BMQ32" s="216"/>
      <c r="BMR32" s="216"/>
      <c r="BMS32" s="216"/>
      <c r="BMT32" s="216"/>
      <c r="BMU32" s="216"/>
      <c r="BMV32" s="216"/>
      <c r="BMW32" s="216"/>
      <c r="BMX32" s="216"/>
      <c r="BMY32" s="216"/>
      <c r="BMZ32" s="216"/>
      <c r="BNA32" s="216"/>
      <c r="BNB32" s="216"/>
      <c r="BNC32" s="216"/>
      <c r="BND32" s="216"/>
      <c r="BNE32" s="216"/>
      <c r="BNF32" s="216"/>
      <c r="BNG32" s="216"/>
      <c r="BNH32" s="216"/>
      <c r="BNI32" s="216"/>
      <c r="BNJ32" s="216"/>
      <c r="BNK32" s="216"/>
      <c r="BNL32" s="216"/>
      <c r="BNM32" s="216"/>
      <c r="BNN32" s="216"/>
      <c r="BNO32" s="216"/>
      <c r="BNP32" s="216"/>
      <c r="BNQ32" s="216"/>
      <c r="BNR32" s="216"/>
      <c r="BNS32" s="216"/>
      <c r="BNT32" s="216"/>
      <c r="BNU32" s="216"/>
      <c r="BNV32" s="216"/>
      <c r="BNW32" s="216"/>
      <c r="BNX32" s="216"/>
      <c r="BNY32" s="216"/>
      <c r="BNZ32" s="216"/>
      <c r="BOA32" s="216"/>
      <c r="BOB32" s="216"/>
      <c r="BOC32" s="216"/>
      <c r="BOD32" s="216"/>
      <c r="BOE32" s="216"/>
      <c r="BOF32" s="216"/>
      <c r="BOG32" s="216"/>
      <c r="BOH32" s="216"/>
      <c r="BOI32" s="216"/>
      <c r="BOJ32" s="216"/>
      <c r="BOK32" s="216"/>
      <c r="BOL32" s="216"/>
      <c r="BOM32" s="216"/>
      <c r="BON32" s="216"/>
      <c r="BOO32" s="216"/>
      <c r="BOP32" s="216"/>
      <c r="BOQ32" s="216"/>
      <c r="BOR32" s="216"/>
      <c r="BOS32" s="216"/>
      <c r="BOT32" s="216"/>
      <c r="BOU32" s="216"/>
      <c r="BOV32" s="216"/>
      <c r="BOW32" s="216"/>
      <c r="BOX32" s="216"/>
      <c r="BOY32" s="216"/>
      <c r="BOZ32" s="216"/>
      <c r="BPA32" s="216"/>
      <c r="BPB32" s="216"/>
      <c r="BPC32" s="216"/>
      <c r="BPD32" s="216"/>
      <c r="BPE32" s="216"/>
      <c r="BPF32" s="216"/>
      <c r="BPG32" s="216"/>
      <c r="BPH32" s="216"/>
      <c r="BPI32" s="216"/>
      <c r="BPJ32" s="216"/>
      <c r="BPK32" s="216"/>
      <c r="BPL32" s="216"/>
      <c r="BPM32" s="216"/>
      <c r="BPN32" s="216"/>
      <c r="BPO32" s="216"/>
      <c r="BPP32" s="216"/>
      <c r="BPQ32" s="216"/>
      <c r="BPR32" s="216"/>
      <c r="BPS32" s="216"/>
      <c r="BPT32" s="216"/>
      <c r="BPU32" s="216"/>
      <c r="BPV32" s="216"/>
      <c r="BPW32" s="216"/>
      <c r="BPX32" s="216"/>
      <c r="BPY32" s="216"/>
      <c r="BPZ32" s="216"/>
      <c r="BQA32" s="216"/>
      <c r="BQB32" s="216"/>
      <c r="BQC32" s="216"/>
      <c r="BQD32" s="216"/>
      <c r="BQE32" s="216"/>
      <c r="BQF32" s="216"/>
      <c r="BQG32" s="216"/>
      <c r="BQH32" s="216"/>
      <c r="BQI32" s="216"/>
      <c r="BQJ32" s="216"/>
      <c r="BQK32" s="216"/>
      <c r="BQL32" s="216"/>
      <c r="BQM32" s="216"/>
      <c r="BQN32" s="216"/>
      <c r="BQO32" s="216"/>
      <c r="BQP32" s="216"/>
      <c r="BQQ32" s="216"/>
      <c r="BQR32" s="216"/>
      <c r="BQS32" s="216"/>
      <c r="BQT32" s="216"/>
      <c r="BQU32" s="216"/>
      <c r="BQV32" s="216"/>
      <c r="BQW32" s="216"/>
      <c r="BQX32" s="216"/>
      <c r="BQY32" s="216"/>
      <c r="BQZ32" s="216"/>
      <c r="BRA32" s="216"/>
      <c r="BRB32" s="216"/>
      <c r="BRC32" s="216"/>
      <c r="BRD32" s="216"/>
      <c r="BRE32" s="216"/>
      <c r="BRF32" s="216"/>
      <c r="BRG32" s="216"/>
      <c r="BRH32" s="216"/>
      <c r="BRI32" s="216"/>
      <c r="BRJ32" s="216"/>
      <c r="BRK32" s="216"/>
      <c r="BRL32" s="216"/>
      <c r="BRM32" s="216"/>
      <c r="BRN32" s="216"/>
      <c r="BRO32" s="216"/>
      <c r="BRP32" s="216"/>
      <c r="BRQ32" s="216"/>
      <c r="BRR32" s="216"/>
      <c r="BRS32" s="216"/>
      <c r="BRT32" s="216"/>
      <c r="BRU32" s="216"/>
      <c r="BRV32" s="216"/>
      <c r="BRW32" s="216"/>
      <c r="BRX32" s="216"/>
      <c r="BRY32" s="216"/>
      <c r="BRZ32" s="216"/>
      <c r="BSA32" s="216"/>
      <c r="BSB32" s="216"/>
      <c r="BSC32" s="216"/>
      <c r="BSD32" s="216"/>
      <c r="BSE32" s="216"/>
      <c r="BSF32" s="216"/>
      <c r="BSG32" s="216"/>
      <c r="BSH32" s="216"/>
      <c r="BSI32" s="216"/>
      <c r="BSJ32" s="216"/>
      <c r="BSK32" s="216"/>
      <c r="BSL32" s="216"/>
      <c r="BSM32" s="216"/>
      <c r="BSN32" s="216"/>
      <c r="BSO32" s="216"/>
      <c r="BSP32" s="216"/>
      <c r="BSQ32" s="216"/>
      <c r="BSR32" s="216"/>
      <c r="BSS32" s="216"/>
      <c r="BST32" s="216"/>
      <c r="BSU32" s="216"/>
      <c r="BSV32" s="216"/>
      <c r="BSW32" s="216"/>
      <c r="BSX32" s="216"/>
      <c r="BSY32" s="216"/>
      <c r="BSZ32" s="216"/>
      <c r="BTA32" s="216"/>
      <c r="BTB32" s="216"/>
      <c r="BTC32" s="216"/>
      <c r="BTD32" s="216"/>
      <c r="BTE32" s="216"/>
      <c r="BTF32" s="216"/>
      <c r="BTG32" s="216"/>
      <c r="BTH32" s="216"/>
      <c r="BTI32" s="216"/>
      <c r="BTJ32" s="216"/>
      <c r="BTK32" s="216"/>
      <c r="BTL32" s="216"/>
      <c r="BTM32" s="216"/>
      <c r="BTN32" s="216"/>
      <c r="BTO32" s="216"/>
      <c r="BTP32" s="216"/>
      <c r="BTQ32" s="216"/>
      <c r="BTR32" s="216"/>
      <c r="BTS32" s="216"/>
      <c r="BTT32" s="216"/>
      <c r="BTU32" s="216"/>
      <c r="BTV32" s="216"/>
      <c r="BTW32" s="216"/>
      <c r="BTX32" s="216"/>
      <c r="BTY32" s="216"/>
      <c r="BTZ32" s="216"/>
      <c r="BUA32" s="216"/>
      <c r="BUB32" s="216"/>
      <c r="BUC32" s="216"/>
      <c r="BUD32" s="216"/>
      <c r="BUE32" s="216"/>
      <c r="BUF32" s="216"/>
      <c r="BUG32" s="216"/>
      <c r="BUH32" s="216"/>
      <c r="BUI32" s="216"/>
      <c r="BUJ32" s="216"/>
      <c r="BUK32" s="216"/>
      <c r="BUL32" s="216"/>
      <c r="BUM32" s="216"/>
      <c r="BUN32" s="216"/>
      <c r="BUO32" s="216"/>
      <c r="BUP32" s="216"/>
      <c r="BUQ32" s="216"/>
      <c r="BUR32" s="216"/>
      <c r="BUS32" s="216"/>
      <c r="BUT32" s="216"/>
      <c r="BUU32" s="216"/>
      <c r="BUV32" s="216"/>
      <c r="BUW32" s="216"/>
      <c r="BUX32" s="216"/>
      <c r="BUY32" s="216"/>
      <c r="BUZ32" s="216"/>
      <c r="BVA32" s="216"/>
      <c r="BVB32" s="216"/>
      <c r="BVC32" s="216"/>
      <c r="BVD32" s="216"/>
      <c r="BVE32" s="216"/>
      <c r="BVF32" s="216"/>
      <c r="BVG32" s="216"/>
      <c r="BVH32" s="216"/>
      <c r="BVI32" s="216"/>
      <c r="BVJ32" s="216"/>
      <c r="BVK32" s="216"/>
      <c r="BVL32" s="216"/>
      <c r="BVM32" s="216"/>
      <c r="BVN32" s="216"/>
      <c r="BVO32" s="216"/>
      <c r="BVP32" s="216"/>
      <c r="BVQ32" s="216"/>
      <c r="BVR32" s="216"/>
      <c r="BVS32" s="216"/>
      <c r="BVT32" s="216"/>
      <c r="BVU32" s="216"/>
      <c r="BVV32" s="216"/>
      <c r="BVW32" s="216"/>
      <c r="BVX32" s="216"/>
      <c r="BVY32" s="216"/>
      <c r="BVZ32" s="216"/>
      <c r="BWA32" s="216"/>
      <c r="BWB32" s="216"/>
      <c r="BWC32" s="216"/>
      <c r="BWD32" s="216"/>
      <c r="BWE32" s="216"/>
      <c r="BWF32" s="216"/>
      <c r="BWG32" s="216"/>
      <c r="BWH32" s="216"/>
      <c r="BWI32" s="216"/>
      <c r="BWJ32" s="216"/>
      <c r="BWK32" s="216"/>
      <c r="BWL32" s="216"/>
      <c r="BWM32" s="216"/>
      <c r="BWN32" s="216"/>
      <c r="BWO32" s="216"/>
      <c r="BWP32" s="216"/>
      <c r="BWQ32" s="216"/>
      <c r="BWR32" s="216"/>
      <c r="BWS32" s="216"/>
      <c r="BWT32" s="216"/>
      <c r="BWU32" s="216"/>
      <c r="BWV32" s="216"/>
      <c r="BWW32" s="216"/>
      <c r="BWX32" s="216"/>
      <c r="BWY32" s="216"/>
      <c r="BWZ32" s="216"/>
      <c r="BXA32" s="216"/>
      <c r="BXB32" s="216"/>
      <c r="BXC32" s="216"/>
      <c r="BXD32" s="216"/>
      <c r="BXE32" s="216"/>
      <c r="BXF32" s="216"/>
      <c r="BXG32" s="216"/>
      <c r="BXH32" s="216"/>
      <c r="BXI32" s="216"/>
      <c r="BXJ32" s="216"/>
      <c r="BXK32" s="216"/>
      <c r="BXL32" s="216"/>
      <c r="BXM32" s="216"/>
      <c r="BXN32" s="216"/>
      <c r="BXO32" s="216"/>
      <c r="BXP32" s="216"/>
      <c r="BXQ32" s="216"/>
      <c r="BXR32" s="216"/>
      <c r="BXS32" s="216"/>
      <c r="BXT32" s="216"/>
      <c r="BXU32" s="216"/>
      <c r="BXV32" s="216"/>
      <c r="BXW32" s="216"/>
      <c r="BXX32" s="216"/>
      <c r="BXY32" s="216"/>
      <c r="BXZ32" s="216"/>
      <c r="BYA32" s="216"/>
      <c r="BYB32" s="216"/>
      <c r="BYC32" s="216"/>
      <c r="BYD32" s="216"/>
      <c r="BYE32" s="216"/>
      <c r="BYF32" s="216"/>
      <c r="BYG32" s="216"/>
    </row>
    <row r="33" spans="1:2009" s="93" customFormat="1" ht="17.25" customHeight="1" thickBot="1" x14ac:dyDescent="0.3">
      <c r="A33" s="110"/>
      <c r="B33" s="110"/>
      <c r="C33" s="175"/>
      <c r="D33" s="175"/>
      <c r="E33" s="175"/>
      <c r="F33" s="175"/>
      <c r="G33" s="635"/>
      <c r="I33" s="544"/>
      <c r="N33" s="195"/>
    </row>
    <row r="34" spans="1:2009" s="112" customFormat="1" ht="24.95" hidden="1" customHeight="1" x14ac:dyDescent="0.25">
      <c r="A34" s="140" t="s">
        <v>37</v>
      </c>
      <c r="B34" s="141"/>
      <c r="C34" s="184"/>
      <c r="D34" s="184"/>
      <c r="E34" s="185"/>
      <c r="F34" s="185"/>
      <c r="G34" s="642"/>
      <c r="H34" s="93"/>
      <c r="I34" s="544"/>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38</v>
      </c>
      <c r="C35" s="182"/>
      <c r="D35" s="182"/>
      <c r="E35" s="183"/>
      <c r="F35" s="183"/>
      <c r="G35" s="640"/>
      <c r="H35" s="93"/>
      <c r="I35" s="544"/>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7" customFormat="1" ht="24.95" hidden="1" customHeight="1" thickBot="1" x14ac:dyDescent="0.3">
      <c r="A36" s="218"/>
      <c r="B36" s="214" t="s">
        <v>69</v>
      </c>
      <c r="C36" s="215"/>
      <c r="D36" s="215"/>
      <c r="E36" s="215"/>
      <c r="F36" s="215"/>
      <c r="G36" s="641"/>
      <c r="H36" s="195"/>
      <c r="I36" s="544"/>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c r="CK36" s="216"/>
      <c r="CL36" s="216"/>
      <c r="CM36" s="216"/>
      <c r="CN36" s="216"/>
      <c r="CO36" s="216"/>
      <c r="CP36" s="216"/>
      <c r="CQ36" s="216"/>
      <c r="CR36" s="216"/>
      <c r="CS36" s="216"/>
      <c r="CT36" s="216"/>
      <c r="CU36" s="216"/>
      <c r="CV36" s="216"/>
      <c r="CW36" s="216"/>
      <c r="CX36" s="216"/>
      <c r="CY36" s="216"/>
      <c r="CZ36" s="216"/>
      <c r="DA36" s="216"/>
      <c r="DB36" s="216"/>
      <c r="DC36" s="216"/>
      <c r="DD36" s="216"/>
      <c r="DE36" s="216"/>
      <c r="DF36" s="216"/>
      <c r="DG36" s="216"/>
      <c r="DH36" s="216"/>
      <c r="DI36" s="216"/>
      <c r="DJ36" s="216"/>
      <c r="DK36" s="216"/>
      <c r="DL36" s="216"/>
      <c r="DM36" s="216"/>
      <c r="DN36" s="216"/>
      <c r="DO36" s="216"/>
      <c r="DP36" s="216"/>
      <c r="DQ36" s="216"/>
      <c r="DR36" s="216"/>
      <c r="DS36" s="216"/>
      <c r="DT36" s="216"/>
      <c r="DU36" s="216"/>
      <c r="DV36" s="216"/>
      <c r="DW36" s="216"/>
      <c r="DX36" s="216"/>
      <c r="DY36" s="216"/>
      <c r="DZ36" s="216"/>
      <c r="EA36" s="216"/>
      <c r="EB36" s="216"/>
      <c r="EC36" s="216"/>
      <c r="ED36" s="216"/>
      <c r="EE36" s="216"/>
      <c r="EF36" s="216"/>
      <c r="EG36" s="216"/>
      <c r="EH36" s="216"/>
      <c r="EI36" s="216"/>
      <c r="EJ36" s="216"/>
      <c r="EK36" s="216"/>
      <c r="EL36" s="216"/>
      <c r="EM36" s="216"/>
      <c r="EN36" s="216"/>
      <c r="EO36" s="216"/>
      <c r="EP36" s="216"/>
      <c r="EQ36" s="216"/>
      <c r="ER36" s="216"/>
      <c r="ES36" s="216"/>
      <c r="ET36" s="216"/>
      <c r="EU36" s="216"/>
      <c r="EV36" s="216"/>
      <c r="EW36" s="216"/>
      <c r="EX36" s="216"/>
      <c r="EY36" s="216"/>
      <c r="EZ36" s="216"/>
      <c r="FA36" s="216"/>
      <c r="FB36" s="216"/>
      <c r="FC36" s="216"/>
      <c r="FD36" s="216"/>
      <c r="FE36" s="216"/>
      <c r="FF36" s="216"/>
      <c r="FG36" s="216"/>
      <c r="FH36" s="216"/>
      <c r="FI36" s="216"/>
      <c r="FJ36" s="216"/>
      <c r="FK36" s="216"/>
      <c r="FL36" s="216"/>
      <c r="FM36" s="216"/>
      <c r="FN36" s="216"/>
      <c r="FO36" s="216"/>
      <c r="FP36" s="216"/>
      <c r="FQ36" s="216"/>
      <c r="FR36" s="216"/>
      <c r="FS36" s="216"/>
      <c r="FT36" s="216"/>
      <c r="FU36" s="216"/>
      <c r="FV36" s="216"/>
      <c r="FW36" s="216"/>
      <c r="FX36" s="216"/>
      <c r="FY36" s="216"/>
      <c r="FZ36" s="216"/>
      <c r="GA36" s="216"/>
      <c r="GB36" s="216"/>
      <c r="GC36" s="216"/>
      <c r="GD36" s="216"/>
      <c r="GE36" s="216"/>
      <c r="GF36" s="216"/>
      <c r="GG36" s="216"/>
      <c r="GH36" s="216"/>
      <c r="GI36" s="216"/>
      <c r="GJ36" s="216"/>
      <c r="GK36" s="216"/>
      <c r="GL36" s="216"/>
      <c r="GM36" s="216"/>
      <c r="GN36" s="216"/>
      <c r="GO36" s="216"/>
      <c r="GP36" s="216"/>
      <c r="GQ36" s="216"/>
      <c r="GR36" s="216"/>
      <c r="GS36" s="216"/>
      <c r="GT36" s="216"/>
      <c r="GU36" s="216"/>
      <c r="GV36" s="216"/>
      <c r="GW36" s="216"/>
      <c r="GX36" s="216"/>
      <c r="GY36" s="216"/>
      <c r="GZ36" s="216"/>
      <c r="HA36" s="216"/>
      <c r="HB36" s="216"/>
      <c r="HC36" s="216"/>
      <c r="HD36" s="216"/>
      <c r="HE36" s="216"/>
      <c r="HF36" s="216"/>
      <c r="HG36" s="216"/>
      <c r="HH36" s="216"/>
      <c r="HI36" s="216"/>
      <c r="HJ36" s="216"/>
      <c r="HK36" s="216"/>
      <c r="HL36" s="216"/>
      <c r="HM36" s="216"/>
      <c r="HN36" s="216"/>
      <c r="HO36" s="216"/>
      <c r="HP36" s="216"/>
      <c r="HQ36" s="216"/>
      <c r="HR36" s="216"/>
      <c r="HS36" s="216"/>
      <c r="HT36" s="216"/>
      <c r="HU36" s="216"/>
      <c r="HV36" s="216"/>
      <c r="HW36" s="216"/>
      <c r="HX36" s="216"/>
      <c r="HY36" s="216"/>
      <c r="HZ36" s="216"/>
      <c r="IA36" s="216"/>
      <c r="IB36" s="216"/>
      <c r="IC36" s="216"/>
      <c r="ID36" s="216"/>
      <c r="IE36" s="216"/>
      <c r="IF36" s="216"/>
      <c r="IG36" s="216"/>
      <c r="IH36" s="216"/>
      <c r="II36" s="216"/>
      <c r="IJ36" s="216"/>
      <c r="IK36" s="216"/>
      <c r="IL36" s="216"/>
      <c r="IM36" s="216"/>
      <c r="IN36" s="216"/>
      <c r="IO36" s="216"/>
      <c r="IP36" s="216"/>
      <c r="IQ36" s="216"/>
      <c r="IR36" s="216"/>
      <c r="IS36" s="216"/>
      <c r="IT36" s="216"/>
      <c r="IU36" s="216"/>
      <c r="IV36" s="216"/>
      <c r="IW36" s="216"/>
      <c r="IX36" s="216"/>
      <c r="IY36" s="216"/>
      <c r="IZ36" s="216"/>
      <c r="JA36" s="216"/>
      <c r="JB36" s="216"/>
      <c r="JC36" s="216"/>
      <c r="JD36" s="216"/>
      <c r="JE36" s="216"/>
      <c r="JF36" s="216"/>
      <c r="JG36" s="216"/>
      <c r="JH36" s="216"/>
      <c r="JI36" s="216"/>
      <c r="JJ36" s="216"/>
      <c r="JK36" s="216"/>
      <c r="JL36" s="216"/>
      <c r="JM36" s="216"/>
      <c r="JN36" s="216"/>
      <c r="JO36" s="216"/>
      <c r="JP36" s="216"/>
      <c r="JQ36" s="216"/>
      <c r="JR36" s="216"/>
      <c r="JS36" s="216"/>
      <c r="JT36" s="216"/>
      <c r="JU36" s="216"/>
      <c r="JV36" s="216"/>
      <c r="JW36" s="216"/>
      <c r="JX36" s="216"/>
      <c r="JY36" s="216"/>
      <c r="JZ36" s="216"/>
      <c r="KA36" s="216"/>
      <c r="KB36" s="216"/>
      <c r="KC36" s="216"/>
      <c r="KD36" s="216"/>
      <c r="KE36" s="216"/>
      <c r="KF36" s="216"/>
      <c r="KG36" s="216"/>
      <c r="KH36" s="216"/>
      <c r="KI36" s="216"/>
      <c r="KJ36" s="216"/>
      <c r="KK36" s="216"/>
      <c r="KL36" s="216"/>
      <c r="KM36" s="216"/>
      <c r="KN36" s="216"/>
      <c r="KO36" s="216"/>
      <c r="KP36" s="216"/>
      <c r="KQ36" s="216"/>
      <c r="KR36" s="216"/>
      <c r="KS36" s="216"/>
      <c r="KT36" s="216"/>
      <c r="KU36" s="216"/>
      <c r="KV36" s="216"/>
      <c r="KW36" s="216"/>
      <c r="KX36" s="216"/>
      <c r="KY36" s="216"/>
      <c r="KZ36" s="216"/>
      <c r="LA36" s="216"/>
      <c r="LB36" s="216"/>
      <c r="LC36" s="216"/>
      <c r="LD36" s="216"/>
      <c r="LE36" s="216"/>
      <c r="LF36" s="216"/>
      <c r="LG36" s="216"/>
      <c r="LH36" s="216"/>
      <c r="LI36" s="216"/>
      <c r="LJ36" s="216"/>
      <c r="LK36" s="216"/>
      <c r="LL36" s="216"/>
      <c r="LM36" s="216"/>
      <c r="LN36" s="216"/>
      <c r="LO36" s="216"/>
      <c r="LP36" s="216"/>
      <c r="LQ36" s="216"/>
      <c r="LR36" s="216"/>
      <c r="LS36" s="216"/>
      <c r="LT36" s="216"/>
      <c r="LU36" s="216"/>
      <c r="LV36" s="216"/>
      <c r="LW36" s="216"/>
      <c r="LX36" s="216"/>
      <c r="LY36" s="216"/>
      <c r="LZ36" s="216"/>
      <c r="MA36" s="216"/>
      <c r="MB36" s="216"/>
      <c r="MC36" s="216"/>
      <c r="MD36" s="216"/>
      <c r="ME36" s="216"/>
      <c r="MF36" s="216"/>
      <c r="MG36" s="216"/>
      <c r="MH36" s="216"/>
      <c r="MI36" s="216"/>
      <c r="MJ36" s="216"/>
      <c r="MK36" s="216"/>
      <c r="ML36" s="216"/>
      <c r="MM36" s="216"/>
      <c r="MN36" s="216"/>
      <c r="MO36" s="216"/>
      <c r="MP36" s="216"/>
      <c r="MQ36" s="216"/>
      <c r="MR36" s="216"/>
      <c r="MS36" s="216"/>
      <c r="MT36" s="216"/>
      <c r="MU36" s="216"/>
      <c r="MV36" s="216"/>
      <c r="MW36" s="216"/>
      <c r="MX36" s="216"/>
      <c r="MY36" s="216"/>
      <c r="MZ36" s="216"/>
      <c r="NA36" s="216"/>
      <c r="NB36" s="216"/>
      <c r="NC36" s="216"/>
      <c r="ND36" s="216"/>
      <c r="NE36" s="216"/>
      <c r="NF36" s="216"/>
      <c r="NG36" s="216"/>
      <c r="NH36" s="216"/>
      <c r="NI36" s="216"/>
      <c r="NJ36" s="216"/>
      <c r="NK36" s="216"/>
      <c r="NL36" s="216"/>
      <c r="NM36" s="216"/>
      <c r="NN36" s="216"/>
      <c r="NO36" s="216"/>
      <c r="NP36" s="216"/>
      <c r="NQ36" s="216"/>
      <c r="NR36" s="216"/>
      <c r="NS36" s="216"/>
      <c r="NT36" s="216"/>
      <c r="NU36" s="216"/>
      <c r="NV36" s="216"/>
      <c r="NW36" s="216"/>
      <c r="NX36" s="216"/>
      <c r="NY36" s="216"/>
      <c r="NZ36" s="216"/>
      <c r="OA36" s="216"/>
      <c r="OB36" s="216"/>
      <c r="OC36" s="216"/>
      <c r="OD36" s="216"/>
      <c r="OE36" s="216"/>
      <c r="OF36" s="216"/>
      <c r="OG36" s="216"/>
      <c r="OH36" s="216"/>
      <c r="OI36" s="216"/>
      <c r="OJ36" s="216"/>
      <c r="OK36" s="216"/>
      <c r="OL36" s="216"/>
      <c r="OM36" s="216"/>
      <c r="ON36" s="216"/>
      <c r="OO36" s="216"/>
      <c r="OP36" s="216"/>
      <c r="OQ36" s="216"/>
      <c r="OR36" s="216"/>
      <c r="OS36" s="216"/>
      <c r="OT36" s="216"/>
      <c r="OU36" s="216"/>
      <c r="OV36" s="216"/>
      <c r="OW36" s="216"/>
      <c r="OX36" s="216"/>
      <c r="OY36" s="216"/>
      <c r="OZ36" s="216"/>
      <c r="PA36" s="216"/>
      <c r="PB36" s="216"/>
      <c r="PC36" s="216"/>
      <c r="PD36" s="216"/>
      <c r="PE36" s="216"/>
      <c r="PF36" s="216"/>
      <c r="PG36" s="216"/>
      <c r="PH36" s="216"/>
      <c r="PI36" s="216"/>
      <c r="PJ36" s="216"/>
      <c r="PK36" s="216"/>
      <c r="PL36" s="216"/>
      <c r="PM36" s="216"/>
      <c r="PN36" s="216"/>
      <c r="PO36" s="216"/>
      <c r="PP36" s="216"/>
      <c r="PQ36" s="216"/>
      <c r="PR36" s="216"/>
      <c r="PS36" s="216"/>
      <c r="PT36" s="216"/>
      <c r="PU36" s="216"/>
      <c r="PV36" s="216"/>
      <c r="PW36" s="216"/>
      <c r="PX36" s="216"/>
      <c r="PY36" s="216"/>
      <c r="PZ36" s="216"/>
      <c r="QA36" s="216"/>
      <c r="QB36" s="216"/>
      <c r="QC36" s="216"/>
      <c r="QD36" s="216"/>
      <c r="QE36" s="216"/>
      <c r="QF36" s="216"/>
      <c r="QG36" s="216"/>
      <c r="QH36" s="216"/>
      <c r="QI36" s="216"/>
      <c r="QJ36" s="216"/>
      <c r="QK36" s="216"/>
      <c r="QL36" s="216"/>
      <c r="QM36" s="216"/>
      <c r="QN36" s="216"/>
      <c r="QO36" s="216"/>
      <c r="QP36" s="216"/>
      <c r="QQ36" s="216"/>
      <c r="QR36" s="216"/>
      <c r="QS36" s="216"/>
      <c r="QT36" s="216"/>
      <c r="QU36" s="216"/>
      <c r="QV36" s="216"/>
      <c r="QW36" s="216"/>
      <c r="QX36" s="216"/>
      <c r="QY36" s="216"/>
      <c r="QZ36" s="216"/>
      <c r="RA36" s="216"/>
      <c r="RB36" s="216"/>
      <c r="RC36" s="216"/>
      <c r="RD36" s="216"/>
      <c r="RE36" s="216"/>
      <c r="RF36" s="216"/>
      <c r="RG36" s="216"/>
      <c r="RH36" s="216"/>
      <c r="RI36" s="216"/>
      <c r="RJ36" s="216"/>
      <c r="RK36" s="216"/>
      <c r="RL36" s="216"/>
      <c r="RM36" s="216"/>
      <c r="RN36" s="216"/>
      <c r="RO36" s="216"/>
      <c r="RP36" s="216"/>
      <c r="RQ36" s="216"/>
      <c r="RR36" s="216"/>
      <c r="RS36" s="216"/>
      <c r="RT36" s="216"/>
      <c r="RU36" s="216"/>
      <c r="RV36" s="216"/>
      <c r="RW36" s="216"/>
      <c r="RX36" s="216"/>
      <c r="RY36" s="216"/>
      <c r="RZ36" s="216"/>
      <c r="SA36" s="216"/>
      <c r="SB36" s="216"/>
      <c r="SC36" s="216"/>
      <c r="SD36" s="216"/>
      <c r="SE36" s="216"/>
      <c r="SF36" s="216"/>
      <c r="SG36" s="216"/>
      <c r="SH36" s="216"/>
      <c r="SI36" s="216"/>
      <c r="SJ36" s="216"/>
      <c r="SK36" s="216"/>
      <c r="SL36" s="216"/>
      <c r="SM36" s="216"/>
      <c r="SN36" s="216"/>
      <c r="SO36" s="216"/>
      <c r="SP36" s="216"/>
      <c r="SQ36" s="216"/>
      <c r="SR36" s="216"/>
      <c r="SS36" s="216"/>
      <c r="ST36" s="216"/>
      <c r="SU36" s="216"/>
      <c r="SV36" s="216"/>
      <c r="SW36" s="216"/>
      <c r="SX36" s="216"/>
      <c r="SY36" s="216"/>
      <c r="SZ36" s="216"/>
      <c r="TA36" s="216"/>
      <c r="TB36" s="216"/>
      <c r="TC36" s="216"/>
      <c r="TD36" s="216"/>
      <c r="TE36" s="216"/>
      <c r="TF36" s="216"/>
      <c r="TG36" s="216"/>
      <c r="TH36" s="216"/>
      <c r="TI36" s="216"/>
      <c r="TJ36" s="216"/>
      <c r="TK36" s="216"/>
      <c r="TL36" s="216"/>
      <c r="TM36" s="216"/>
      <c r="TN36" s="216"/>
      <c r="TO36" s="216"/>
      <c r="TP36" s="216"/>
      <c r="TQ36" s="216"/>
      <c r="TR36" s="216"/>
      <c r="TS36" s="216"/>
      <c r="TT36" s="216"/>
      <c r="TU36" s="216"/>
      <c r="TV36" s="216"/>
      <c r="TW36" s="216"/>
      <c r="TX36" s="216"/>
      <c r="TY36" s="216"/>
      <c r="TZ36" s="216"/>
      <c r="UA36" s="216"/>
      <c r="UB36" s="216"/>
      <c r="UC36" s="216"/>
      <c r="UD36" s="216"/>
      <c r="UE36" s="216"/>
      <c r="UF36" s="216"/>
      <c r="UG36" s="216"/>
      <c r="UH36" s="216"/>
      <c r="UI36" s="216"/>
      <c r="UJ36" s="216"/>
      <c r="UK36" s="216"/>
      <c r="UL36" s="216"/>
      <c r="UM36" s="216"/>
      <c r="UN36" s="216"/>
      <c r="UO36" s="216"/>
      <c r="UP36" s="216"/>
      <c r="UQ36" s="216"/>
      <c r="UR36" s="216"/>
      <c r="US36" s="216"/>
      <c r="UT36" s="216"/>
      <c r="UU36" s="216"/>
      <c r="UV36" s="216"/>
      <c r="UW36" s="216"/>
      <c r="UX36" s="216"/>
      <c r="UY36" s="216"/>
      <c r="UZ36" s="216"/>
      <c r="VA36" s="216"/>
      <c r="VB36" s="216"/>
      <c r="VC36" s="216"/>
      <c r="VD36" s="216"/>
      <c r="VE36" s="216"/>
      <c r="VF36" s="216"/>
      <c r="VG36" s="216"/>
      <c r="VH36" s="216"/>
      <c r="VI36" s="216"/>
      <c r="VJ36" s="216"/>
      <c r="VK36" s="216"/>
      <c r="VL36" s="216"/>
      <c r="VM36" s="216"/>
      <c r="VN36" s="216"/>
      <c r="VO36" s="216"/>
      <c r="VP36" s="216"/>
      <c r="VQ36" s="216"/>
      <c r="VR36" s="216"/>
      <c r="VS36" s="216"/>
      <c r="VT36" s="216"/>
      <c r="VU36" s="216"/>
      <c r="VV36" s="216"/>
      <c r="VW36" s="216"/>
      <c r="VX36" s="216"/>
      <c r="VY36" s="216"/>
      <c r="VZ36" s="216"/>
      <c r="WA36" s="216"/>
      <c r="WB36" s="216"/>
      <c r="WC36" s="216"/>
      <c r="WD36" s="216"/>
      <c r="WE36" s="216"/>
      <c r="WF36" s="216"/>
      <c r="WG36" s="216"/>
      <c r="WH36" s="216"/>
      <c r="WI36" s="216"/>
      <c r="WJ36" s="216"/>
      <c r="WK36" s="216"/>
      <c r="WL36" s="216"/>
      <c r="WM36" s="216"/>
      <c r="WN36" s="216"/>
      <c r="WO36" s="216"/>
      <c r="WP36" s="216"/>
      <c r="WQ36" s="216"/>
      <c r="WR36" s="216"/>
      <c r="WS36" s="216"/>
      <c r="WT36" s="216"/>
      <c r="WU36" s="216"/>
      <c r="WV36" s="216"/>
      <c r="WW36" s="216"/>
      <c r="WX36" s="216"/>
      <c r="WY36" s="216"/>
      <c r="WZ36" s="216"/>
      <c r="XA36" s="216"/>
      <c r="XB36" s="216"/>
      <c r="XC36" s="216"/>
      <c r="XD36" s="216"/>
      <c r="XE36" s="216"/>
      <c r="XF36" s="216"/>
      <c r="XG36" s="216"/>
      <c r="XH36" s="216"/>
      <c r="XI36" s="216"/>
      <c r="XJ36" s="216"/>
      <c r="XK36" s="216"/>
      <c r="XL36" s="216"/>
      <c r="XM36" s="216"/>
      <c r="XN36" s="216"/>
      <c r="XO36" s="216"/>
      <c r="XP36" s="216"/>
      <c r="XQ36" s="216"/>
      <c r="XR36" s="216"/>
      <c r="XS36" s="216"/>
      <c r="XT36" s="216"/>
      <c r="XU36" s="216"/>
      <c r="XV36" s="216"/>
      <c r="XW36" s="216"/>
      <c r="XX36" s="216"/>
      <c r="XY36" s="216"/>
      <c r="XZ36" s="216"/>
      <c r="YA36" s="216"/>
      <c r="YB36" s="216"/>
      <c r="YC36" s="216"/>
      <c r="YD36" s="216"/>
      <c r="YE36" s="216"/>
      <c r="YF36" s="216"/>
      <c r="YG36" s="216"/>
      <c r="YH36" s="216"/>
      <c r="YI36" s="216"/>
      <c r="YJ36" s="216"/>
      <c r="YK36" s="216"/>
      <c r="YL36" s="216"/>
      <c r="YM36" s="216"/>
      <c r="YN36" s="216"/>
      <c r="YO36" s="216"/>
      <c r="YP36" s="216"/>
      <c r="YQ36" s="216"/>
      <c r="YR36" s="216"/>
      <c r="YS36" s="216"/>
      <c r="YT36" s="216"/>
      <c r="YU36" s="216"/>
      <c r="YV36" s="216"/>
      <c r="YW36" s="216"/>
      <c r="YX36" s="216"/>
      <c r="YY36" s="216"/>
      <c r="YZ36" s="216"/>
      <c r="ZA36" s="216"/>
      <c r="ZB36" s="216"/>
      <c r="ZC36" s="216"/>
      <c r="ZD36" s="216"/>
      <c r="ZE36" s="216"/>
      <c r="ZF36" s="216"/>
      <c r="ZG36" s="216"/>
      <c r="ZH36" s="216"/>
      <c r="ZI36" s="216"/>
      <c r="ZJ36" s="216"/>
      <c r="ZK36" s="216"/>
      <c r="ZL36" s="216"/>
      <c r="ZM36" s="216"/>
      <c r="ZN36" s="216"/>
      <c r="ZO36" s="216"/>
      <c r="ZP36" s="216"/>
      <c r="ZQ36" s="216"/>
      <c r="ZR36" s="216"/>
      <c r="ZS36" s="216"/>
      <c r="ZT36" s="216"/>
      <c r="ZU36" s="216"/>
      <c r="ZV36" s="216"/>
      <c r="ZW36" s="216"/>
      <c r="ZX36" s="216"/>
      <c r="ZY36" s="216"/>
      <c r="ZZ36" s="216"/>
      <c r="AAA36" s="216"/>
      <c r="AAB36" s="216"/>
      <c r="AAC36" s="216"/>
      <c r="AAD36" s="216"/>
      <c r="AAE36" s="216"/>
      <c r="AAF36" s="216"/>
      <c r="AAG36" s="216"/>
      <c r="AAH36" s="216"/>
      <c r="AAI36" s="216"/>
      <c r="AAJ36" s="216"/>
      <c r="AAK36" s="216"/>
      <c r="AAL36" s="216"/>
      <c r="AAM36" s="216"/>
      <c r="AAN36" s="216"/>
      <c r="AAO36" s="216"/>
      <c r="AAP36" s="216"/>
      <c r="AAQ36" s="216"/>
      <c r="AAR36" s="216"/>
      <c r="AAS36" s="216"/>
      <c r="AAT36" s="216"/>
      <c r="AAU36" s="216"/>
      <c r="AAV36" s="216"/>
      <c r="AAW36" s="216"/>
      <c r="AAX36" s="216"/>
      <c r="AAY36" s="216"/>
      <c r="AAZ36" s="216"/>
      <c r="ABA36" s="216"/>
      <c r="ABB36" s="216"/>
      <c r="ABC36" s="216"/>
      <c r="ABD36" s="216"/>
      <c r="ABE36" s="216"/>
      <c r="ABF36" s="216"/>
      <c r="ABG36" s="216"/>
      <c r="ABH36" s="216"/>
      <c r="ABI36" s="216"/>
      <c r="ABJ36" s="216"/>
      <c r="ABK36" s="216"/>
      <c r="ABL36" s="216"/>
      <c r="ABM36" s="216"/>
      <c r="ABN36" s="216"/>
      <c r="ABO36" s="216"/>
      <c r="ABP36" s="216"/>
      <c r="ABQ36" s="216"/>
      <c r="ABR36" s="216"/>
      <c r="ABS36" s="216"/>
      <c r="ABT36" s="216"/>
      <c r="ABU36" s="216"/>
      <c r="ABV36" s="216"/>
      <c r="ABW36" s="216"/>
      <c r="ABX36" s="216"/>
      <c r="ABY36" s="216"/>
      <c r="ABZ36" s="216"/>
      <c r="ACA36" s="216"/>
      <c r="ACB36" s="216"/>
      <c r="ACC36" s="216"/>
      <c r="ACD36" s="216"/>
      <c r="ACE36" s="216"/>
      <c r="ACF36" s="216"/>
      <c r="ACG36" s="216"/>
      <c r="ACH36" s="216"/>
      <c r="ACI36" s="216"/>
      <c r="ACJ36" s="216"/>
      <c r="ACK36" s="216"/>
      <c r="ACL36" s="216"/>
      <c r="ACM36" s="216"/>
      <c r="ACN36" s="216"/>
      <c r="ACO36" s="216"/>
      <c r="ACP36" s="216"/>
      <c r="ACQ36" s="216"/>
      <c r="ACR36" s="216"/>
      <c r="ACS36" s="216"/>
      <c r="ACT36" s="216"/>
      <c r="ACU36" s="216"/>
      <c r="ACV36" s="216"/>
      <c r="ACW36" s="216"/>
      <c r="ACX36" s="216"/>
      <c r="ACY36" s="216"/>
      <c r="ACZ36" s="216"/>
      <c r="ADA36" s="216"/>
      <c r="ADB36" s="216"/>
      <c r="ADC36" s="216"/>
      <c r="ADD36" s="216"/>
      <c r="ADE36" s="216"/>
      <c r="ADF36" s="216"/>
      <c r="ADG36" s="216"/>
      <c r="ADH36" s="216"/>
      <c r="ADI36" s="216"/>
      <c r="ADJ36" s="216"/>
      <c r="ADK36" s="216"/>
      <c r="ADL36" s="216"/>
      <c r="ADM36" s="216"/>
      <c r="ADN36" s="216"/>
      <c r="ADO36" s="216"/>
      <c r="ADP36" s="216"/>
      <c r="ADQ36" s="216"/>
      <c r="ADR36" s="216"/>
      <c r="ADS36" s="216"/>
      <c r="ADT36" s="216"/>
      <c r="ADU36" s="216"/>
      <c r="ADV36" s="216"/>
      <c r="ADW36" s="216"/>
      <c r="ADX36" s="216"/>
      <c r="ADY36" s="216"/>
      <c r="ADZ36" s="216"/>
      <c r="AEA36" s="216"/>
      <c r="AEB36" s="216"/>
      <c r="AEC36" s="216"/>
      <c r="AED36" s="216"/>
      <c r="AEE36" s="216"/>
      <c r="AEF36" s="216"/>
      <c r="AEG36" s="216"/>
      <c r="AEH36" s="216"/>
      <c r="AEI36" s="216"/>
      <c r="AEJ36" s="216"/>
      <c r="AEK36" s="216"/>
      <c r="AEL36" s="216"/>
      <c r="AEM36" s="216"/>
      <c r="AEN36" s="216"/>
      <c r="AEO36" s="216"/>
      <c r="AEP36" s="216"/>
      <c r="AEQ36" s="216"/>
      <c r="AER36" s="216"/>
      <c r="AES36" s="216"/>
      <c r="AET36" s="216"/>
      <c r="AEU36" s="216"/>
      <c r="AEV36" s="216"/>
      <c r="AEW36" s="216"/>
      <c r="AEX36" s="216"/>
      <c r="AEY36" s="216"/>
      <c r="AEZ36" s="216"/>
      <c r="AFA36" s="216"/>
      <c r="AFB36" s="216"/>
      <c r="AFC36" s="216"/>
      <c r="AFD36" s="216"/>
      <c r="AFE36" s="216"/>
      <c r="AFF36" s="216"/>
      <c r="AFG36" s="216"/>
      <c r="AFH36" s="216"/>
      <c r="AFI36" s="216"/>
      <c r="AFJ36" s="216"/>
      <c r="AFK36" s="216"/>
      <c r="AFL36" s="216"/>
      <c r="AFM36" s="216"/>
      <c r="AFN36" s="216"/>
      <c r="AFO36" s="216"/>
      <c r="AFP36" s="216"/>
      <c r="AFQ36" s="216"/>
      <c r="AFR36" s="216"/>
      <c r="AFS36" s="216"/>
      <c r="AFT36" s="216"/>
      <c r="AFU36" s="216"/>
      <c r="AFV36" s="216"/>
      <c r="AFW36" s="216"/>
      <c r="AFX36" s="216"/>
      <c r="AFY36" s="216"/>
      <c r="AFZ36" s="216"/>
      <c r="AGA36" s="216"/>
      <c r="AGB36" s="216"/>
      <c r="AGC36" s="216"/>
      <c r="AGD36" s="216"/>
      <c r="AGE36" s="216"/>
      <c r="AGF36" s="216"/>
      <c r="AGG36" s="216"/>
      <c r="AGH36" s="216"/>
      <c r="AGI36" s="216"/>
      <c r="AGJ36" s="216"/>
      <c r="AGK36" s="216"/>
      <c r="AGL36" s="216"/>
      <c r="AGM36" s="216"/>
      <c r="AGN36" s="216"/>
      <c r="AGO36" s="216"/>
      <c r="AGP36" s="216"/>
      <c r="AGQ36" s="216"/>
      <c r="AGR36" s="216"/>
      <c r="AGS36" s="216"/>
      <c r="AGT36" s="216"/>
      <c r="AGU36" s="216"/>
      <c r="AGV36" s="216"/>
      <c r="AGW36" s="216"/>
      <c r="AGX36" s="216"/>
      <c r="AGY36" s="216"/>
      <c r="AGZ36" s="216"/>
      <c r="AHA36" s="216"/>
      <c r="AHB36" s="216"/>
      <c r="AHC36" s="216"/>
      <c r="AHD36" s="216"/>
      <c r="AHE36" s="216"/>
      <c r="AHF36" s="216"/>
      <c r="AHG36" s="216"/>
      <c r="AHH36" s="216"/>
      <c r="AHI36" s="216"/>
      <c r="AHJ36" s="216"/>
      <c r="AHK36" s="216"/>
      <c r="AHL36" s="216"/>
      <c r="AHM36" s="216"/>
      <c r="AHN36" s="216"/>
      <c r="AHO36" s="216"/>
      <c r="AHP36" s="216"/>
      <c r="AHQ36" s="216"/>
      <c r="AHR36" s="216"/>
      <c r="AHS36" s="216"/>
      <c r="AHT36" s="216"/>
      <c r="AHU36" s="216"/>
      <c r="AHV36" s="216"/>
      <c r="AHW36" s="216"/>
      <c r="AHX36" s="216"/>
      <c r="AHY36" s="216"/>
      <c r="AHZ36" s="216"/>
      <c r="AIA36" s="216"/>
      <c r="AIB36" s="216"/>
      <c r="AIC36" s="216"/>
      <c r="AID36" s="216"/>
      <c r="AIE36" s="216"/>
      <c r="AIF36" s="216"/>
      <c r="AIG36" s="216"/>
      <c r="AIH36" s="216"/>
      <c r="AII36" s="216"/>
      <c r="AIJ36" s="216"/>
      <c r="AIK36" s="216"/>
      <c r="AIL36" s="216"/>
      <c r="AIM36" s="216"/>
      <c r="AIN36" s="216"/>
      <c r="AIO36" s="216"/>
      <c r="AIP36" s="216"/>
      <c r="AIQ36" s="216"/>
      <c r="AIR36" s="216"/>
      <c r="AIS36" s="216"/>
      <c r="AIT36" s="216"/>
      <c r="AIU36" s="216"/>
      <c r="AIV36" s="216"/>
      <c r="AIW36" s="216"/>
      <c r="AIX36" s="216"/>
      <c r="AIY36" s="216"/>
      <c r="AIZ36" s="216"/>
      <c r="AJA36" s="216"/>
      <c r="AJB36" s="216"/>
      <c r="AJC36" s="216"/>
      <c r="AJD36" s="216"/>
      <c r="AJE36" s="216"/>
      <c r="AJF36" s="216"/>
      <c r="AJG36" s="216"/>
      <c r="AJH36" s="216"/>
      <c r="AJI36" s="216"/>
      <c r="AJJ36" s="216"/>
      <c r="AJK36" s="216"/>
      <c r="AJL36" s="216"/>
      <c r="AJM36" s="216"/>
      <c r="AJN36" s="216"/>
      <c r="AJO36" s="216"/>
      <c r="AJP36" s="216"/>
      <c r="AJQ36" s="216"/>
      <c r="AJR36" s="216"/>
      <c r="AJS36" s="216"/>
      <c r="AJT36" s="216"/>
      <c r="AJU36" s="216"/>
      <c r="AJV36" s="216"/>
      <c r="AJW36" s="216"/>
      <c r="AJX36" s="216"/>
      <c r="AJY36" s="216"/>
      <c r="AJZ36" s="216"/>
      <c r="AKA36" s="216"/>
      <c r="AKB36" s="216"/>
      <c r="AKC36" s="216"/>
      <c r="AKD36" s="216"/>
      <c r="AKE36" s="216"/>
      <c r="AKF36" s="216"/>
      <c r="AKG36" s="216"/>
      <c r="AKH36" s="216"/>
      <c r="AKI36" s="216"/>
      <c r="AKJ36" s="216"/>
      <c r="AKK36" s="216"/>
      <c r="AKL36" s="216"/>
      <c r="AKM36" s="216"/>
      <c r="AKN36" s="216"/>
      <c r="AKO36" s="216"/>
      <c r="AKP36" s="216"/>
      <c r="AKQ36" s="216"/>
      <c r="AKR36" s="216"/>
      <c r="AKS36" s="216"/>
      <c r="AKT36" s="216"/>
      <c r="AKU36" s="216"/>
      <c r="AKV36" s="216"/>
      <c r="AKW36" s="216"/>
      <c r="AKX36" s="216"/>
      <c r="AKY36" s="216"/>
      <c r="AKZ36" s="216"/>
      <c r="ALA36" s="216"/>
      <c r="ALB36" s="216"/>
      <c r="ALC36" s="216"/>
      <c r="ALD36" s="216"/>
      <c r="ALE36" s="216"/>
      <c r="ALF36" s="216"/>
      <c r="ALG36" s="216"/>
      <c r="ALH36" s="216"/>
      <c r="ALI36" s="216"/>
      <c r="ALJ36" s="216"/>
      <c r="ALK36" s="216"/>
      <c r="ALL36" s="216"/>
      <c r="ALM36" s="216"/>
      <c r="ALN36" s="216"/>
      <c r="ALO36" s="216"/>
      <c r="ALP36" s="216"/>
      <c r="ALQ36" s="216"/>
      <c r="ALR36" s="216"/>
      <c r="ALS36" s="216"/>
      <c r="ALT36" s="216"/>
      <c r="ALU36" s="216"/>
      <c r="ALV36" s="216"/>
      <c r="ALW36" s="216"/>
      <c r="ALX36" s="216"/>
      <c r="ALY36" s="216"/>
      <c r="ALZ36" s="216"/>
      <c r="AMA36" s="216"/>
      <c r="AMB36" s="216"/>
      <c r="AMC36" s="216"/>
      <c r="AMD36" s="216"/>
      <c r="AME36" s="216"/>
      <c r="AMF36" s="216"/>
      <c r="AMG36" s="216"/>
      <c r="AMH36" s="216"/>
      <c r="AMI36" s="216"/>
      <c r="AMJ36" s="216"/>
      <c r="AMK36" s="216"/>
      <c r="AML36" s="216"/>
      <c r="AMM36" s="216"/>
      <c r="AMN36" s="216"/>
      <c r="AMO36" s="216"/>
      <c r="AMP36" s="216"/>
      <c r="AMQ36" s="216"/>
      <c r="AMR36" s="216"/>
      <c r="AMS36" s="216"/>
      <c r="AMT36" s="216"/>
      <c r="AMU36" s="216"/>
      <c r="AMV36" s="216"/>
      <c r="AMW36" s="216"/>
      <c r="AMX36" s="216"/>
      <c r="AMY36" s="216"/>
      <c r="AMZ36" s="216"/>
      <c r="ANA36" s="216"/>
      <c r="ANB36" s="216"/>
      <c r="ANC36" s="216"/>
      <c r="AND36" s="216"/>
      <c r="ANE36" s="216"/>
      <c r="ANF36" s="216"/>
      <c r="ANG36" s="216"/>
      <c r="ANH36" s="216"/>
      <c r="ANI36" s="216"/>
      <c r="ANJ36" s="216"/>
      <c r="ANK36" s="216"/>
      <c r="ANL36" s="216"/>
      <c r="ANM36" s="216"/>
      <c r="ANN36" s="216"/>
      <c r="ANO36" s="216"/>
      <c r="ANP36" s="216"/>
      <c r="ANQ36" s="216"/>
      <c r="ANR36" s="216"/>
      <c r="ANS36" s="216"/>
      <c r="ANT36" s="216"/>
      <c r="ANU36" s="216"/>
      <c r="ANV36" s="216"/>
      <c r="ANW36" s="216"/>
      <c r="ANX36" s="216"/>
      <c r="ANY36" s="216"/>
      <c r="ANZ36" s="216"/>
      <c r="AOA36" s="216"/>
      <c r="AOB36" s="216"/>
      <c r="AOC36" s="216"/>
      <c r="AOD36" s="216"/>
      <c r="AOE36" s="216"/>
      <c r="AOF36" s="216"/>
      <c r="AOG36" s="216"/>
      <c r="AOH36" s="216"/>
      <c r="AOI36" s="216"/>
      <c r="AOJ36" s="216"/>
      <c r="AOK36" s="216"/>
      <c r="AOL36" s="216"/>
      <c r="AOM36" s="216"/>
      <c r="AON36" s="216"/>
      <c r="AOO36" s="216"/>
      <c r="AOP36" s="216"/>
      <c r="AOQ36" s="216"/>
      <c r="AOR36" s="216"/>
      <c r="AOS36" s="216"/>
      <c r="AOT36" s="216"/>
      <c r="AOU36" s="216"/>
      <c r="AOV36" s="216"/>
      <c r="AOW36" s="216"/>
      <c r="AOX36" s="216"/>
      <c r="AOY36" s="216"/>
      <c r="AOZ36" s="216"/>
      <c r="APA36" s="216"/>
      <c r="APB36" s="216"/>
      <c r="APC36" s="216"/>
      <c r="APD36" s="216"/>
      <c r="APE36" s="216"/>
      <c r="APF36" s="216"/>
      <c r="APG36" s="216"/>
      <c r="APH36" s="216"/>
      <c r="API36" s="216"/>
      <c r="APJ36" s="216"/>
      <c r="APK36" s="216"/>
      <c r="APL36" s="216"/>
      <c r="APM36" s="216"/>
      <c r="APN36" s="216"/>
      <c r="APO36" s="216"/>
      <c r="APP36" s="216"/>
      <c r="APQ36" s="216"/>
      <c r="APR36" s="216"/>
      <c r="APS36" s="216"/>
      <c r="APT36" s="216"/>
      <c r="APU36" s="216"/>
      <c r="APV36" s="216"/>
      <c r="APW36" s="216"/>
      <c r="APX36" s="216"/>
      <c r="APY36" s="216"/>
      <c r="APZ36" s="216"/>
      <c r="AQA36" s="216"/>
      <c r="AQB36" s="216"/>
      <c r="AQC36" s="216"/>
      <c r="AQD36" s="216"/>
      <c r="AQE36" s="216"/>
      <c r="AQF36" s="216"/>
      <c r="AQG36" s="216"/>
      <c r="AQH36" s="216"/>
      <c r="AQI36" s="216"/>
      <c r="AQJ36" s="216"/>
      <c r="AQK36" s="216"/>
      <c r="AQL36" s="216"/>
      <c r="AQM36" s="216"/>
      <c r="AQN36" s="216"/>
      <c r="AQO36" s="216"/>
      <c r="AQP36" s="216"/>
      <c r="AQQ36" s="216"/>
      <c r="AQR36" s="216"/>
      <c r="AQS36" s="216"/>
      <c r="AQT36" s="216"/>
      <c r="AQU36" s="216"/>
      <c r="AQV36" s="216"/>
      <c r="AQW36" s="216"/>
      <c r="AQX36" s="216"/>
      <c r="AQY36" s="216"/>
      <c r="AQZ36" s="216"/>
      <c r="ARA36" s="216"/>
      <c r="ARB36" s="216"/>
      <c r="ARC36" s="216"/>
      <c r="ARD36" s="216"/>
      <c r="ARE36" s="216"/>
      <c r="ARF36" s="216"/>
      <c r="ARG36" s="216"/>
      <c r="ARH36" s="216"/>
      <c r="ARI36" s="216"/>
      <c r="ARJ36" s="216"/>
      <c r="ARK36" s="216"/>
      <c r="ARL36" s="216"/>
      <c r="ARM36" s="216"/>
      <c r="ARN36" s="216"/>
      <c r="ARO36" s="216"/>
      <c r="ARP36" s="216"/>
      <c r="ARQ36" s="216"/>
      <c r="ARR36" s="216"/>
      <c r="ARS36" s="216"/>
      <c r="ART36" s="216"/>
      <c r="ARU36" s="216"/>
      <c r="ARV36" s="216"/>
      <c r="ARW36" s="216"/>
      <c r="ARX36" s="216"/>
      <c r="ARY36" s="216"/>
      <c r="ARZ36" s="216"/>
      <c r="ASA36" s="216"/>
      <c r="ASB36" s="216"/>
      <c r="ASC36" s="216"/>
      <c r="ASD36" s="216"/>
      <c r="ASE36" s="216"/>
      <c r="ASF36" s="216"/>
      <c r="ASG36" s="216"/>
      <c r="ASH36" s="216"/>
      <c r="ASI36" s="216"/>
      <c r="ASJ36" s="216"/>
      <c r="ASK36" s="216"/>
      <c r="ASL36" s="216"/>
      <c r="ASM36" s="216"/>
      <c r="ASN36" s="216"/>
      <c r="ASO36" s="216"/>
      <c r="ASP36" s="216"/>
      <c r="ASQ36" s="216"/>
      <c r="ASR36" s="216"/>
      <c r="ASS36" s="216"/>
      <c r="AST36" s="216"/>
      <c r="ASU36" s="216"/>
      <c r="ASV36" s="216"/>
      <c r="ASW36" s="216"/>
      <c r="ASX36" s="216"/>
      <c r="ASY36" s="216"/>
      <c r="ASZ36" s="216"/>
      <c r="ATA36" s="216"/>
      <c r="ATB36" s="216"/>
      <c r="ATC36" s="216"/>
      <c r="ATD36" s="216"/>
      <c r="ATE36" s="216"/>
      <c r="ATF36" s="216"/>
      <c r="ATG36" s="216"/>
      <c r="ATH36" s="216"/>
      <c r="ATI36" s="216"/>
      <c r="ATJ36" s="216"/>
      <c r="ATK36" s="216"/>
      <c r="ATL36" s="216"/>
      <c r="ATM36" s="216"/>
      <c r="ATN36" s="216"/>
      <c r="ATO36" s="216"/>
      <c r="ATP36" s="216"/>
      <c r="ATQ36" s="216"/>
      <c r="ATR36" s="216"/>
      <c r="ATS36" s="216"/>
      <c r="ATT36" s="216"/>
      <c r="ATU36" s="216"/>
      <c r="ATV36" s="216"/>
      <c r="ATW36" s="216"/>
      <c r="ATX36" s="216"/>
      <c r="ATY36" s="216"/>
      <c r="ATZ36" s="216"/>
      <c r="AUA36" s="216"/>
      <c r="AUB36" s="216"/>
      <c r="AUC36" s="216"/>
      <c r="AUD36" s="216"/>
      <c r="AUE36" s="216"/>
      <c r="AUF36" s="216"/>
      <c r="AUG36" s="216"/>
      <c r="AUH36" s="216"/>
      <c r="AUI36" s="216"/>
      <c r="AUJ36" s="216"/>
      <c r="AUK36" s="216"/>
      <c r="AUL36" s="216"/>
      <c r="AUM36" s="216"/>
      <c r="AUN36" s="216"/>
      <c r="AUO36" s="216"/>
      <c r="AUP36" s="216"/>
      <c r="AUQ36" s="216"/>
      <c r="AUR36" s="216"/>
      <c r="AUS36" s="216"/>
      <c r="AUT36" s="216"/>
      <c r="AUU36" s="216"/>
      <c r="AUV36" s="216"/>
      <c r="AUW36" s="216"/>
      <c r="AUX36" s="216"/>
      <c r="AUY36" s="216"/>
      <c r="AUZ36" s="216"/>
      <c r="AVA36" s="216"/>
      <c r="AVB36" s="216"/>
      <c r="AVC36" s="216"/>
      <c r="AVD36" s="216"/>
      <c r="AVE36" s="216"/>
      <c r="AVF36" s="216"/>
      <c r="AVG36" s="216"/>
      <c r="AVH36" s="216"/>
      <c r="AVI36" s="216"/>
      <c r="AVJ36" s="216"/>
      <c r="AVK36" s="216"/>
      <c r="AVL36" s="216"/>
      <c r="AVM36" s="216"/>
      <c r="AVN36" s="216"/>
      <c r="AVO36" s="216"/>
      <c r="AVP36" s="216"/>
      <c r="AVQ36" s="216"/>
      <c r="AVR36" s="216"/>
      <c r="AVS36" s="216"/>
      <c r="AVT36" s="216"/>
      <c r="AVU36" s="216"/>
      <c r="AVV36" s="216"/>
      <c r="AVW36" s="216"/>
      <c r="AVX36" s="216"/>
      <c r="AVY36" s="216"/>
      <c r="AVZ36" s="216"/>
      <c r="AWA36" s="216"/>
      <c r="AWB36" s="216"/>
      <c r="AWC36" s="216"/>
      <c r="AWD36" s="216"/>
      <c r="AWE36" s="216"/>
      <c r="AWF36" s="216"/>
      <c r="AWG36" s="216"/>
      <c r="AWH36" s="216"/>
      <c r="AWI36" s="216"/>
      <c r="AWJ36" s="216"/>
      <c r="AWK36" s="216"/>
      <c r="AWL36" s="216"/>
      <c r="AWM36" s="216"/>
      <c r="AWN36" s="216"/>
      <c r="AWO36" s="216"/>
      <c r="AWP36" s="216"/>
      <c r="AWQ36" s="216"/>
      <c r="AWR36" s="216"/>
      <c r="AWS36" s="216"/>
      <c r="AWT36" s="216"/>
      <c r="AWU36" s="216"/>
      <c r="AWV36" s="216"/>
      <c r="AWW36" s="216"/>
      <c r="AWX36" s="216"/>
      <c r="AWY36" s="216"/>
      <c r="AWZ36" s="216"/>
      <c r="AXA36" s="216"/>
      <c r="AXB36" s="216"/>
      <c r="AXC36" s="216"/>
      <c r="AXD36" s="216"/>
      <c r="AXE36" s="216"/>
      <c r="AXF36" s="216"/>
      <c r="AXG36" s="216"/>
      <c r="AXH36" s="216"/>
      <c r="AXI36" s="216"/>
      <c r="AXJ36" s="216"/>
      <c r="AXK36" s="216"/>
      <c r="AXL36" s="216"/>
      <c r="AXM36" s="216"/>
      <c r="AXN36" s="216"/>
      <c r="AXO36" s="216"/>
      <c r="AXP36" s="216"/>
      <c r="AXQ36" s="216"/>
      <c r="AXR36" s="216"/>
      <c r="AXS36" s="216"/>
      <c r="AXT36" s="216"/>
      <c r="AXU36" s="216"/>
      <c r="AXV36" s="216"/>
      <c r="AXW36" s="216"/>
      <c r="AXX36" s="216"/>
      <c r="AXY36" s="216"/>
      <c r="AXZ36" s="216"/>
      <c r="AYA36" s="216"/>
      <c r="AYB36" s="216"/>
      <c r="AYC36" s="216"/>
      <c r="AYD36" s="216"/>
      <c r="AYE36" s="216"/>
      <c r="AYF36" s="216"/>
      <c r="AYG36" s="216"/>
      <c r="AYH36" s="216"/>
      <c r="AYI36" s="216"/>
      <c r="AYJ36" s="216"/>
      <c r="AYK36" s="216"/>
      <c r="AYL36" s="216"/>
      <c r="AYM36" s="216"/>
      <c r="AYN36" s="216"/>
      <c r="AYO36" s="216"/>
      <c r="AYP36" s="216"/>
      <c r="AYQ36" s="216"/>
      <c r="AYR36" s="216"/>
      <c r="AYS36" s="216"/>
      <c r="AYT36" s="216"/>
      <c r="AYU36" s="216"/>
      <c r="AYV36" s="216"/>
      <c r="AYW36" s="216"/>
      <c r="AYX36" s="216"/>
      <c r="AYY36" s="216"/>
      <c r="AYZ36" s="216"/>
      <c r="AZA36" s="216"/>
      <c r="AZB36" s="216"/>
      <c r="AZC36" s="216"/>
      <c r="AZD36" s="216"/>
      <c r="AZE36" s="216"/>
      <c r="AZF36" s="216"/>
      <c r="AZG36" s="216"/>
      <c r="AZH36" s="216"/>
      <c r="AZI36" s="216"/>
      <c r="AZJ36" s="216"/>
      <c r="AZK36" s="216"/>
      <c r="AZL36" s="216"/>
      <c r="AZM36" s="216"/>
      <c r="AZN36" s="216"/>
      <c r="AZO36" s="216"/>
      <c r="AZP36" s="216"/>
      <c r="AZQ36" s="216"/>
      <c r="AZR36" s="216"/>
      <c r="AZS36" s="216"/>
      <c r="AZT36" s="216"/>
      <c r="AZU36" s="216"/>
      <c r="AZV36" s="216"/>
      <c r="AZW36" s="216"/>
      <c r="AZX36" s="216"/>
      <c r="AZY36" s="216"/>
      <c r="AZZ36" s="216"/>
      <c r="BAA36" s="216"/>
      <c r="BAB36" s="216"/>
      <c r="BAC36" s="216"/>
      <c r="BAD36" s="216"/>
      <c r="BAE36" s="216"/>
      <c r="BAF36" s="216"/>
      <c r="BAG36" s="216"/>
      <c r="BAH36" s="216"/>
      <c r="BAI36" s="216"/>
      <c r="BAJ36" s="216"/>
      <c r="BAK36" s="216"/>
      <c r="BAL36" s="216"/>
      <c r="BAM36" s="216"/>
      <c r="BAN36" s="216"/>
      <c r="BAO36" s="216"/>
      <c r="BAP36" s="216"/>
      <c r="BAQ36" s="216"/>
      <c r="BAR36" s="216"/>
      <c r="BAS36" s="216"/>
      <c r="BAT36" s="216"/>
      <c r="BAU36" s="216"/>
      <c r="BAV36" s="216"/>
      <c r="BAW36" s="216"/>
      <c r="BAX36" s="216"/>
      <c r="BAY36" s="216"/>
      <c r="BAZ36" s="216"/>
      <c r="BBA36" s="216"/>
      <c r="BBB36" s="216"/>
      <c r="BBC36" s="216"/>
      <c r="BBD36" s="216"/>
      <c r="BBE36" s="216"/>
      <c r="BBF36" s="216"/>
      <c r="BBG36" s="216"/>
      <c r="BBH36" s="216"/>
      <c r="BBI36" s="216"/>
      <c r="BBJ36" s="216"/>
      <c r="BBK36" s="216"/>
      <c r="BBL36" s="216"/>
      <c r="BBM36" s="216"/>
      <c r="BBN36" s="216"/>
      <c r="BBO36" s="216"/>
      <c r="BBP36" s="216"/>
      <c r="BBQ36" s="216"/>
      <c r="BBR36" s="216"/>
      <c r="BBS36" s="216"/>
      <c r="BBT36" s="216"/>
      <c r="BBU36" s="216"/>
      <c r="BBV36" s="216"/>
      <c r="BBW36" s="216"/>
      <c r="BBX36" s="216"/>
      <c r="BBY36" s="216"/>
      <c r="BBZ36" s="216"/>
      <c r="BCA36" s="216"/>
      <c r="BCB36" s="216"/>
      <c r="BCC36" s="216"/>
      <c r="BCD36" s="216"/>
      <c r="BCE36" s="216"/>
      <c r="BCF36" s="216"/>
      <c r="BCG36" s="216"/>
      <c r="BCH36" s="216"/>
      <c r="BCI36" s="216"/>
      <c r="BCJ36" s="216"/>
      <c r="BCK36" s="216"/>
      <c r="BCL36" s="216"/>
      <c r="BCM36" s="216"/>
      <c r="BCN36" s="216"/>
      <c r="BCO36" s="216"/>
      <c r="BCP36" s="216"/>
      <c r="BCQ36" s="216"/>
      <c r="BCR36" s="216"/>
      <c r="BCS36" s="216"/>
      <c r="BCT36" s="216"/>
      <c r="BCU36" s="216"/>
      <c r="BCV36" s="216"/>
      <c r="BCW36" s="216"/>
      <c r="BCX36" s="216"/>
      <c r="BCY36" s="216"/>
      <c r="BCZ36" s="216"/>
      <c r="BDA36" s="216"/>
      <c r="BDB36" s="216"/>
      <c r="BDC36" s="216"/>
      <c r="BDD36" s="216"/>
      <c r="BDE36" s="216"/>
      <c r="BDF36" s="216"/>
      <c r="BDG36" s="216"/>
      <c r="BDH36" s="216"/>
      <c r="BDI36" s="216"/>
      <c r="BDJ36" s="216"/>
      <c r="BDK36" s="216"/>
      <c r="BDL36" s="216"/>
      <c r="BDM36" s="216"/>
      <c r="BDN36" s="216"/>
      <c r="BDO36" s="216"/>
      <c r="BDP36" s="216"/>
      <c r="BDQ36" s="216"/>
      <c r="BDR36" s="216"/>
      <c r="BDS36" s="216"/>
      <c r="BDT36" s="216"/>
      <c r="BDU36" s="216"/>
      <c r="BDV36" s="216"/>
      <c r="BDW36" s="216"/>
      <c r="BDX36" s="216"/>
      <c r="BDY36" s="216"/>
      <c r="BDZ36" s="216"/>
      <c r="BEA36" s="216"/>
      <c r="BEB36" s="216"/>
      <c r="BEC36" s="216"/>
      <c r="BED36" s="216"/>
      <c r="BEE36" s="216"/>
      <c r="BEF36" s="216"/>
      <c r="BEG36" s="216"/>
      <c r="BEH36" s="216"/>
      <c r="BEI36" s="216"/>
      <c r="BEJ36" s="216"/>
      <c r="BEK36" s="216"/>
      <c r="BEL36" s="216"/>
      <c r="BEM36" s="216"/>
      <c r="BEN36" s="216"/>
      <c r="BEO36" s="216"/>
      <c r="BEP36" s="216"/>
      <c r="BEQ36" s="216"/>
      <c r="BER36" s="216"/>
      <c r="BES36" s="216"/>
      <c r="BET36" s="216"/>
      <c r="BEU36" s="216"/>
      <c r="BEV36" s="216"/>
      <c r="BEW36" s="216"/>
      <c r="BEX36" s="216"/>
      <c r="BEY36" s="216"/>
      <c r="BEZ36" s="216"/>
      <c r="BFA36" s="216"/>
      <c r="BFB36" s="216"/>
      <c r="BFC36" s="216"/>
      <c r="BFD36" s="216"/>
      <c r="BFE36" s="216"/>
      <c r="BFF36" s="216"/>
      <c r="BFG36" s="216"/>
      <c r="BFH36" s="216"/>
      <c r="BFI36" s="216"/>
      <c r="BFJ36" s="216"/>
      <c r="BFK36" s="216"/>
      <c r="BFL36" s="216"/>
      <c r="BFM36" s="216"/>
      <c r="BFN36" s="216"/>
      <c r="BFO36" s="216"/>
      <c r="BFP36" s="216"/>
      <c r="BFQ36" s="216"/>
      <c r="BFR36" s="216"/>
      <c r="BFS36" s="216"/>
      <c r="BFT36" s="216"/>
      <c r="BFU36" s="216"/>
      <c r="BFV36" s="216"/>
      <c r="BFW36" s="216"/>
      <c r="BFX36" s="216"/>
      <c r="BFY36" s="216"/>
      <c r="BFZ36" s="216"/>
      <c r="BGA36" s="216"/>
      <c r="BGB36" s="216"/>
      <c r="BGC36" s="216"/>
      <c r="BGD36" s="216"/>
      <c r="BGE36" s="216"/>
      <c r="BGF36" s="216"/>
      <c r="BGG36" s="216"/>
      <c r="BGH36" s="216"/>
      <c r="BGI36" s="216"/>
      <c r="BGJ36" s="216"/>
      <c r="BGK36" s="216"/>
      <c r="BGL36" s="216"/>
      <c r="BGM36" s="216"/>
      <c r="BGN36" s="216"/>
      <c r="BGO36" s="216"/>
      <c r="BGP36" s="216"/>
      <c r="BGQ36" s="216"/>
      <c r="BGR36" s="216"/>
      <c r="BGS36" s="216"/>
      <c r="BGT36" s="216"/>
      <c r="BGU36" s="216"/>
      <c r="BGV36" s="216"/>
      <c r="BGW36" s="216"/>
      <c r="BGX36" s="216"/>
      <c r="BGY36" s="216"/>
      <c r="BGZ36" s="216"/>
      <c r="BHA36" s="216"/>
      <c r="BHB36" s="216"/>
      <c r="BHC36" s="216"/>
      <c r="BHD36" s="216"/>
      <c r="BHE36" s="216"/>
      <c r="BHF36" s="216"/>
      <c r="BHG36" s="216"/>
      <c r="BHH36" s="216"/>
      <c r="BHI36" s="216"/>
      <c r="BHJ36" s="216"/>
      <c r="BHK36" s="216"/>
      <c r="BHL36" s="216"/>
      <c r="BHM36" s="216"/>
      <c r="BHN36" s="216"/>
      <c r="BHO36" s="216"/>
      <c r="BHP36" s="216"/>
      <c r="BHQ36" s="216"/>
      <c r="BHR36" s="216"/>
      <c r="BHS36" s="216"/>
      <c r="BHT36" s="216"/>
      <c r="BHU36" s="216"/>
      <c r="BHV36" s="216"/>
      <c r="BHW36" s="216"/>
      <c r="BHX36" s="216"/>
      <c r="BHY36" s="216"/>
      <c r="BHZ36" s="216"/>
      <c r="BIA36" s="216"/>
      <c r="BIB36" s="216"/>
      <c r="BIC36" s="216"/>
      <c r="BID36" s="216"/>
      <c r="BIE36" s="216"/>
      <c r="BIF36" s="216"/>
      <c r="BIG36" s="216"/>
      <c r="BIH36" s="216"/>
      <c r="BII36" s="216"/>
      <c r="BIJ36" s="216"/>
      <c r="BIK36" s="216"/>
      <c r="BIL36" s="216"/>
      <c r="BIM36" s="216"/>
      <c r="BIN36" s="216"/>
      <c r="BIO36" s="216"/>
      <c r="BIP36" s="216"/>
      <c r="BIQ36" s="216"/>
      <c r="BIR36" s="216"/>
      <c r="BIS36" s="216"/>
      <c r="BIT36" s="216"/>
      <c r="BIU36" s="216"/>
      <c r="BIV36" s="216"/>
      <c r="BIW36" s="216"/>
      <c r="BIX36" s="216"/>
      <c r="BIY36" s="216"/>
      <c r="BIZ36" s="216"/>
      <c r="BJA36" s="216"/>
      <c r="BJB36" s="216"/>
      <c r="BJC36" s="216"/>
      <c r="BJD36" s="216"/>
      <c r="BJE36" s="216"/>
      <c r="BJF36" s="216"/>
      <c r="BJG36" s="216"/>
      <c r="BJH36" s="216"/>
      <c r="BJI36" s="216"/>
      <c r="BJJ36" s="216"/>
      <c r="BJK36" s="216"/>
      <c r="BJL36" s="216"/>
      <c r="BJM36" s="216"/>
      <c r="BJN36" s="216"/>
      <c r="BJO36" s="216"/>
      <c r="BJP36" s="216"/>
      <c r="BJQ36" s="216"/>
      <c r="BJR36" s="216"/>
      <c r="BJS36" s="216"/>
      <c r="BJT36" s="216"/>
      <c r="BJU36" s="216"/>
      <c r="BJV36" s="216"/>
      <c r="BJW36" s="216"/>
      <c r="BJX36" s="216"/>
      <c r="BJY36" s="216"/>
      <c r="BJZ36" s="216"/>
      <c r="BKA36" s="216"/>
      <c r="BKB36" s="216"/>
      <c r="BKC36" s="216"/>
      <c r="BKD36" s="216"/>
      <c r="BKE36" s="216"/>
      <c r="BKF36" s="216"/>
      <c r="BKG36" s="216"/>
      <c r="BKH36" s="216"/>
      <c r="BKI36" s="216"/>
      <c r="BKJ36" s="216"/>
      <c r="BKK36" s="216"/>
      <c r="BKL36" s="216"/>
      <c r="BKM36" s="216"/>
      <c r="BKN36" s="216"/>
      <c r="BKO36" s="216"/>
      <c r="BKP36" s="216"/>
      <c r="BKQ36" s="216"/>
      <c r="BKR36" s="216"/>
      <c r="BKS36" s="216"/>
      <c r="BKT36" s="216"/>
      <c r="BKU36" s="216"/>
      <c r="BKV36" s="216"/>
      <c r="BKW36" s="216"/>
      <c r="BKX36" s="216"/>
      <c r="BKY36" s="216"/>
      <c r="BKZ36" s="216"/>
      <c r="BLA36" s="216"/>
      <c r="BLB36" s="216"/>
      <c r="BLC36" s="216"/>
      <c r="BLD36" s="216"/>
      <c r="BLE36" s="216"/>
      <c r="BLF36" s="216"/>
      <c r="BLG36" s="216"/>
      <c r="BLH36" s="216"/>
      <c r="BLI36" s="216"/>
      <c r="BLJ36" s="216"/>
      <c r="BLK36" s="216"/>
      <c r="BLL36" s="216"/>
      <c r="BLM36" s="216"/>
      <c r="BLN36" s="216"/>
      <c r="BLO36" s="216"/>
      <c r="BLP36" s="216"/>
      <c r="BLQ36" s="216"/>
      <c r="BLR36" s="216"/>
      <c r="BLS36" s="216"/>
      <c r="BLT36" s="216"/>
      <c r="BLU36" s="216"/>
      <c r="BLV36" s="216"/>
      <c r="BLW36" s="216"/>
      <c r="BLX36" s="216"/>
      <c r="BLY36" s="216"/>
      <c r="BLZ36" s="216"/>
      <c r="BMA36" s="216"/>
      <c r="BMB36" s="216"/>
      <c r="BMC36" s="216"/>
      <c r="BMD36" s="216"/>
      <c r="BME36" s="216"/>
      <c r="BMF36" s="216"/>
      <c r="BMG36" s="216"/>
      <c r="BMH36" s="216"/>
      <c r="BMI36" s="216"/>
      <c r="BMJ36" s="216"/>
      <c r="BMK36" s="216"/>
      <c r="BML36" s="216"/>
      <c r="BMM36" s="216"/>
      <c r="BMN36" s="216"/>
      <c r="BMO36" s="216"/>
      <c r="BMP36" s="216"/>
      <c r="BMQ36" s="216"/>
      <c r="BMR36" s="216"/>
      <c r="BMS36" s="216"/>
      <c r="BMT36" s="216"/>
      <c r="BMU36" s="216"/>
      <c r="BMV36" s="216"/>
      <c r="BMW36" s="216"/>
      <c r="BMX36" s="216"/>
      <c r="BMY36" s="216"/>
      <c r="BMZ36" s="216"/>
      <c r="BNA36" s="216"/>
      <c r="BNB36" s="216"/>
      <c r="BNC36" s="216"/>
      <c r="BND36" s="216"/>
      <c r="BNE36" s="216"/>
      <c r="BNF36" s="216"/>
      <c r="BNG36" s="216"/>
      <c r="BNH36" s="216"/>
      <c r="BNI36" s="216"/>
      <c r="BNJ36" s="216"/>
      <c r="BNK36" s="216"/>
      <c r="BNL36" s="216"/>
      <c r="BNM36" s="216"/>
      <c r="BNN36" s="216"/>
      <c r="BNO36" s="216"/>
      <c r="BNP36" s="216"/>
      <c r="BNQ36" s="216"/>
      <c r="BNR36" s="216"/>
      <c r="BNS36" s="216"/>
      <c r="BNT36" s="216"/>
      <c r="BNU36" s="216"/>
      <c r="BNV36" s="216"/>
      <c r="BNW36" s="216"/>
      <c r="BNX36" s="216"/>
      <c r="BNY36" s="216"/>
      <c r="BNZ36" s="216"/>
      <c r="BOA36" s="216"/>
      <c r="BOB36" s="216"/>
      <c r="BOC36" s="216"/>
      <c r="BOD36" s="216"/>
      <c r="BOE36" s="216"/>
      <c r="BOF36" s="216"/>
      <c r="BOG36" s="216"/>
      <c r="BOH36" s="216"/>
      <c r="BOI36" s="216"/>
      <c r="BOJ36" s="216"/>
      <c r="BOK36" s="216"/>
      <c r="BOL36" s="216"/>
      <c r="BOM36" s="216"/>
      <c r="BON36" s="216"/>
      <c r="BOO36" s="216"/>
      <c r="BOP36" s="216"/>
      <c r="BOQ36" s="216"/>
      <c r="BOR36" s="216"/>
      <c r="BOS36" s="216"/>
      <c r="BOT36" s="216"/>
      <c r="BOU36" s="216"/>
      <c r="BOV36" s="216"/>
      <c r="BOW36" s="216"/>
      <c r="BOX36" s="216"/>
      <c r="BOY36" s="216"/>
      <c r="BOZ36" s="216"/>
      <c r="BPA36" s="216"/>
      <c r="BPB36" s="216"/>
      <c r="BPC36" s="216"/>
      <c r="BPD36" s="216"/>
      <c r="BPE36" s="216"/>
      <c r="BPF36" s="216"/>
      <c r="BPG36" s="216"/>
      <c r="BPH36" s="216"/>
      <c r="BPI36" s="216"/>
      <c r="BPJ36" s="216"/>
      <c r="BPK36" s="216"/>
      <c r="BPL36" s="216"/>
      <c r="BPM36" s="216"/>
      <c r="BPN36" s="216"/>
      <c r="BPO36" s="216"/>
      <c r="BPP36" s="216"/>
      <c r="BPQ36" s="216"/>
      <c r="BPR36" s="216"/>
      <c r="BPS36" s="216"/>
      <c r="BPT36" s="216"/>
      <c r="BPU36" s="216"/>
      <c r="BPV36" s="216"/>
      <c r="BPW36" s="216"/>
      <c r="BPX36" s="216"/>
      <c r="BPY36" s="216"/>
      <c r="BPZ36" s="216"/>
      <c r="BQA36" s="216"/>
      <c r="BQB36" s="216"/>
      <c r="BQC36" s="216"/>
      <c r="BQD36" s="216"/>
      <c r="BQE36" s="216"/>
      <c r="BQF36" s="216"/>
      <c r="BQG36" s="216"/>
      <c r="BQH36" s="216"/>
      <c r="BQI36" s="216"/>
      <c r="BQJ36" s="216"/>
      <c r="BQK36" s="216"/>
      <c r="BQL36" s="216"/>
      <c r="BQM36" s="216"/>
      <c r="BQN36" s="216"/>
      <c r="BQO36" s="216"/>
      <c r="BQP36" s="216"/>
      <c r="BQQ36" s="216"/>
      <c r="BQR36" s="216"/>
      <c r="BQS36" s="216"/>
      <c r="BQT36" s="216"/>
      <c r="BQU36" s="216"/>
      <c r="BQV36" s="216"/>
      <c r="BQW36" s="216"/>
      <c r="BQX36" s="216"/>
      <c r="BQY36" s="216"/>
      <c r="BQZ36" s="216"/>
      <c r="BRA36" s="216"/>
      <c r="BRB36" s="216"/>
      <c r="BRC36" s="216"/>
      <c r="BRD36" s="216"/>
      <c r="BRE36" s="216"/>
      <c r="BRF36" s="216"/>
      <c r="BRG36" s="216"/>
      <c r="BRH36" s="216"/>
      <c r="BRI36" s="216"/>
      <c r="BRJ36" s="216"/>
      <c r="BRK36" s="216"/>
      <c r="BRL36" s="216"/>
      <c r="BRM36" s="216"/>
      <c r="BRN36" s="216"/>
      <c r="BRO36" s="216"/>
      <c r="BRP36" s="216"/>
      <c r="BRQ36" s="216"/>
      <c r="BRR36" s="216"/>
      <c r="BRS36" s="216"/>
      <c r="BRT36" s="216"/>
      <c r="BRU36" s="216"/>
      <c r="BRV36" s="216"/>
      <c r="BRW36" s="216"/>
      <c r="BRX36" s="216"/>
      <c r="BRY36" s="216"/>
      <c r="BRZ36" s="216"/>
      <c r="BSA36" s="216"/>
      <c r="BSB36" s="216"/>
      <c r="BSC36" s="216"/>
      <c r="BSD36" s="216"/>
      <c r="BSE36" s="216"/>
      <c r="BSF36" s="216"/>
      <c r="BSG36" s="216"/>
      <c r="BSH36" s="216"/>
      <c r="BSI36" s="216"/>
      <c r="BSJ36" s="216"/>
      <c r="BSK36" s="216"/>
      <c r="BSL36" s="216"/>
      <c r="BSM36" s="216"/>
      <c r="BSN36" s="216"/>
      <c r="BSO36" s="216"/>
      <c r="BSP36" s="216"/>
      <c r="BSQ36" s="216"/>
      <c r="BSR36" s="216"/>
      <c r="BSS36" s="216"/>
      <c r="BST36" s="216"/>
      <c r="BSU36" s="216"/>
      <c r="BSV36" s="216"/>
      <c r="BSW36" s="216"/>
      <c r="BSX36" s="216"/>
      <c r="BSY36" s="216"/>
      <c r="BSZ36" s="216"/>
      <c r="BTA36" s="216"/>
      <c r="BTB36" s="216"/>
      <c r="BTC36" s="216"/>
      <c r="BTD36" s="216"/>
      <c r="BTE36" s="216"/>
      <c r="BTF36" s="216"/>
      <c r="BTG36" s="216"/>
      <c r="BTH36" s="216"/>
      <c r="BTI36" s="216"/>
      <c r="BTJ36" s="216"/>
      <c r="BTK36" s="216"/>
      <c r="BTL36" s="216"/>
      <c r="BTM36" s="216"/>
      <c r="BTN36" s="216"/>
      <c r="BTO36" s="216"/>
      <c r="BTP36" s="216"/>
      <c r="BTQ36" s="216"/>
      <c r="BTR36" s="216"/>
      <c r="BTS36" s="216"/>
      <c r="BTT36" s="216"/>
      <c r="BTU36" s="216"/>
      <c r="BTV36" s="216"/>
      <c r="BTW36" s="216"/>
      <c r="BTX36" s="216"/>
      <c r="BTY36" s="216"/>
      <c r="BTZ36" s="216"/>
      <c r="BUA36" s="216"/>
      <c r="BUB36" s="216"/>
      <c r="BUC36" s="216"/>
      <c r="BUD36" s="216"/>
      <c r="BUE36" s="216"/>
      <c r="BUF36" s="216"/>
      <c r="BUG36" s="216"/>
      <c r="BUH36" s="216"/>
      <c r="BUI36" s="216"/>
      <c r="BUJ36" s="216"/>
      <c r="BUK36" s="216"/>
      <c r="BUL36" s="216"/>
      <c r="BUM36" s="216"/>
      <c r="BUN36" s="216"/>
      <c r="BUO36" s="216"/>
      <c r="BUP36" s="216"/>
      <c r="BUQ36" s="216"/>
      <c r="BUR36" s="216"/>
      <c r="BUS36" s="216"/>
      <c r="BUT36" s="216"/>
      <c r="BUU36" s="216"/>
      <c r="BUV36" s="216"/>
      <c r="BUW36" s="216"/>
      <c r="BUX36" s="216"/>
      <c r="BUY36" s="216"/>
      <c r="BUZ36" s="216"/>
      <c r="BVA36" s="216"/>
      <c r="BVB36" s="216"/>
      <c r="BVC36" s="216"/>
      <c r="BVD36" s="216"/>
      <c r="BVE36" s="216"/>
      <c r="BVF36" s="216"/>
      <c r="BVG36" s="216"/>
      <c r="BVH36" s="216"/>
      <c r="BVI36" s="216"/>
      <c r="BVJ36" s="216"/>
      <c r="BVK36" s="216"/>
      <c r="BVL36" s="216"/>
      <c r="BVM36" s="216"/>
      <c r="BVN36" s="216"/>
      <c r="BVO36" s="216"/>
      <c r="BVP36" s="216"/>
      <c r="BVQ36" s="216"/>
      <c r="BVR36" s="216"/>
      <c r="BVS36" s="216"/>
      <c r="BVT36" s="216"/>
      <c r="BVU36" s="216"/>
      <c r="BVV36" s="216"/>
      <c r="BVW36" s="216"/>
      <c r="BVX36" s="216"/>
      <c r="BVY36" s="216"/>
      <c r="BVZ36" s="216"/>
      <c r="BWA36" s="216"/>
      <c r="BWB36" s="216"/>
      <c r="BWC36" s="216"/>
      <c r="BWD36" s="216"/>
      <c r="BWE36" s="216"/>
      <c r="BWF36" s="216"/>
      <c r="BWG36" s="216"/>
      <c r="BWH36" s="216"/>
      <c r="BWI36" s="216"/>
      <c r="BWJ36" s="216"/>
      <c r="BWK36" s="216"/>
      <c r="BWL36" s="216"/>
      <c r="BWM36" s="216"/>
      <c r="BWN36" s="216"/>
      <c r="BWO36" s="216"/>
      <c r="BWP36" s="216"/>
      <c r="BWQ36" s="216"/>
      <c r="BWR36" s="216"/>
      <c r="BWS36" s="216"/>
      <c r="BWT36" s="216"/>
      <c r="BWU36" s="216"/>
      <c r="BWV36" s="216"/>
      <c r="BWW36" s="216"/>
      <c r="BWX36" s="216"/>
      <c r="BWY36" s="216"/>
      <c r="BWZ36" s="216"/>
      <c r="BXA36" s="216"/>
      <c r="BXB36" s="216"/>
      <c r="BXC36" s="216"/>
      <c r="BXD36" s="216"/>
      <c r="BXE36" s="216"/>
      <c r="BXF36" s="216"/>
      <c r="BXG36" s="216"/>
      <c r="BXH36" s="216"/>
      <c r="BXI36" s="216"/>
      <c r="BXJ36" s="216"/>
      <c r="BXK36" s="216"/>
      <c r="BXL36" s="216"/>
      <c r="BXM36" s="216"/>
      <c r="BXN36" s="216"/>
      <c r="BXO36" s="216"/>
      <c r="BXP36" s="216"/>
      <c r="BXQ36" s="216"/>
      <c r="BXR36" s="216"/>
      <c r="BXS36" s="216"/>
      <c r="BXT36" s="216"/>
      <c r="BXU36" s="216"/>
      <c r="BXV36" s="216"/>
      <c r="BXW36" s="216"/>
      <c r="BXX36" s="216"/>
      <c r="BXY36" s="216"/>
      <c r="BXZ36" s="216"/>
      <c r="BYA36" s="216"/>
      <c r="BYB36" s="216"/>
      <c r="BYC36" s="216"/>
      <c r="BYD36" s="216"/>
      <c r="BYE36" s="216"/>
      <c r="BYF36" s="216"/>
      <c r="BYG36" s="216"/>
    </row>
    <row r="37" spans="1:2009" s="100" customFormat="1" ht="13.5" hidden="1" customHeight="1" thickBot="1" x14ac:dyDescent="0.3">
      <c r="A37" s="97"/>
      <c r="B37" s="97"/>
      <c r="C37" s="169"/>
      <c r="D37" s="169"/>
      <c r="E37" s="169"/>
      <c r="F37" s="169"/>
      <c r="G37" s="631"/>
      <c r="H37" s="98"/>
      <c r="I37" s="722"/>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43</v>
      </c>
      <c r="B38" s="144"/>
      <c r="C38" s="186"/>
      <c r="D38" s="186"/>
      <c r="E38" s="187"/>
      <c r="F38" s="187"/>
      <c r="G38" s="643"/>
      <c r="H38" s="98"/>
      <c r="I38" s="722"/>
      <c r="J38" s="98"/>
      <c r="K38" s="98"/>
      <c r="L38" s="98"/>
      <c r="M38" s="98"/>
      <c r="N38" s="205"/>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135</v>
      </c>
      <c r="C39" s="188">
        <v>3958.33</v>
      </c>
      <c r="D39" s="188"/>
      <c r="E39" s="189"/>
      <c r="F39" s="189"/>
      <c r="G39" s="644">
        <f>ROUND(SUM(C39:F39),5)</f>
        <v>3958.33</v>
      </c>
      <c r="H39" s="98"/>
      <c r="I39" s="722"/>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328</v>
      </c>
      <c r="C40" s="188">
        <v>3000</v>
      </c>
      <c r="D40" s="188"/>
      <c r="E40" s="189"/>
      <c r="F40" s="189"/>
      <c r="G40" s="644">
        <f>ROUND(SUM(C40:F40),5)</f>
        <v>3000</v>
      </c>
      <c r="H40" s="98"/>
      <c r="I40" s="722"/>
      <c r="J40" s="98"/>
      <c r="K40" s="98"/>
      <c r="L40" s="98"/>
      <c r="M40" s="98"/>
      <c r="N40" s="205"/>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customHeight="1" x14ac:dyDescent="0.25">
      <c r="A41" s="145"/>
      <c r="B41" s="116" t="s">
        <v>570</v>
      </c>
      <c r="C41" s="188"/>
      <c r="D41" s="188"/>
      <c r="E41" s="189">
        <f>162.62+26.73</f>
        <v>189.35</v>
      </c>
      <c r="F41" s="189"/>
      <c r="G41" s="644">
        <f>ROUND(SUM(C41:F41),5)</f>
        <v>189.35</v>
      </c>
      <c r="H41" s="98"/>
      <c r="I41" s="722"/>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hidden="1" customHeight="1" x14ac:dyDescent="0.25">
      <c r="A42" s="145"/>
      <c r="B42" s="116" t="s">
        <v>338</v>
      </c>
      <c r="C42" s="188"/>
      <c r="D42" s="188"/>
      <c r="E42" s="189"/>
      <c r="F42" s="189"/>
      <c r="G42" s="644">
        <f>ROUND(SUM(C42:F42),5)</f>
        <v>0</v>
      </c>
      <c r="H42" s="98"/>
      <c r="I42" s="722"/>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44</v>
      </c>
      <c r="C43" s="188">
        <v>7965</v>
      </c>
      <c r="D43" s="188">
        <v>11042</v>
      </c>
      <c r="E43" s="189"/>
      <c r="F43" s="189"/>
      <c r="G43" s="644">
        <f>ROUND(SUM(C43:F43),5)</f>
        <v>19007</v>
      </c>
      <c r="H43" s="98"/>
      <c r="I43" s="722"/>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2" customFormat="1" ht="24.95" customHeight="1" thickBot="1" x14ac:dyDescent="0.3">
      <c r="A44" s="219"/>
      <c r="B44" s="220" t="s">
        <v>45</v>
      </c>
      <c r="C44" s="221">
        <f>SUM(C39:C43)</f>
        <v>14923.33</v>
      </c>
      <c r="D44" s="221">
        <f>SUM(D39:D43)</f>
        <v>11042</v>
      </c>
      <c r="E44" s="221">
        <f>SUM(E39:E43)</f>
        <v>189.35</v>
      </c>
      <c r="F44" s="221"/>
      <c r="G44" s="814">
        <f>SUM(G39:G43)</f>
        <v>26154.68</v>
      </c>
      <c r="H44" s="205"/>
      <c r="I44" s="722"/>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c r="IX44" s="206"/>
      <c r="IY44" s="206"/>
      <c r="IZ44" s="206"/>
      <c r="JA44" s="206"/>
      <c r="JB44" s="206"/>
      <c r="JC44" s="206"/>
      <c r="JD44" s="206"/>
      <c r="JE44" s="206"/>
      <c r="JF44" s="206"/>
      <c r="JG44" s="206"/>
      <c r="JH44" s="206"/>
      <c r="JI44" s="206"/>
      <c r="JJ44" s="206"/>
      <c r="JK44" s="206"/>
      <c r="JL44" s="206"/>
      <c r="JM44" s="206"/>
      <c r="JN44" s="206"/>
      <c r="JO44" s="206"/>
      <c r="JP44" s="206"/>
      <c r="JQ44" s="206"/>
      <c r="JR44" s="206"/>
      <c r="JS44" s="206"/>
      <c r="JT44" s="206"/>
      <c r="JU44" s="206"/>
      <c r="JV44" s="206"/>
      <c r="JW44" s="206"/>
      <c r="JX44" s="206"/>
      <c r="JY44" s="206"/>
      <c r="JZ44" s="206"/>
      <c r="KA44" s="206"/>
      <c r="KB44" s="206"/>
      <c r="KC44" s="206"/>
      <c r="KD44" s="206"/>
      <c r="KE44" s="206"/>
      <c r="KF44" s="206"/>
      <c r="KG44" s="206"/>
      <c r="KH44" s="206"/>
      <c r="KI44" s="206"/>
      <c r="KJ44" s="206"/>
      <c r="KK44" s="206"/>
      <c r="KL44" s="206"/>
      <c r="KM44" s="206"/>
      <c r="KN44" s="206"/>
      <c r="KO44" s="206"/>
      <c r="KP44" s="206"/>
      <c r="KQ44" s="206"/>
      <c r="KR44" s="206"/>
      <c r="KS44" s="206"/>
      <c r="KT44" s="206"/>
      <c r="KU44" s="206"/>
      <c r="KV44" s="206"/>
      <c r="KW44" s="206"/>
      <c r="KX44" s="206"/>
      <c r="KY44" s="206"/>
      <c r="KZ44" s="206"/>
      <c r="LA44" s="206"/>
      <c r="LB44" s="206"/>
      <c r="LC44" s="206"/>
      <c r="LD44" s="206"/>
      <c r="LE44" s="206"/>
      <c r="LF44" s="206"/>
      <c r="LG44" s="206"/>
      <c r="LH44" s="206"/>
      <c r="LI44" s="206"/>
      <c r="LJ44" s="206"/>
      <c r="LK44" s="206"/>
      <c r="LL44" s="206"/>
      <c r="LM44" s="206"/>
      <c r="LN44" s="206"/>
      <c r="LO44" s="206"/>
      <c r="LP44" s="206"/>
      <c r="LQ44" s="206"/>
      <c r="LR44" s="206"/>
      <c r="LS44" s="206"/>
      <c r="LT44" s="206"/>
      <c r="LU44" s="206"/>
      <c r="LV44" s="206"/>
      <c r="LW44" s="206"/>
      <c r="LX44" s="206"/>
      <c r="LY44" s="206"/>
      <c r="LZ44" s="206"/>
      <c r="MA44" s="206"/>
      <c r="MB44" s="206"/>
      <c r="MC44" s="206"/>
      <c r="MD44" s="206"/>
      <c r="ME44" s="206"/>
      <c r="MF44" s="206"/>
      <c r="MG44" s="206"/>
      <c r="MH44" s="206"/>
      <c r="MI44" s="206"/>
      <c r="MJ44" s="206"/>
      <c r="MK44" s="206"/>
      <c r="ML44" s="206"/>
      <c r="MM44" s="206"/>
      <c r="MN44" s="206"/>
      <c r="MO44" s="206"/>
      <c r="MP44" s="206"/>
      <c r="MQ44" s="206"/>
      <c r="MR44" s="206"/>
      <c r="MS44" s="206"/>
      <c r="MT44" s="206"/>
      <c r="MU44" s="206"/>
      <c r="MV44" s="206"/>
      <c r="MW44" s="206"/>
      <c r="MX44" s="206"/>
      <c r="MY44" s="206"/>
      <c r="MZ44" s="206"/>
      <c r="NA44" s="206"/>
      <c r="NB44" s="206"/>
      <c r="NC44" s="206"/>
      <c r="ND44" s="206"/>
      <c r="NE44" s="206"/>
      <c r="NF44" s="206"/>
      <c r="NG44" s="206"/>
      <c r="NH44" s="206"/>
      <c r="NI44" s="206"/>
      <c r="NJ44" s="206"/>
      <c r="NK44" s="206"/>
      <c r="NL44" s="206"/>
      <c r="NM44" s="206"/>
      <c r="NN44" s="206"/>
      <c r="NO44" s="206"/>
      <c r="NP44" s="206"/>
      <c r="NQ44" s="206"/>
      <c r="NR44" s="206"/>
      <c r="NS44" s="206"/>
      <c r="NT44" s="206"/>
      <c r="NU44" s="206"/>
      <c r="NV44" s="206"/>
      <c r="NW44" s="206"/>
      <c r="NX44" s="206"/>
      <c r="NY44" s="206"/>
      <c r="NZ44" s="206"/>
      <c r="OA44" s="206"/>
      <c r="OB44" s="206"/>
      <c r="OC44" s="206"/>
      <c r="OD44" s="206"/>
      <c r="OE44" s="206"/>
      <c r="OF44" s="206"/>
      <c r="OG44" s="206"/>
      <c r="OH44" s="206"/>
      <c r="OI44" s="206"/>
      <c r="OJ44" s="206"/>
      <c r="OK44" s="206"/>
      <c r="OL44" s="206"/>
      <c r="OM44" s="206"/>
      <c r="ON44" s="206"/>
      <c r="OO44" s="206"/>
      <c r="OP44" s="206"/>
      <c r="OQ44" s="206"/>
      <c r="OR44" s="206"/>
      <c r="OS44" s="206"/>
      <c r="OT44" s="206"/>
      <c r="OU44" s="206"/>
      <c r="OV44" s="206"/>
      <c r="OW44" s="206"/>
      <c r="OX44" s="206"/>
      <c r="OY44" s="206"/>
      <c r="OZ44" s="206"/>
      <c r="PA44" s="206"/>
      <c r="PB44" s="206"/>
      <c r="PC44" s="206"/>
      <c r="PD44" s="206"/>
      <c r="PE44" s="206"/>
      <c r="PF44" s="206"/>
      <c r="PG44" s="206"/>
      <c r="PH44" s="206"/>
      <c r="PI44" s="206"/>
      <c r="PJ44" s="206"/>
      <c r="PK44" s="206"/>
      <c r="PL44" s="206"/>
      <c r="PM44" s="206"/>
      <c r="PN44" s="206"/>
      <c r="PO44" s="206"/>
      <c r="PP44" s="206"/>
      <c r="PQ44" s="206"/>
      <c r="PR44" s="206"/>
      <c r="PS44" s="206"/>
      <c r="PT44" s="206"/>
      <c r="PU44" s="206"/>
      <c r="PV44" s="206"/>
      <c r="PW44" s="206"/>
      <c r="PX44" s="206"/>
      <c r="PY44" s="206"/>
      <c r="PZ44" s="206"/>
      <c r="QA44" s="206"/>
      <c r="QB44" s="206"/>
      <c r="QC44" s="206"/>
      <c r="QD44" s="206"/>
      <c r="QE44" s="206"/>
      <c r="QF44" s="206"/>
      <c r="QG44" s="206"/>
      <c r="QH44" s="206"/>
      <c r="QI44" s="206"/>
      <c r="QJ44" s="206"/>
      <c r="QK44" s="206"/>
      <c r="QL44" s="206"/>
      <c r="QM44" s="206"/>
      <c r="QN44" s="206"/>
      <c r="QO44" s="206"/>
      <c r="QP44" s="206"/>
      <c r="QQ44" s="206"/>
      <c r="QR44" s="206"/>
      <c r="QS44" s="206"/>
      <c r="QT44" s="206"/>
      <c r="QU44" s="206"/>
      <c r="QV44" s="206"/>
      <c r="QW44" s="206"/>
      <c r="QX44" s="206"/>
      <c r="QY44" s="206"/>
      <c r="QZ44" s="206"/>
      <c r="RA44" s="206"/>
      <c r="RB44" s="206"/>
      <c r="RC44" s="206"/>
      <c r="RD44" s="206"/>
      <c r="RE44" s="206"/>
      <c r="RF44" s="206"/>
      <c r="RG44" s="206"/>
      <c r="RH44" s="206"/>
      <c r="RI44" s="206"/>
      <c r="RJ44" s="206"/>
      <c r="RK44" s="206"/>
      <c r="RL44" s="206"/>
      <c r="RM44" s="206"/>
      <c r="RN44" s="206"/>
      <c r="RO44" s="206"/>
      <c r="RP44" s="206"/>
      <c r="RQ44" s="206"/>
      <c r="RR44" s="206"/>
      <c r="RS44" s="206"/>
      <c r="RT44" s="206"/>
      <c r="RU44" s="206"/>
      <c r="RV44" s="206"/>
      <c r="RW44" s="206"/>
      <c r="RX44" s="206"/>
      <c r="RY44" s="206"/>
      <c r="RZ44" s="206"/>
      <c r="SA44" s="206"/>
      <c r="SB44" s="206"/>
      <c r="SC44" s="206"/>
      <c r="SD44" s="206"/>
      <c r="SE44" s="206"/>
      <c r="SF44" s="206"/>
      <c r="SG44" s="206"/>
      <c r="SH44" s="206"/>
      <c r="SI44" s="206"/>
      <c r="SJ44" s="206"/>
      <c r="SK44" s="206"/>
      <c r="SL44" s="206"/>
      <c r="SM44" s="206"/>
      <c r="SN44" s="206"/>
      <c r="SO44" s="206"/>
      <c r="SP44" s="206"/>
      <c r="SQ44" s="206"/>
      <c r="SR44" s="206"/>
      <c r="SS44" s="206"/>
      <c r="ST44" s="206"/>
      <c r="SU44" s="206"/>
      <c r="SV44" s="206"/>
      <c r="SW44" s="206"/>
      <c r="SX44" s="206"/>
      <c r="SY44" s="206"/>
      <c r="SZ44" s="206"/>
      <c r="TA44" s="206"/>
      <c r="TB44" s="206"/>
      <c r="TC44" s="206"/>
      <c r="TD44" s="206"/>
      <c r="TE44" s="206"/>
      <c r="TF44" s="206"/>
      <c r="TG44" s="206"/>
      <c r="TH44" s="206"/>
      <c r="TI44" s="206"/>
      <c r="TJ44" s="206"/>
      <c r="TK44" s="206"/>
      <c r="TL44" s="206"/>
      <c r="TM44" s="206"/>
      <c r="TN44" s="206"/>
      <c r="TO44" s="206"/>
      <c r="TP44" s="206"/>
      <c r="TQ44" s="206"/>
      <c r="TR44" s="206"/>
      <c r="TS44" s="206"/>
      <c r="TT44" s="206"/>
      <c r="TU44" s="206"/>
      <c r="TV44" s="206"/>
      <c r="TW44" s="206"/>
      <c r="TX44" s="206"/>
      <c r="TY44" s="206"/>
      <c r="TZ44" s="206"/>
      <c r="UA44" s="206"/>
      <c r="UB44" s="206"/>
      <c r="UC44" s="206"/>
      <c r="UD44" s="206"/>
      <c r="UE44" s="206"/>
      <c r="UF44" s="206"/>
      <c r="UG44" s="206"/>
      <c r="UH44" s="206"/>
      <c r="UI44" s="206"/>
      <c r="UJ44" s="206"/>
      <c r="UK44" s="206"/>
      <c r="UL44" s="206"/>
      <c r="UM44" s="206"/>
      <c r="UN44" s="206"/>
      <c r="UO44" s="206"/>
      <c r="UP44" s="206"/>
      <c r="UQ44" s="206"/>
      <c r="UR44" s="206"/>
      <c r="US44" s="206"/>
      <c r="UT44" s="206"/>
      <c r="UU44" s="206"/>
      <c r="UV44" s="206"/>
      <c r="UW44" s="206"/>
      <c r="UX44" s="206"/>
      <c r="UY44" s="206"/>
      <c r="UZ44" s="206"/>
      <c r="VA44" s="206"/>
      <c r="VB44" s="206"/>
      <c r="VC44" s="206"/>
      <c r="VD44" s="206"/>
      <c r="VE44" s="206"/>
      <c r="VF44" s="206"/>
      <c r="VG44" s="206"/>
      <c r="VH44" s="206"/>
      <c r="VI44" s="206"/>
      <c r="VJ44" s="206"/>
      <c r="VK44" s="206"/>
      <c r="VL44" s="206"/>
      <c r="VM44" s="206"/>
      <c r="VN44" s="206"/>
      <c r="VO44" s="206"/>
      <c r="VP44" s="206"/>
      <c r="VQ44" s="206"/>
      <c r="VR44" s="206"/>
      <c r="VS44" s="206"/>
      <c r="VT44" s="206"/>
      <c r="VU44" s="206"/>
      <c r="VV44" s="206"/>
      <c r="VW44" s="206"/>
      <c r="VX44" s="206"/>
      <c r="VY44" s="206"/>
      <c r="VZ44" s="206"/>
      <c r="WA44" s="206"/>
      <c r="WB44" s="206"/>
      <c r="WC44" s="206"/>
      <c r="WD44" s="206"/>
      <c r="WE44" s="206"/>
      <c r="WF44" s="206"/>
      <c r="WG44" s="206"/>
      <c r="WH44" s="206"/>
      <c r="WI44" s="206"/>
      <c r="WJ44" s="206"/>
      <c r="WK44" s="206"/>
      <c r="WL44" s="206"/>
      <c r="WM44" s="206"/>
      <c r="WN44" s="206"/>
      <c r="WO44" s="206"/>
      <c r="WP44" s="206"/>
      <c r="WQ44" s="206"/>
      <c r="WR44" s="206"/>
      <c r="WS44" s="206"/>
      <c r="WT44" s="206"/>
      <c r="WU44" s="206"/>
      <c r="WV44" s="206"/>
      <c r="WW44" s="206"/>
      <c r="WX44" s="206"/>
      <c r="WY44" s="206"/>
      <c r="WZ44" s="206"/>
      <c r="XA44" s="206"/>
      <c r="XB44" s="206"/>
      <c r="XC44" s="206"/>
      <c r="XD44" s="206"/>
      <c r="XE44" s="206"/>
      <c r="XF44" s="206"/>
      <c r="XG44" s="206"/>
      <c r="XH44" s="206"/>
      <c r="XI44" s="206"/>
      <c r="XJ44" s="206"/>
      <c r="XK44" s="206"/>
      <c r="XL44" s="206"/>
      <c r="XM44" s="206"/>
      <c r="XN44" s="206"/>
      <c r="XO44" s="206"/>
      <c r="XP44" s="206"/>
      <c r="XQ44" s="206"/>
      <c r="XR44" s="206"/>
      <c r="XS44" s="206"/>
      <c r="XT44" s="206"/>
      <c r="XU44" s="206"/>
      <c r="XV44" s="206"/>
      <c r="XW44" s="206"/>
      <c r="XX44" s="206"/>
      <c r="XY44" s="206"/>
      <c r="XZ44" s="206"/>
      <c r="YA44" s="206"/>
      <c r="YB44" s="206"/>
      <c r="YC44" s="206"/>
      <c r="YD44" s="206"/>
      <c r="YE44" s="206"/>
      <c r="YF44" s="206"/>
      <c r="YG44" s="206"/>
      <c r="YH44" s="206"/>
      <c r="YI44" s="206"/>
      <c r="YJ44" s="206"/>
      <c r="YK44" s="206"/>
      <c r="YL44" s="206"/>
      <c r="YM44" s="206"/>
      <c r="YN44" s="206"/>
      <c r="YO44" s="206"/>
      <c r="YP44" s="206"/>
      <c r="YQ44" s="206"/>
      <c r="YR44" s="206"/>
      <c r="YS44" s="206"/>
      <c r="YT44" s="206"/>
      <c r="YU44" s="206"/>
      <c r="YV44" s="206"/>
      <c r="YW44" s="206"/>
      <c r="YX44" s="206"/>
      <c r="YY44" s="206"/>
      <c r="YZ44" s="206"/>
      <c r="ZA44" s="206"/>
      <c r="ZB44" s="206"/>
      <c r="ZC44" s="206"/>
      <c r="ZD44" s="206"/>
      <c r="ZE44" s="206"/>
      <c r="ZF44" s="206"/>
      <c r="ZG44" s="206"/>
      <c r="ZH44" s="206"/>
      <c r="ZI44" s="206"/>
      <c r="ZJ44" s="206"/>
      <c r="ZK44" s="206"/>
      <c r="ZL44" s="206"/>
      <c r="ZM44" s="206"/>
      <c r="ZN44" s="206"/>
      <c r="ZO44" s="206"/>
      <c r="ZP44" s="206"/>
      <c r="ZQ44" s="206"/>
      <c r="ZR44" s="206"/>
      <c r="ZS44" s="206"/>
      <c r="ZT44" s="206"/>
      <c r="ZU44" s="206"/>
      <c r="ZV44" s="206"/>
      <c r="ZW44" s="206"/>
      <c r="ZX44" s="206"/>
      <c r="ZY44" s="206"/>
      <c r="ZZ44" s="206"/>
      <c r="AAA44" s="206"/>
      <c r="AAB44" s="206"/>
      <c r="AAC44" s="206"/>
      <c r="AAD44" s="206"/>
      <c r="AAE44" s="206"/>
      <c r="AAF44" s="206"/>
      <c r="AAG44" s="206"/>
      <c r="AAH44" s="206"/>
      <c r="AAI44" s="206"/>
      <c r="AAJ44" s="206"/>
      <c r="AAK44" s="206"/>
      <c r="AAL44" s="206"/>
      <c r="AAM44" s="206"/>
      <c r="AAN44" s="206"/>
      <c r="AAO44" s="206"/>
      <c r="AAP44" s="206"/>
      <c r="AAQ44" s="206"/>
      <c r="AAR44" s="206"/>
      <c r="AAS44" s="206"/>
      <c r="AAT44" s="206"/>
      <c r="AAU44" s="206"/>
      <c r="AAV44" s="206"/>
      <c r="AAW44" s="206"/>
      <c r="AAX44" s="206"/>
      <c r="AAY44" s="206"/>
      <c r="AAZ44" s="206"/>
      <c r="ABA44" s="206"/>
      <c r="ABB44" s="206"/>
      <c r="ABC44" s="206"/>
      <c r="ABD44" s="206"/>
      <c r="ABE44" s="206"/>
      <c r="ABF44" s="206"/>
      <c r="ABG44" s="206"/>
      <c r="ABH44" s="206"/>
      <c r="ABI44" s="206"/>
      <c r="ABJ44" s="206"/>
      <c r="ABK44" s="206"/>
      <c r="ABL44" s="206"/>
      <c r="ABM44" s="206"/>
      <c r="ABN44" s="206"/>
      <c r="ABO44" s="206"/>
      <c r="ABP44" s="206"/>
      <c r="ABQ44" s="206"/>
      <c r="ABR44" s="206"/>
      <c r="ABS44" s="206"/>
      <c r="ABT44" s="206"/>
      <c r="ABU44" s="206"/>
      <c r="ABV44" s="206"/>
      <c r="ABW44" s="206"/>
      <c r="ABX44" s="206"/>
      <c r="ABY44" s="206"/>
      <c r="ABZ44" s="206"/>
      <c r="ACA44" s="206"/>
      <c r="ACB44" s="206"/>
      <c r="ACC44" s="206"/>
      <c r="ACD44" s="206"/>
      <c r="ACE44" s="206"/>
      <c r="ACF44" s="206"/>
      <c r="ACG44" s="206"/>
      <c r="ACH44" s="206"/>
      <c r="ACI44" s="206"/>
      <c r="ACJ44" s="206"/>
      <c r="ACK44" s="206"/>
      <c r="ACL44" s="206"/>
      <c r="ACM44" s="206"/>
      <c r="ACN44" s="206"/>
      <c r="ACO44" s="206"/>
      <c r="ACP44" s="206"/>
      <c r="ACQ44" s="206"/>
      <c r="ACR44" s="206"/>
      <c r="ACS44" s="206"/>
      <c r="ACT44" s="206"/>
      <c r="ACU44" s="206"/>
      <c r="ACV44" s="206"/>
      <c r="ACW44" s="206"/>
      <c r="ACX44" s="206"/>
      <c r="ACY44" s="206"/>
      <c r="ACZ44" s="206"/>
      <c r="ADA44" s="206"/>
      <c r="ADB44" s="206"/>
      <c r="ADC44" s="206"/>
      <c r="ADD44" s="206"/>
      <c r="ADE44" s="206"/>
      <c r="ADF44" s="206"/>
      <c r="ADG44" s="206"/>
      <c r="ADH44" s="206"/>
      <c r="ADI44" s="206"/>
      <c r="ADJ44" s="206"/>
      <c r="ADK44" s="206"/>
      <c r="ADL44" s="206"/>
      <c r="ADM44" s="206"/>
      <c r="ADN44" s="206"/>
      <c r="ADO44" s="206"/>
      <c r="ADP44" s="206"/>
      <c r="ADQ44" s="206"/>
      <c r="ADR44" s="206"/>
      <c r="ADS44" s="206"/>
      <c r="ADT44" s="206"/>
      <c r="ADU44" s="206"/>
      <c r="ADV44" s="206"/>
      <c r="ADW44" s="206"/>
      <c r="ADX44" s="206"/>
      <c r="ADY44" s="206"/>
      <c r="ADZ44" s="206"/>
      <c r="AEA44" s="206"/>
      <c r="AEB44" s="206"/>
      <c r="AEC44" s="206"/>
      <c r="AED44" s="206"/>
      <c r="AEE44" s="206"/>
      <c r="AEF44" s="206"/>
      <c r="AEG44" s="206"/>
      <c r="AEH44" s="206"/>
      <c r="AEI44" s="206"/>
      <c r="AEJ44" s="206"/>
      <c r="AEK44" s="206"/>
      <c r="AEL44" s="206"/>
      <c r="AEM44" s="206"/>
      <c r="AEN44" s="206"/>
      <c r="AEO44" s="206"/>
      <c r="AEP44" s="206"/>
      <c r="AEQ44" s="206"/>
      <c r="AER44" s="206"/>
      <c r="AES44" s="206"/>
      <c r="AET44" s="206"/>
      <c r="AEU44" s="206"/>
      <c r="AEV44" s="206"/>
      <c r="AEW44" s="206"/>
      <c r="AEX44" s="206"/>
      <c r="AEY44" s="206"/>
      <c r="AEZ44" s="206"/>
      <c r="AFA44" s="206"/>
      <c r="AFB44" s="206"/>
      <c r="AFC44" s="206"/>
      <c r="AFD44" s="206"/>
      <c r="AFE44" s="206"/>
      <c r="AFF44" s="206"/>
      <c r="AFG44" s="206"/>
      <c r="AFH44" s="206"/>
      <c r="AFI44" s="206"/>
      <c r="AFJ44" s="206"/>
      <c r="AFK44" s="206"/>
      <c r="AFL44" s="206"/>
      <c r="AFM44" s="206"/>
      <c r="AFN44" s="206"/>
      <c r="AFO44" s="206"/>
      <c r="AFP44" s="206"/>
      <c r="AFQ44" s="206"/>
      <c r="AFR44" s="206"/>
      <c r="AFS44" s="206"/>
      <c r="AFT44" s="206"/>
      <c r="AFU44" s="206"/>
      <c r="AFV44" s="206"/>
      <c r="AFW44" s="206"/>
      <c r="AFX44" s="206"/>
      <c r="AFY44" s="206"/>
      <c r="AFZ44" s="206"/>
      <c r="AGA44" s="206"/>
      <c r="AGB44" s="206"/>
      <c r="AGC44" s="206"/>
      <c r="AGD44" s="206"/>
      <c r="AGE44" s="206"/>
      <c r="AGF44" s="206"/>
      <c r="AGG44" s="206"/>
      <c r="AGH44" s="206"/>
      <c r="AGI44" s="206"/>
      <c r="AGJ44" s="206"/>
      <c r="AGK44" s="206"/>
      <c r="AGL44" s="206"/>
      <c r="AGM44" s="206"/>
      <c r="AGN44" s="206"/>
      <c r="AGO44" s="206"/>
      <c r="AGP44" s="206"/>
      <c r="AGQ44" s="206"/>
      <c r="AGR44" s="206"/>
      <c r="AGS44" s="206"/>
      <c r="AGT44" s="206"/>
      <c r="AGU44" s="206"/>
      <c r="AGV44" s="206"/>
      <c r="AGW44" s="206"/>
      <c r="AGX44" s="206"/>
      <c r="AGY44" s="206"/>
      <c r="AGZ44" s="206"/>
      <c r="AHA44" s="206"/>
      <c r="AHB44" s="206"/>
      <c r="AHC44" s="206"/>
      <c r="AHD44" s="206"/>
      <c r="AHE44" s="206"/>
      <c r="AHF44" s="206"/>
      <c r="AHG44" s="206"/>
      <c r="AHH44" s="206"/>
      <c r="AHI44" s="206"/>
      <c r="AHJ44" s="206"/>
      <c r="AHK44" s="206"/>
      <c r="AHL44" s="206"/>
      <c r="AHM44" s="206"/>
      <c r="AHN44" s="206"/>
      <c r="AHO44" s="206"/>
      <c r="AHP44" s="206"/>
      <c r="AHQ44" s="206"/>
      <c r="AHR44" s="206"/>
      <c r="AHS44" s="206"/>
      <c r="AHT44" s="206"/>
      <c r="AHU44" s="206"/>
      <c r="AHV44" s="206"/>
      <c r="AHW44" s="206"/>
      <c r="AHX44" s="206"/>
      <c r="AHY44" s="206"/>
      <c r="AHZ44" s="206"/>
      <c r="AIA44" s="206"/>
      <c r="AIB44" s="206"/>
      <c r="AIC44" s="206"/>
      <c r="AID44" s="206"/>
      <c r="AIE44" s="206"/>
      <c r="AIF44" s="206"/>
      <c r="AIG44" s="206"/>
      <c r="AIH44" s="206"/>
      <c r="AII44" s="206"/>
      <c r="AIJ44" s="206"/>
      <c r="AIK44" s="206"/>
      <c r="AIL44" s="206"/>
      <c r="AIM44" s="206"/>
      <c r="AIN44" s="206"/>
      <c r="AIO44" s="206"/>
      <c r="AIP44" s="206"/>
      <c r="AIQ44" s="206"/>
      <c r="AIR44" s="206"/>
      <c r="AIS44" s="206"/>
      <c r="AIT44" s="206"/>
      <c r="AIU44" s="206"/>
      <c r="AIV44" s="206"/>
      <c r="AIW44" s="206"/>
      <c r="AIX44" s="206"/>
      <c r="AIY44" s="206"/>
      <c r="AIZ44" s="206"/>
      <c r="AJA44" s="206"/>
      <c r="AJB44" s="206"/>
      <c r="AJC44" s="206"/>
      <c r="AJD44" s="206"/>
      <c r="AJE44" s="206"/>
      <c r="AJF44" s="206"/>
      <c r="AJG44" s="206"/>
      <c r="AJH44" s="206"/>
      <c r="AJI44" s="206"/>
      <c r="AJJ44" s="206"/>
      <c r="AJK44" s="206"/>
      <c r="AJL44" s="206"/>
      <c r="AJM44" s="206"/>
      <c r="AJN44" s="206"/>
      <c r="AJO44" s="206"/>
      <c r="AJP44" s="206"/>
      <c r="AJQ44" s="206"/>
      <c r="AJR44" s="206"/>
      <c r="AJS44" s="206"/>
      <c r="AJT44" s="206"/>
      <c r="AJU44" s="206"/>
      <c r="AJV44" s="206"/>
      <c r="AJW44" s="206"/>
      <c r="AJX44" s="206"/>
      <c r="AJY44" s="206"/>
      <c r="AJZ44" s="206"/>
      <c r="AKA44" s="206"/>
      <c r="AKB44" s="206"/>
      <c r="AKC44" s="206"/>
      <c r="AKD44" s="206"/>
      <c r="AKE44" s="206"/>
      <c r="AKF44" s="206"/>
      <c r="AKG44" s="206"/>
      <c r="AKH44" s="206"/>
      <c r="AKI44" s="206"/>
      <c r="AKJ44" s="206"/>
      <c r="AKK44" s="206"/>
      <c r="AKL44" s="206"/>
      <c r="AKM44" s="206"/>
      <c r="AKN44" s="206"/>
      <c r="AKO44" s="206"/>
      <c r="AKP44" s="206"/>
      <c r="AKQ44" s="206"/>
      <c r="AKR44" s="206"/>
      <c r="AKS44" s="206"/>
      <c r="AKT44" s="206"/>
      <c r="AKU44" s="206"/>
      <c r="AKV44" s="206"/>
      <c r="AKW44" s="206"/>
      <c r="AKX44" s="206"/>
      <c r="AKY44" s="206"/>
      <c r="AKZ44" s="206"/>
      <c r="ALA44" s="206"/>
      <c r="ALB44" s="206"/>
      <c r="ALC44" s="206"/>
      <c r="ALD44" s="206"/>
      <c r="ALE44" s="206"/>
      <c r="ALF44" s="206"/>
      <c r="ALG44" s="206"/>
      <c r="ALH44" s="206"/>
      <c r="ALI44" s="206"/>
      <c r="ALJ44" s="206"/>
      <c r="ALK44" s="206"/>
      <c r="ALL44" s="206"/>
      <c r="ALM44" s="206"/>
      <c r="ALN44" s="206"/>
      <c r="ALO44" s="206"/>
      <c r="ALP44" s="206"/>
      <c r="ALQ44" s="206"/>
      <c r="ALR44" s="206"/>
      <c r="ALS44" s="206"/>
      <c r="ALT44" s="206"/>
      <c r="ALU44" s="206"/>
      <c r="ALV44" s="206"/>
      <c r="ALW44" s="206"/>
      <c r="ALX44" s="206"/>
      <c r="ALY44" s="206"/>
      <c r="ALZ44" s="206"/>
      <c r="AMA44" s="206"/>
      <c r="AMB44" s="206"/>
      <c r="AMC44" s="206"/>
      <c r="AMD44" s="206"/>
      <c r="AME44" s="206"/>
      <c r="AMF44" s="206"/>
      <c r="AMG44" s="206"/>
      <c r="AMH44" s="206"/>
      <c r="AMI44" s="206"/>
      <c r="AMJ44" s="206"/>
      <c r="AMK44" s="206"/>
      <c r="AML44" s="206"/>
      <c r="AMM44" s="206"/>
      <c r="AMN44" s="206"/>
      <c r="AMO44" s="206"/>
      <c r="AMP44" s="206"/>
      <c r="AMQ44" s="206"/>
      <c r="AMR44" s="206"/>
      <c r="AMS44" s="206"/>
      <c r="AMT44" s="206"/>
      <c r="AMU44" s="206"/>
      <c r="AMV44" s="206"/>
      <c r="AMW44" s="206"/>
      <c r="AMX44" s="206"/>
      <c r="AMY44" s="206"/>
      <c r="AMZ44" s="206"/>
      <c r="ANA44" s="206"/>
      <c r="ANB44" s="206"/>
      <c r="ANC44" s="206"/>
      <c r="AND44" s="206"/>
      <c r="ANE44" s="206"/>
      <c r="ANF44" s="206"/>
      <c r="ANG44" s="206"/>
      <c r="ANH44" s="206"/>
      <c r="ANI44" s="206"/>
      <c r="ANJ44" s="206"/>
      <c r="ANK44" s="206"/>
      <c r="ANL44" s="206"/>
      <c r="ANM44" s="206"/>
      <c r="ANN44" s="206"/>
      <c r="ANO44" s="206"/>
      <c r="ANP44" s="206"/>
      <c r="ANQ44" s="206"/>
      <c r="ANR44" s="206"/>
      <c r="ANS44" s="206"/>
      <c r="ANT44" s="206"/>
      <c r="ANU44" s="206"/>
      <c r="ANV44" s="206"/>
      <c r="ANW44" s="206"/>
      <c r="ANX44" s="206"/>
      <c r="ANY44" s="206"/>
      <c r="ANZ44" s="206"/>
      <c r="AOA44" s="206"/>
      <c r="AOB44" s="206"/>
      <c r="AOC44" s="206"/>
      <c r="AOD44" s="206"/>
      <c r="AOE44" s="206"/>
      <c r="AOF44" s="206"/>
      <c r="AOG44" s="206"/>
      <c r="AOH44" s="206"/>
      <c r="AOI44" s="206"/>
      <c r="AOJ44" s="206"/>
      <c r="AOK44" s="206"/>
      <c r="AOL44" s="206"/>
      <c r="AOM44" s="206"/>
      <c r="AON44" s="206"/>
      <c r="AOO44" s="206"/>
      <c r="AOP44" s="206"/>
      <c r="AOQ44" s="206"/>
      <c r="AOR44" s="206"/>
      <c r="AOS44" s="206"/>
      <c r="AOT44" s="206"/>
      <c r="AOU44" s="206"/>
      <c r="AOV44" s="206"/>
      <c r="AOW44" s="206"/>
      <c r="AOX44" s="206"/>
      <c r="AOY44" s="206"/>
      <c r="AOZ44" s="206"/>
      <c r="APA44" s="206"/>
      <c r="APB44" s="206"/>
      <c r="APC44" s="206"/>
      <c r="APD44" s="206"/>
      <c r="APE44" s="206"/>
      <c r="APF44" s="206"/>
      <c r="APG44" s="206"/>
      <c r="APH44" s="206"/>
      <c r="API44" s="206"/>
      <c r="APJ44" s="206"/>
      <c r="APK44" s="206"/>
      <c r="APL44" s="206"/>
      <c r="APM44" s="206"/>
      <c r="APN44" s="206"/>
      <c r="APO44" s="206"/>
      <c r="APP44" s="206"/>
      <c r="APQ44" s="206"/>
      <c r="APR44" s="206"/>
      <c r="APS44" s="206"/>
      <c r="APT44" s="206"/>
      <c r="APU44" s="206"/>
      <c r="APV44" s="206"/>
      <c r="APW44" s="206"/>
      <c r="APX44" s="206"/>
      <c r="APY44" s="206"/>
      <c r="APZ44" s="206"/>
      <c r="AQA44" s="206"/>
      <c r="AQB44" s="206"/>
      <c r="AQC44" s="206"/>
      <c r="AQD44" s="206"/>
      <c r="AQE44" s="206"/>
      <c r="AQF44" s="206"/>
      <c r="AQG44" s="206"/>
      <c r="AQH44" s="206"/>
      <c r="AQI44" s="206"/>
      <c r="AQJ44" s="206"/>
      <c r="AQK44" s="206"/>
      <c r="AQL44" s="206"/>
      <c r="AQM44" s="206"/>
      <c r="AQN44" s="206"/>
      <c r="AQO44" s="206"/>
      <c r="AQP44" s="206"/>
      <c r="AQQ44" s="206"/>
      <c r="AQR44" s="206"/>
      <c r="AQS44" s="206"/>
      <c r="AQT44" s="206"/>
      <c r="AQU44" s="206"/>
      <c r="AQV44" s="206"/>
      <c r="AQW44" s="206"/>
      <c r="AQX44" s="206"/>
      <c r="AQY44" s="206"/>
      <c r="AQZ44" s="206"/>
      <c r="ARA44" s="206"/>
      <c r="ARB44" s="206"/>
      <c r="ARC44" s="206"/>
      <c r="ARD44" s="206"/>
      <c r="ARE44" s="206"/>
      <c r="ARF44" s="206"/>
      <c r="ARG44" s="206"/>
      <c r="ARH44" s="206"/>
      <c r="ARI44" s="206"/>
      <c r="ARJ44" s="206"/>
      <c r="ARK44" s="206"/>
      <c r="ARL44" s="206"/>
      <c r="ARM44" s="206"/>
      <c r="ARN44" s="206"/>
      <c r="ARO44" s="206"/>
      <c r="ARP44" s="206"/>
      <c r="ARQ44" s="206"/>
      <c r="ARR44" s="206"/>
      <c r="ARS44" s="206"/>
      <c r="ART44" s="206"/>
      <c r="ARU44" s="206"/>
      <c r="ARV44" s="206"/>
      <c r="ARW44" s="206"/>
      <c r="ARX44" s="206"/>
      <c r="ARY44" s="206"/>
      <c r="ARZ44" s="206"/>
      <c r="ASA44" s="206"/>
      <c r="ASB44" s="206"/>
      <c r="ASC44" s="206"/>
      <c r="ASD44" s="206"/>
      <c r="ASE44" s="206"/>
      <c r="ASF44" s="206"/>
      <c r="ASG44" s="206"/>
      <c r="ASH44" s="206"/>
      <c r="ASI44" s="206"/>
      <c r="ASJ44" s="206"/>
      <c r="ASK44" s="206"/>
      <c r="ASL44" s="206"/>
      <c r="ASM44" s="206"/>
      <c r="ASN44" s="206"/>
      <c r="ASO44" s="206"/>
      <c r="ASP44" s="206"/>
      <c r="ASQ44" s="206"/>
      <c r="ASR44" s="206"/>
      <c r="ASS44" s="206"/>
      <c r="AST44" s="206"/>
      <c r="ASU44" s="206"/>
      <c r="ASV44" s="206"/>
      <c r="ASW44" s="206"/>
      <c r="ASX44" s="206"/>
      <c r="ASY44" s="206"/>
      <c r="ASZ44" s="206"/>
      <c r="ATA44" s="206"/>
      <c r="ATB44" s="206"/>
      <c r="ATC44" s="206"/>
      <c r="ATD44" s="206"/>
      <c r="ATE44" s="206"/>
      <c r="ATF44" s="206"/>
      <c r="ATG44" s="206"/>
      <c r="ATH44" s="206"/>
      <c r="ATI44" s="206"/>
      <c r="ATJ44" s="206"/>
      <c r="ATK44" s="206"/>
      <c r="ATL44" s="206"/>
      <c r="ATM44" s="206"/>
      <c r="ATN44" s="206"/>
      <c r="ATO44" s="206"/>
      <c r="ATP44" s="206"/>
      <c r="ATQ44" s="206"/>
      <c r="ATR44" s="206"/>
      <c r="ATS44" s="206"/>
      <c r="ATT44" s="206"/>
      <c r="ATU44" s="206"/>
      <c r="ATV44" s="206"/>
      <c r="ATW44" s="206"/>
      <c r="ATX44" s="206"/>
      <c r="ATY44" s="206"/>
      <c r="ATZ44" s="206"/>
      <c r="AUA44" s="206"/>
      <c r="AUB44" s="206"/>
      <c r="AUC44" s="206"/>
      <c r="AUD44" s="206"/>
      <c r="AUE44" s="206"/>
      <c r="AUF44" s="206"/>
      <c r="AUG44" s="206"/>
      <c r="AUH44" s="206"/>
      <c r="AUI44" s="206"/>
      <c r="AUJ44" s="206"/>
      <c r="AUK44" s="206"/>
      <c r="AUL44" s="206"/>
      <c r="AUM44" s="206"/>
      <c r="AUN44" s="206"/>
      <c r="AUO44" s="206"/>
      <c r="AUP44" s="206"/>
      <c r="AUQ44" s="206"/>
      <c r="AUR44" s="206"/>
      <c r="AUS44" s="206"/>
      <c r="AUT44" s="206"/>
      <c r="AUU44" s="206"/>
      <c r="AUV44" s="206"/>
      <c r="AUW44" s="206"/>
      <c r="AUX44" s="206"/>
      <c r="AUY44" s="206"/>
      <c r="AUZ44" s="206"/>
      <c r="AVA44" s="206"/>
      <c r="AVB44" s="206"/>
      <c r="AVC44" s="206"/>
      <c r="AVD44" s="206"/>
      <c r="AVE44" s="206"/>
      <c r="AVF44" s="206"/>
      <c r="AVG44" s="206"/>
      <c r="AVH44" s="206"/>
      <c r="AVI44" s="206"/>
      <c r="AVJ44" s="206"/>
      <c r="AVK44" s="206"/>
      <c r="AVL44" s="206"/>
      <c r="AVM44" s="206"/>
      <c r="AVN44" s="206"/>
      <c r="AVO44" s="206"/>
      <c r="AVP44" s="206"/>
      <c r="AVQ44" s="206"/>
      <c r="AVR44" s="206"/>
      <c r="AVS44" s="206"/>
      <c r="AVT44" s="206"/>
      <c r="AVU44" s="206"/>
      <c r="AVV44" s="206"/>
      <c r="AVW44" s="206"/>
      <c r="AVX44" s="206"/>
      <c r="AVY44" s="206"/>
      <c r="AVZ44" s="206"/>
      <c r="AWA44" s="206"/>
      <c r="AWB44" s="206"/>
      <c r="AWC44" s="206"/>
      <c r="AWD44" s="206"/>
      <c r="AWE44" s="206"/>
      <c r="AWF44" s="206"/>
      <c r="AWG44" s="206"/>
      <c r="AWH44" s="206"/>
      <c r="AWI44" s="206"/>
      <c r="AWJ44" s="206"/>
      <c r="AWK44" s="206"/>
      <c r="AWL44" s="206"/>
      <c r="AWM44" s="206"/>
      <c r="AWN44" s="206"/>
      <c r="AWO44" s="206"/>
      <c r="AWP44" s="206"/>
      <c r="AWQ44" s="206"/>
      <c r="AWR44" s="206"/>
      <c r="AWS44" s="206"/>
      <c r="AWT44" s="206"/>
      <c r="AWU44" s="206"/>
      <c r="AWV44" s="206"/>
      <c r="AWW44" s="206"/>
      <c r="AWX44" s="206"/>
      <c r="AWY44" s="206"/>
      <c r="AWZ44" s="206"/>
      <c r="AXA44" s="206"/>
      <c r="AXB44" s="206"/>
      <c r="AXC44" s="206"/>
      <c r="AXD44" s="206"/>
      <c r="AXE44" s="206"/>
      <c r="AXF44" s="206"/>
      <c r="AXG44" s="206"/>
      <c r="AXH44" s="206"/>
      <c r="AXI44" s="206"/>
      <c r="AXJ44" s="206"/>
      <c r="AXK44" s="206"/>
      <c r="AXL44" s="206"/>
      <c r="AXM44" s="206"/>
      <c r="AXN44" s="206"/>
      <c r="AXO44" s="206"/>
      <c r="AXP44" s="206"/>
      <c r="AXQ44" s="206"/>
      <c r="AXR44" s="206"/>
      <c r="AXS44" s="206"/>
      <c r="AXT44" s="206"/>
      <c r="AXU44" s="206"/>
      <c r="AXV44" s="206"/>
      <c r="AXW44" s="206"/>
      <c r="AXX44" s="206"/>
      <c r="AXY44" s="206"/>
      <c r="AXZ44" s="206"/>
      <c r="AYA44" s="206"/>
      <c r="AYB44" s="206"/>
      <c r="AYC44" s="206"/>
      <c r="AYD44" s="206"/>
      <c r="AYE44" s="206"/>
      <c r="AYF44" s="206"/>
      <c r="AYG44" s="206"/>
      <c r="AYH44" s="206"/>
      <c r="AYI44" s="206"/>
      <c r="AYJ44" s="206"/>
      <c r="AYK44" s="206"/>
      <c r="AYL44" s="206"/>
      <c r="AYM44" s="206"/>
      <c r="AYN44" s="206"/>
      <c r="AYO44" s="206"/>
      <c r="AYP44" s="206"/>
      <c r="AYQ44" s="206"/>
      <c r="AYR44" s="206"/>
      <c r="AYS44" s="206"/>
      <c r="AYT44" s="206"/>
      <c r="AYU44" s="206"/>
      <c r="AYV44" s="206"/>
      <c r="AYW44" s="206"/>
      <c r="AYX44" s="206"/>
      <c r="AYY44" s="206"/>
      <c r="AYZ44" s="206"/>
      <c r="AZA44" s="206"/>
      <c r="AZB44" s="206"/>
      <c r="AZC44" s="206"/>
      <c r="AZD44" s="206"/>
      <c r="AZE44" s="206"/>
      <c r="AZF44" s="206"/>
      <c r="AZG44" s="206"/>
      <c r="AZH44" s="206"/>
      <c r="AZI44" s="206"/>
      <c r="AZJ44" s="206"/>
      <c r="AZK44" s="206"/>
      <c r="AZL44" s="206"/>
      <c r="AZM44" s="206"/>
      <c r="AZN44" s="206"/>
      <c r="AZO44" s="206"/>
      <c r="AZP44" s="206"/>
      <c r="AZQ44" s="206"/>
      <c r="AZR44" s="206"/>
      <c r="AZS44" s="206"/>
      <c r="AZT44" s="206"/>
      <c r="AZU44" s="206"/>
      <c r="AZV44" s="206"/>
      <c r="AZW44" s="206"/>
      <c r="AZX44" s="206"/>
      <c r="AZY44" s="206"/>
      <c r="AZZ44" s="206"/>
      <c r="BAA44" s="206"/>
      <c r="BAB44" s="206"/>
      <c r="BAC44" s="206"/>
      <c r="BAD44" s="206"/>
      <c r="BAE44" s="206"/>
      <c r="BAF44" s="206"/>
      <c r="BAG44" s="206"/>
      <c r="BAH44" s="206"/>
      <c r="BAI44" s="206"/>
      <c r="BAJ44" s="206"/>
      <c r="BAK44" s="206"/>
      <c r="BAL44" s="206"/>
      <c r="BAM44" s="206"/>
      <c r="BAN44" s="206"/>
      <c r="BAO44" s="206"/>
      <c r="BAP44" s="206"/>
      <c r="BAQ44" s="206"/>
      <c r="BAR44" s="206"/>
      <c r="BAS44" s="206"/>
      <c r="BAT44" s="206"/>
      <c r="BAU44" s="206"/>
      <c r="BAV44" s="206"/>
      <c r="BAW44" s="206"/>
      <c r="BAX44" s="206"/>
      <c r="BAY44" s="206"/>
      <c r="BAZ44" s="206"/>
      <c r="BBA44" s="206"/>
      <c r="BBB44" s="206"/>
      <c r="BBC44" s="206"/>
      <c r="BBD44" s="206"/>
      <c r="BBE44" s="206"/>
      <c r="BBF44" s="206"/>
      <c r="BBG44" s="206"/>
      <c r="BBH44" s="206"/>
      <c r="BBI44" s="206"/>
      <c r="BBJ44" s="206"/>
      <c r="BBK44" s="206"/>
      <c r="BBL44" s="206"/>
      <c r="BBM44" s="206"/>
      <c r="BBN44" s="206"/>
      <c r="BBO44" s="206"/>
      <c r="BBP44" s="206"/>
      <c r="BBQ44" s="206"/>
      <c r="BBR44" s="206"/>
      <c r="BBS44" s="206"/>
      <c r="BBT44" s="206"/>
      <c r="BBU44" s="206"/>
      <c r="BBV44" s="206"/>
      <c r="BBW44" s="206"/>
      <c r="BBX44" s="206"/>
      <c r="BBY44" s="206"/>
      <c r="BBZ44" s="206"/>
      <c r="BCA44" s="206"/>
      <c r="BCB44" s="206"/>
      <c r="BCC44" s="206"/>
      <c r="BCD44" s="206"/>
      <c r="BCE44" s="206"/>
      <c r="BCF44" s="206"/>
      <c r="BCG44" s="206"/>
      <c r="BCH44" s="206"/>
      <c r="BCI44" s="206"/>
      <c r="BCJ44" s="206"/>
      <c r="BCK44" s="206"/>
      <c r="BCL44" s="206"/>
      <c r="BCM44" s="206"/>
      <c r="BCN44" s="206"/>
      <c r="BCO44" s="206"/>
      <c r="BCP44" s="206"/>
      <c r="BCQ44" s="206"/>
      <c r="BCR44" s="206"/>
      <c r="BCS44" s="206"/>
      <c r="BCT44" s="206"/>
      <c r="BCU44" s="206"/>
      <c r="BCV44" s="206"/>
      <c r="BCW44" s="206"/>
      <c r="BCX44" s="206"/>
      <c r="BCY44" s="206"/>
      <c r="BCZ44" s="206"/>
      <c r="BDA44" s="206"/>
      <c r="BDB44" s="206"/>
      <c r="BDC44" s="206"/>
      <c r="BDD44" s="206"/>
      <c r="BDE44" s="206"/>
      <c r="BDF44" s="206"/>
      <c r="BDG44" s="206"/>
      <c r="BDH44" s="206"/>
      <c r="BDI44" s="206"/>
      <c r="BDJ44" s="206"/>
      <c r="BDK44" s="206"/>
      <c r="BDL44" s="206"/>
      <c r="BDM44" s="206"/>
      <c r="BDN44" s="206"/>
      <c r="BDO44" s="206"/>
      <c r="BDP44" s="206"/>
      <c r="BDQ44" s="206"/>
      <c r="BDR44" s="206"/>
      <c r="BDS44" s="206"/>
      <c r="BDT44" s="206"/>
      <c r="BDU44" s="206"/>
      <c r="BDV44" s="206"/>
      <c r="BDW44" s="206"/>
      <c r="BDX44" s="206"/>
      <c r="BDY44" s="206"/>
      <c r="BDZ44" s="206"/>
      <c r="BEA44" s="206"/>
      <c r="BEB44" s="206"/>
      <c r="BEC44" s="206"/>
      <c r="BED44" s="206"/>
      <c r="BEE44" s="206"/>
      <c r="BEF44" s="206"/>
      <c r="BEG44" s="206"/>
      <c r="BEH44" s="206"/>
      <c r="BEI44" s="206"/>
      <c r="BEJ44" s="206"/>
      <c r="BEK44" s="206"/>
      <c r="BEL44" s="206"/>
      <c r="BEM44" s="206"/>
      <c r="BEN44" s="206"/>
      <c r="BEO44" s="206"/>
      <c r="BEP44" s="206"/>
      <c r="BEQ44" s="206"/>
      <c r="BER44" s="206"/>
      <c r="BES44" s="206"/>
      <c r="BET44" s="206"/>
      <c r="BEU44" s="206"/>
      <c r="BEV44" s="206"/>
      <c r="BEW44" s="206"/>
      <c r="BEX44" s="206"/>
      <c r="BEY44" s="206"/>
      <c r="BEZ44" s="206"/>
      <c r="BFA44" s="206"/>
      <c r="BFB44" s="206"/>
      <c r="BFC44" s="206"/>
      <c r="BFD44" s="206"/>
      <c r="BFE44" s="206"/>
      <c r="BFF44" s="206"/>
      <c r="BFG44" s="206"/>
      <c r="BFH44" s="206"/>
      <c r="BFI44" s="206"/>
      <c r="BFJ44" s="206"/>
      <c r="BFK44" s="206"/>
      <c r="BFL44" s="206"/>
      <c r="BFM44" s="206"/>
      <c r="BFN44" s="206"/>
      <c r="BFO44" s="206"/>
      <c r="BFP44" s="206"/>
      <c r="BFQ44" s="206"/>
      <c r="BFR44" s="206"/>
      <c r="BFS44" s="206"/>
      <c r="BFT44" s="206"/>
      <c r="BFU44" s="206"/>
      <c r="BFV44" s="206"/>
      <c r="BFW44" s="206"/>
      <c r="BFX44" s="206"/>
      <c r="BFY44" s="206"/>
      <c r="BFZ44" s="206"/>
      <c r="BGA44" s="206"/>
      <c r="BGB44" s="206"/>
      <c r="BGC44" s="206"/>
      <c r="BGD44" s="206"/>
      <c r="BGE44" s="206"/>
      <c r="BGF44" s="206"/>
      <c r="BGG44" s="206"/>
      <c r="BGH44" s="206"/>
      <c r="BGI44" s="206"/>
      <c r="BGJ44" s="206"/>
      <c r="BGK44" s="206"/>
      <c r="BGL44" s="206"/>
      <c r="BGM44" s="206"/>
      <c r="BGN44" s="206"/>
      <c r="BGO44" s="206"/>
      <c r="BGP44" s="206"/>
      <c r="BGQ44" s="206"/>
      <c r="BGR44" s="206"/>
      <c r="BGS44" s="206"/>
      <c r="BGT44" s="206"/>
      <c r="BGU44" s="206"/>
      <c r="BGV44" s="206"/>
      <c r="BGW44" s="206"/>
      <c r="BGX44" s="206"/>
      <c r="BGY44" s="206"/>
      <c r="BGZ44" s="206"/>
      <c r="BHA44" s="206"/>
      <c r="BHB44" s="206"/>
      <c r="BHC44" s="206"/>
      <c r="BHD44" s="206"/>
      <c r="BHE44" s="206"/>
      <c r="BHF44" s="206"/>
      <c r="BHG44" s="206"/>
      <c r="BHH44" s="206"/>
      <c r="BHI44" s="206"/>
      <c r="BHJ44" s="206"/>
      <c r="BHK44" s="206"/>
      <c r="BHL44" s="206"/>
      <c r="BHM44" s="206"/>
      <c r="BHN44" s="206"/>
      <c r="BHO44" s="206"/>
      <c r="BHP44" s="206"/>
      <c r="BHQ44" s="206"/>
      <c r="BHR44" s="206"/>
      <c r="BHS44" s="206"/>
      <c r="BHT44" s="206"/>
      <c r="BHU44" s="206"/>
      <c r="BHV44" s="206"/>
      <c r="BHW44" s="206"/>
      <c r="BHX44" s="206"/>
      <c r="BHY44" s="206"/>
      <c r="BHZ44" s="206"/>
      <c r="BIA44" s="206"/>
      <c r="BIB44" s="206"/>
      <c r="BIC44" s="206"/>
      <c r="BID44" s="206"/>
      <c r="BIE44" s="206"/>
      <c r="BIF44" s="206"/>
      <c r="BIG44" s="206"/>
      <c r="BIH44" s="206"/>
      <c r="BII44" s="206"/>
      <c r="BIJ44" s="206"/>
      <c r="BIK44" s="206"/>
      <c r="BIL44" s="206"/>
      <c r="BIM44" s="206"/>
      <c r="BIN44" s="206"/>
      <c r="BIO44" s="206"/>
      <c r="BIP44" s="206"/>
      <c r="BIQ44" s="206"/>
      <c r="BIR44" s="206"/>
      <c r="BIS44" s="206"/>
      <c r="BIT44" s="206"/>
      <c r="BIU44" s="206"/>
      <c r="BIV44" s="206"/>
      <c r="BIW44" s="206"/>
      <c r="BIX44" s="206"/>
      <c r="BIY44" s="206"/>
      <c r="BIZ44" s="206"/>
      <c r="BJA44" s="206"/>
      <c r="BJB44" s="206"/>
      <c r="BJC44" s="206"/>
      <c r="BJD44" s="206"/>
      <c r="BJE44" s="206"/>
      <c r="BJF44" s="206"/>
      <c r="BJG44" s="206"/>
      <c r="BJH44" s="206"/>
      <c r="BJI44" s="206"/>
      <c r="BJJ44" s="206"/>
      <c r="BJK44" s="206"/>
      <c r="BJL44" s="206"/>
      <c r="BJM44" s="206"/>
      <c r="BJN44" s="206"/>
      <c r="BJO44" s="206"/>
      <c r="BJP44" s="206"/>
      <c r="BJQ44" s="206"/>
      <c r="BJR44" s="206"/>
      <c r="BJS44" s="206"/>
      <c r="BJT44" s="206"/>
      <c r="BJU44" s="206"/>
      <c r="BJV44" s="206"/>
      <c r="BJW44" s="206"/>
      <c r="BJX44" s="206"/>
      <c r="BJY44" s="206"/>
      <c r="BJZ44" s="206"/>
      <c r="BKA44" s="206"/>
      <c r="BKB44" s="206"/>
      <c r="BKC44" s="206"/>
      <c r="BKD44" s="206"/>
      <c r="BKE44" s="206"/>
      <c r="BKF44" s="206"/>
      <c r="BKG44" s="206"/>
      <c r="BKH44" s="206"/>
      <c r="BKI44" s="206"/>
      <c r="BKJ44" s="206"/>
      <c r="BKK44" s="206"/>
      <c r="BKL44" s="206"/>
      <c r="BKM44" s="206"/>
      <c r="BKN44" s="206"/>
      <c r="BKO44" s="206"/>
      <c r="BKP44" s="206"/>
      <c r="BKQ44" s="206"/>
      <c r="BKR44" s="206"/>
      <c r="BKS44" s="206"/>
      <c r="BKT44" s="206"/>
      <c r="BKU44" s="206"/>
      <c r="BKV44" s="206"/>
      <c r="BKW44" s="206"/>
      <c r="BKX44" s="206"/>
      <c r="BKY44" s="206"/>
      <c r="BKZ44" s="206"/>
      <c r="BLA44" s="206"/>
      <c r="BLB44" s="206"/>
      <c r="BLC44" s="206"/>
      <c r="BLD44" s="206"/>
      <c r="BLE44" s="206"/>
      <c r="BLF44" s="206"/>
      <c r="BLG44" s="206"/>
      <c r="BLH44" s="206"/>
      <c r="BLI44" s="206"/>
      <c r="BLJ44" s="206"/>
      <c r="BLK44" s="206"/>
      <c r="BLL44" s="206"/>
      <c r="BLM44" s="206"/>
      <c r="BLN44" s="206"/>
      <c r="BLO44" s="206"/>
      <c r="BLP44" s="206"/>
      <c r="BLQ44" s="206"/>
      <c r="BLR44" s="206"/>
      <c r="BLS44" s="206"/>
      <c r="BLT44" s="206"/>
      <c r="BLU44" s="206"/>
      <c r="BLV44" s="206"/>
      <c r="BLW44" s="206"/>
      <c r="BLX44" s="206"/>
      <c r="BLY44" s="206"/>
      <c r="BLZ44" s="206"/>
      <c r="BMA44" s="206"/>
      <c r="BMB44" s="206"/>
      <c r="BMC44" s="206"/>
      <c r="BMD44" s="206"/>
      <c r="BME44" s="206"/>
      <c r="BMF44" s="206"/>
      <c r="BMG44" s="206"/>
      <c r="BMH44" s="206"/>
      <c r="BMI44" s="206"/>
      <c r="BMJ44" s="206"/>
      <c r="BMK44" s="206"/>
      <c r="BML44" s="206"/>
      <c r="BMM44" s="206"/>
      <c r="BMN44" s="206"/>
      <c r="BMO44" s="206"/>
      <c r="BMP44" s="206"/>
      <c r="BMQ44" s="206"/>
      <c r="BMR44" s="206"/>
      <c r="BMS44" s="206"/>
      <c r="BMT44" s="206"/>
      <c r="BMU44" s="206"/>
      <c r="BMV44" s="206"/>
      <c r="BMW44" s="206"/>
      <c r="BMX44" s="206"/>
      <c r="BMY44" s="206"/>
      <c r="BMZ44" s="206"/>
      <c r="BNA44" s="206"/>
      <c r="BNB44" s="206"/>
      <c r="BNC44" s="206"/>
      <c r="BND44" s="206"/>
      <c r="BNE44" s="206"/>
      <c r="BNF44" s="206"/>
      <c r="BNG44" s="206"/>
      <c r="BNH44" s="206"/>
      <c r="BNI44" s="206"/>
      <c r="BNJ44" s="206"/>
      <c r="BNK44" s="206"/>
      <c r="BNL44" s="206"/>
      <c r="BNM44" s="206"/>
      <c r="BNN44" s="206"/>
      <c r="BNO44" s="206"/>
      <c r="BNP44" s="206"/>
      <c r="BNQ44" s="206"/>
      <c r="BNR44" s="206"/>
      <c r="BNS44" s="206"/>
      <c r="BNT44" s="206"/>
      <c r="BNU44" s="206"/>
      <c r="BNV44" s="206"/>
      <c r="BNW44" s="206"/>
      <c r="BNX44" s="206"/>
      <c r="BNY44" s="206"/>
      <c r="BNZ44" s="206"/>
      <c r="BOA44" s="206"/>
      <c r="BOB44" s="206"/>
      <c r="BOC44" s="206"/>
      <c r="BOD44" s="206"/>
      <c r="BOE44" s="206"/>
      <c r="BOF44" s="206"/>
      <c r="BOG44" s="206"/>
      <c r="BOH44" s="206"/>
      <c r="BOI44" s="206"/>
      <c r="BOJ44" s="206"/>
      <c r="BOK44" s="206"/>
      <c r="BOL44" s="206"/>
      <c r="BOM44" s="206"/>
      <c r="BON44" s="206"/>
      <c r="BOO44" s="206"/>
      <c r="BOP44" s="206"/>
      <c r="BOQ44" s="206"/>
      <c r="BOR44" s="206"/>
      <c r="BOS44" s="206"/>
      <c r="BOT44" s="206"/>
      <c r="BOU44" s="206"/>
      <c r="BOV44" s="206"/>
      <c r="BOW44" s="206"/>
      <c r="BOX44" s="206"/>
      <c r="BOY44" s="206"/>
      <c r="BOZ44" s="206"/>
      <c r="BPA44" s="206"/>
      <c r="BPB44" s="206"/>
      <c r="BPC44" s="206"/>
      <c r="BPD44" s="206"/>
      <c r="BPE44" s="206"/>
      <c r="BPF44" s="206"/>
      <c r="BPG44" s="206"/>
      <c r="BPH44" s="206"/>
      <c r="BPI44" s="206"/>
      <c r="BPJ44" s="206"/>
      <c r="BPK44" s="206"/>
      <c r="BPL44" s="206"/>
      <c r="BPM44" s="206"/>
      <c r="BPN44" s="206"/>
      <c r="BPO44" s="206"/>
      <c r="BPP44" s="206"/>
      <c r="BPQ44" s="206"/>
      <c r="BPR44" s="206"/>
      <c r="BPS44" s="206"/>
      <c r="BPT44" s="206"/>
      <c r="BPU44" s="206"/>
      <c r="BPV44" s="206"/>
      <c r="BPW44" s="206"/>
      <c r="BPX44" s="206"/>
      <c r="BPY44" s="206"/>
      <c r="BPZ44" s="206"/>
      <c r="BQA44" s="206"/>
      <c r="BQB44" s="206"/>
      <c r="BQC44" s="206"/>
      <c r="BQD44" s="206"/>
      <c r="BQE44" s="206"/>
      <c r="BQF44" s="206"/>
      <c r="BQG44" s="206"/>
      <c r="BQH44" s="206"/>
      <c r="BQI44" s="206"/>
      <c r="BQJ44" s="206"/>
      <c r="BQK44" s="206"/>
      <c r="BQL44" s="206"/>
      <c r="BQM44" s="206"/>
      <c r="BQN44" s="206"/>
      <c r="BQO44" s="206"/>
      <c r="BQP44" s="206"/>
      <c r="BQQ44" s="206"/>
      <c r="BQR44" s="206"/>
      <c r="BQS44" s="206"/>
      <c r="BQT44" s="206"/>
      <c r="BQU44" s="206"/>
      <c r="BQV44" s="206"/>
      <c r="BQW44" s="206"/>
      <c r="BQX44" s="206"/>
      <c r="BQY44" s="206"/>
      <c r="BQZ44" s="206"/>
      <c r="BRA44" s="206"/>
      <c r="BRB44" s="206"/>
      <c r="BRC44" s="206"/>
      <c r="BRD44" s="206"/>
      <c r="BRE44" s="206"/>
      <c r="BRF44" s="206"/>
      <c r="BRG44" s="206"/>
      <c r="BRH44" s="206"/>
      <c r="BRI44" s="206"/>
      <c r="BRJ44" s="206"/>
      <c r="BRK44" s="206"/>
      <c r="BRL44" s="206"/>
      <c r="BRM44" s="206"/>
      <c r="BRN44" s="206"/>
      <c r="BRO44" s="206"/>
      <c r="BRP44" s="206"/>
      <c r="BRQ44" s="206"/>
      <c r="BRR44" s="206"/>
      <c r="BRS44" s="206"/>
      <c r="BRT44" s="206"/>
      <c r="BRU44" s="206"/>
      <c r="BRV44" s="206"/>
      <c r="BRW44" s="206"/>
      <c r="BRX44" s="206"/>
      <c r="BRY44" s="206"/>
      <c r="BRZ44" s="206"/>
      <c r="BSA44" s="206"/>
      <c r="BSB44" s="206"/>
      <c r="BSC44" s="206"/>
      <c r="BSD44" s="206"/>
      <c r="BSE44" s="206"/>
      <c r="BSF44" s="206"/>
      <c r="BSG44" s="206"/>
      <c r="BSH44" s="206"/>
      <c r="BSI44" s="206"/>
      <c r="BSJ44" s="206"/>
      <c r="BSK44" s="206"/>
      <c r="BSL44" s="206"/>
      <c r="BSM44" s="206"/>
      <c r="BSN44" s="206"/>
      <c r="BSO44" s="206"/>
      <c r="BSP44" s="206"/>
      <c r="BSQ44" s="206"/>
      <c r="BSR44" s="206"/>
      <c r="BSS44" s="206"/>
      <c r="BST44" s="206"/>
      <c r="BSU44" s="206"/>
      <c r="BSV44" s="206"/>
      <c r="BSW44" s="206"/>
      <c r="BSX44" s="206"/>
      <c r="BSY44" s="206"/>
      <c r="BSZ44" s="206"/>
      <c r="BTA44" s="206"/>
      <c r="BTB44" s="206"/>
      <c r="BTC44" s="206"/>
      <c r="BTD44" s="206"/>
      <c r="BTE44" s="206"/>
      <c r="BTF44" s="206"/>
      <c r="BTG44" s="206"/>
      <c r="BTH44" s="206"/>
      <c r="BTI44" s="206"/>
      <c r="BTJ44" s="206"/>
      <c r="BTK44" s="206"/>
      <c r="BTL44" s="206"/>
      <c r="BTM44" s="206"/>
      <c r="BTN44" s="206"/>
      <c r="BTO44" s="206"/>
      <c r="BTP44" s="206"/>
      <c r="BTQ44" s="206"/>
      <c r="BTR44" s="206"/>
      <c r="BTS44" s="206"/>
      <c r="BTT44" s="206"/>
      <c r="BTU44" s="206"/>
      <c r="BTV44" s="206"/>
      <c r="BTW44" s="206"/>
      <c r="BTX44" s="206"/>
      <c r="BTY44" s="206"/>
      <c r="BTZ44" s="206"/>
      <c r="BUA44" s="206"/>
      <c r="BUB44" s="206"/>
      <c r="BUC44" s="206"/>
      <c r="BUD44" s="206"/>
      <c r="BUE44" s="206"/>
      <c r="BUF44" s="206"/>
      <c r="BUG44" s="206"/>
      <c r="BUH44" s="206"/>
      <c r="BUI44" s="206"/>
      <c r="BUJ44" s="206"/>
      <c r="BUK44" s="206"/>
      <c r="BUL44" s="206"/>
      <c r="BUM44" s="206"/>
      <c r="BUN44" s="206"/>
      <c r="BUO44" s="206"/>
      <c r="BUP44" s="206"/>
      <c r="BUQ44" s="206"/>
      <c r="BUR44" s="206"/>
      <c r="BUS44" s="206"/>
      <c r="BUT44" s="206"/>
      <c r="BUU44" s="206"/>
      <c r="BUV44" s="206"/>
      <c r="BUW44" s="206"/>
      <c r="BUX44" s="206"/>
      <c r="BUY44" s="206"/>
      <c r="BUZ44" s="206"/>
      <c r="BVA44" s="206"/>
      <c r="BVB44" s="206"/>
      <c r="BVC44" s="206"/>
      <c r="BVD44" s="206"/>
      <c r="BVE44" s="206"/>
      <c r="BVF44" s="206"/>
      <c r="BVG44" s="206"/>
      <c r="BVH44" s="206"/>
      <c r="BVI44" s="206"/>
      <c r="BVJ44" s="206"/>
      <c r="BVK44" s="206"/>
      <c r="BVL44" s="206"/>
      <c r="BVM44" s="206"/>
      <c r="BVN44" s="206"/>
      <c r="BVO44" s="206"/>
      <c r="BVP44" s="206"/>
      <c r="BVQ44" s="206"/>
      <c r="BVR44" s="206"/>
      <c r="BVS44" s="206"/>
      <c r="BVT44" s="206"/>
      <c r="BVU44" s="206"/>
      <c r="BVV44" s="206"/>
      <c r="BVW44" s="206"/>
      <c r="BVX44" s="206"/>
      <c r="BVY44" s="206"/>
      <c r="BVZ44" s="206"/>
      <c r="BWA44" s="206"/>
      <c r="BWB44" s="206"/>
      <c r="BWC44" s="206"/>
      <c r="BWD44" s="206"/>
      <c r="BWE44" s="206"/>
      <c r="BWF44" s="206"/>
      <c r="BWG44" s="206"/>
      <c r="BWH44" s="206"/>
      <c r="BWI44" s="206"/>
      <c r="BWJ44" s="206"/>
      <c r="BWK44" s="206"/>
      <c r="BWL44" s="206"/>
      <c r="BWM44" s="206"/>
      <c r="BWN44" s="206"/>
      <c r="BWO44" s="206"/>
      <c r="BWP44" s="206"/>
      <c r="BWQ44" s="206"/>
      <c r="BWR44" s="206"/>
      <c r="BWS44" s="206"/>
      <c r="BWT44" s="206"/>
      <c r="BWU44" s="206"/>
      <c r="BWV44" s="206"/>
      <c r="BWW44" s="206"/>
      <c r="BWX44" s="206"/>
      <c r="BWY44" s="206"/>
      <c r="BWZ44" s="206"/>
      <c r="BXA44" s="206"/>
      <c r="BXB44" s="206"/>
      <c r="BXC44" s="206"/>
      <c r="BXD44" s="206"/>
      <c r="BXE44" s="206"/>
      <c r="BXF44" s="206"/>
      <c r="BXG44" s="206"/>
      <c r="BXH44" s="206"/>
      <c r="BXI44" s="206"/>
      <c r="BXJ44" s="206"/>
      <c r="BXK44" s="206"/>
      <c r="BXL44" s="206"/>
      <c r="BXM44" s="206"/>
      <c r="BXN44" s="206"/>
      <c r="BXO44" s="206"/>
      <c r="BXP44" s="206"/>
      <c r="BXQ44" s="206"/>
      <c r="BXR44" s="206"/>
      <c r="BXS44" s="206"/>
      <c r="BXT44" s="206"/>
      <c r="BXU44" s="206"/>
      <c r="BXV44" s="206"/>
      <c r="BXW44" s="206"/>
      <c r="BXX44" s="206"/>
      <c r="BXY44" s="206"/>
      <c r="BXZ44" s="206"/>
      <c r="BYA44" s="206"/>
      <c r="BYB44" s="206"/>
      <c r="BYC44" s="206"/>
      <c r="BYD44" s="206"/>
      <c r="BYE44" s="206"/>
      <c r="BYF44" s="206"/>
      <c r="BYG44" s="206"/>
    </row>
    <row r="45" spans="1:2009" s="100" customFormat="1" ht="12.75" customHeight="1" thickBot="1" x14ac:dyDescent="0.3">
      <c r="A45" s="97"/>
      <c r="B45" s="128"/>
      <c r="C45" s="170"/>
      <c r="D45" s="170"/>
      <c r="E45" s="170"/>
      <c r="F45" s="170"/>
      <c r="G45" s="645"/>
      <c r="H45" s="98"/>
      <c r="I45" s="722"/>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268</v>
      </c>
      <c r="B46" s="421"/>
      <c r="C46" s="423"/>
      <c r="D46" s="423"/>
      <c r="E46" s="422"/>
      <c r="F46" s="423"/>
      <c r="G46" s="646"/>
      <c r="H46" s="98"/>
      <c r="I46" s="722"/>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hidden="1" customHeight="1" x14ac:dyDescent="0.25">
      <c r="A47" s="369"/>
      <c r="B47" s="426" t="s">
        <v>481</v>
      </c>
      <c r="C47" s="513"/>
      <c r="D47" s="513"/>
      <c r="E47" s="428"/>
      <c r="F47" s="429"/>
      <c r="G47" s="647">
        <f>ROUND(SUM(C47:F47),5)</f>
        <v>0</v>
      </c>
      <c r="H47" s="98"/>
      <c r="I47" s="722"/>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customHeight="1" x14ac:dyDescent="0.25">
      <c r="A48" s="369"/>
      <c r="B48" s="426" t="s">
        <v>569</v>
      </c>
      <c r="C48" s="513">
        <v>247</v>
      </c>
      <c r="D48" s="513"/>
      <c r="E48" s="451"/>
      <c r="F48" s="513"/>
      <c r="G48" s="647">
        <f>SUM(C48:F48)</f>
        <v>247</v>
      </c>
      <c r="H48" s="98"/>
      <c r="I48" s="722"/>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hidden="1" customHeight="1" x14ac:dyDescent="0.25">
      <c r="A49" s="369"/>
      <c r="B49" s="426" t="s">
        <v>436</v>
      </c>
      <c r="C49" s="513"/>
      <c r="D49" s="513"/>
      <c r="E49" s="451"/>
      <c r="F49" s="513"/>
      <c r="G49" s="647">
        <f>ROUND(SUM(C49:F49),5)</f>
        <v>0</v>
      </c>
      <c r="H49" s="98"/>
      <c r="I49" s="722"/>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customHeight="1" x14ac:dyDescent="0.25">
      <c r="A50" s="370"/>
      <c r="B50" s="604" t="s">
        <v>482</v>
      </c>
      <c r="C50" s="605">
        <v>10518.08</v>
      </c>
      <c r="D50" s="605">
        <v>11140.68</v>
      </c>
      <c r="E50" s="452"/>
      <c r="F50" s="452"/>
      <c r="G50" s="648">
        <f>ROUND(SUM(C50:F50),5)</f>
        <v>21658.76</v>
      </c>
      <c r="H50" s="98"/>
      <c r="I50" s="722"/>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4" customFormat="1" ht="24.95" customHeight="1" thickBot="1" x14ac:dyDescent="0.3">
      <c r="A51" s="223"/>
      <c r="B51" s="427" t="s">
        <v>451</v>
      </c>
      <c r="C51" s="791">
        <f>SUM(C46:C50)</f>
        <v>10765.08</v>
      </c>
      <c r="D51" s="791">
        <f t="shared" ref="D51" si="1">SUM(D46:D50)</f>
        <v>11140.68</v>
      </c>
      <c r="E51" s="791"/>
      <c r="F51" s="791"/>
      <c r="G51" s="815">
        <f>ROUND(SUM(C51:F51),5)</f>
        <v>21905.759999999998</v>
      </c>
      <c r="H51" s="195"/>
      <c r="I51" s="544"/>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6"/>
      <c r="DE51" s="196"/>
      <c r="DF51" s="196"/>
      <c r="DG51" s="196"/>
      <c r="DH51" s="196"/>
      <c r="DI51" s="196"/>
      <c r="DJ51" s="196"/>
      <c r="DK51" s="196"/>
      <c r="DL51" s="196"/>
      <c r="DM51" s="196"/>
      <c r="DN51" s="196"/>
      <c r="DO51" s="196"/>
      <c r="DP51" s="196"/>
      <c r="DQ51" s="196"/>
      <c r="DR51" s="196"/>
      <c r="DS51" s="196"/>
      <c r="DT51" s="196"/>
      <c r="DU51" s="196"/>
      <c r="DV51" s="196"/>
      <c r="DW51" s="196"/>
      <c r="DX51" s="196"/>
      <c r="DY51" s="196"/>
      <c r="DZ51" s="196"/>
      <c r="EA51" s="196"/>
      <c r="EB51" s="196"/>
      <c r="EC51" s="196"/>
      <c r="ED51" s="196"/>
      <c r="EE51" s="196"/>
      <c r="EF51" s="196"/>
      <c r="EG51" s="196"/>
      <c r="EH51" s="196"/>
      <c r="EI51" s="196"/>
      <c r="EJ51" s="196"/>
      <c r="EK51" s="196"/>
      <c r="EL51" s="196"/>
      <c r="EM51" s="196"/>
      <c r="EN51" s="196"/>
      <c r="EO51" s="196"/>
      <c r="EP51" s="196"/>
      <c r="EQ51" s="196"/>
      <c r="ER51" s="196"/>
      <c r="ES51" s="196"/>
      <c r="ET51" s="196"/>
      <c r="EU51" s="196"/>
      <c r="EV51" s="196"/>
      <c r="EW51" s="196"/>
      <c r="EX51" s="196"/>
      <c r="EY51" s="196"/>
      <c r="EZ51" s="196"/>
      <c r="FA51" s="196"/>
      <c r="FB51" s="196"/>
      <c r="FC51" s="196"/>
      <c r="FD51" s="196"/>
      <c r="FE51" s="196"/>
      <c r="FF51" s="196"/>
      <c r="FG51" s="196"/>
      <c r="FH51" s="196"/>
      <c r="FI51" s="196"/>
      <c r="FJ51" s="196"/>
      <c r="FK51" s="196"/>
      <c r="FL51" s="196"/>
      <c r="FM51" s="196"/>
      <c r="FN51" s="196"/>
      <c r="FO51" s="196"/>
      <c r="FP51" s="196"/>
      <c r="FQ51" s="196"/>
      <c r="FR51" s="196"/>
      <c r="FS51" s="196"/>
      <c r="FT51" s="196"/>
      <c r="FU51" s="196"/>
      <c r="FV51" s="196"/>
      <c r="FW51" s="196"/>
      <c r="FX51" s="196"/>
      <c r="FY51" s="196"/>
      <c r="FZ51" s="196"/>
      <c r="GA51" s="196"/>
      <c r="GB51" s="196"/>
      <c r="GC51" s="196"/>
      <c r="GD51" s="196"/>
      <c r="GE51" s="196"/>
      <c r="GF51" s="196"/>
      <c r="GG51" s="196"/>
      <c r="GH51" s="196"/>
      <c r="GI51" s="196"/>
      <c r="GJ51" s="196"/>
      <c r="GK51" s="196"/>
      <c r="GL51" s="196"/>
      <c r="GM51" s="196"/>
      <c r="GN51" s="196"/>
      <c r="GO51" s="196"/>
      <c r="GP51" s="196"/>
      <c r="GQ51" s="196"/>
      <c r="GR51" s="196"/>
      <c r="GS51" s="196"/>
      <c r="GT51" s="196"/>
      <c r="GU51" s="196"/>
      <c r="GV51" s="196"/>
      <c r="GW51" s="196"/>
      <c r="GX51" s="196"/>
      <c r="GY51" s="196"/>
      <c r="GZ51" s="196"/>
      <c r="HA51" s="196"/>
      <c r="HB51" s="196"/>
      <c r="HC51" s="196"/>
      <c r="HD51" s="196"/>
      <c r="HE51" s="196"/>
      <c r="HF51" s="196"/>
      <c r="HG51" s="196"/>
      <c r="HH51" s="196"/>
      <c r="HI51" s="196"/>
      <c r="HJ51" s="196"/>
      <c r="HK51" s="196"/>
      <c r="HL51" s="196"/>
      <c r="HM51" s="196"/>
      <c r="HN51" s="196"/>
      <c r="HO51" s="196"/>
      <c r="HP51" s="196"/>
      <c r="HQ51" s="196"/>
      <c r="HR51" s="196"/>
      <c r="HS51" s="196"/>
      <c r="HT51" s="196"/>
      <c r="HU51" s="196"/>
      <c r="HV51" s="196"/>
      <c r="HW51" s="196"/>
      <c r="HX51" s="196"/>
      <c r="HY51" s="196"/>
      <c r="HZ51" s="196"/>
      <c r="IA51" s="196"/>
      <c r="IB51" s="196"/>
      <c r="IC51" s="196"/>
      <c r="ID51" s="196"/>
      <c r="IE51" s="196"/>
      <c r="IF51" s="196"/>
      <c r="IG51" s="196"/>
      <c r="IH51" s="196"/>
      <c r="II51" s="196"/>
      <c r="IJ51" s="196"/>
      <c r="IK51" s="196"/>
      <c r="IL51" s="196"/>
      <c r="IM51" s="196"/>
      <c r="IN51" s="196"/>
      <c r="IO51" s="196"/>
      <c r="IP51" s="196"/>
      <c r="IQ51" s="196"/>
      <c r="IR51" s="196"/>
      <c r="IS51" s="196"/>
      <c r="IT51" s="196"/>
      <c r="IU51" s="196"/>
      <c r="IV51" s="196"/>
      <c r="IW51" s="196"/>
      <c r="IX51" s="196"/>
      <c r="IY51" s="196"/>
      <c r="IZ51" s="196"/>
      <c r="JA51" s="196"/>
      <c r="JB51" s="196"/>
      <c r="JC51" s="196"/>
      <c r="JD51" s="196"/>
      <c r="JE51" s="196"/>
      <c r="JF51" s="196"/>
      <c r="JG51" s="196"/>
      <c r="JH51" s="196"/>
      <c r="JI51" s="196"/>
      <c r="JJ51" s="196"/>
      <c r="JK51" s="196"/>
      <c r="JL51" s="196"/>
      <c r="JM51" s="196"/>
      <c r="JN51" s="196"/>
      <c r="JO51" s="196"/>
      <c r="JP51" s="196"/>
      <c r="JQ51" s="196"/>
      <c r="JR51" s="196"/>
      <c r="JS51" s="196"/>
      <c r="JT51" s="196"/>
      <c r="JU51" s="196"/>
      <c r="JV51" s="196"/>
      <c r="JW51" s="196"/>
      <c r="JX51" s="196"/>
      <c r="JY51" s="196"/>
      <c r="JZ51" s="196"/>
      <c r="KA51" s="196"/>
      <c r="KB51" s="196"/>
      <c r="KC51" s="196"/>
      <c r="KD51" s="196"/>
      <c r="KE51" s="196"/>
      <c r="KF51" s="196"/>
      <c r="KG51" s="196"/>
      <c r="KH51" s="196"/>
      <c r="KI51" s="196"/>
      <c r="KJ51" s="196"/>
      <c r="KK51" s="196"/>
      <c r="KL51" s="196"/>
      <c r="KM51" s="196"/>
      <c r="KN51" s="196"/>
      <c r="KO51" s="196"/>
      <c r="KP51" s="196"/>
      <c r="KQ51" s="196"/>
      <c r="KR51" s="196"/>
      <c r="KS51" s="196"/>
      <c r="KT51" s="196"/>
      <c r="KU51" s="196"/>
      <c r="KV51" s="196"/>
      <c r="KW51" s="196"/>
      <c r="KX51" s="196"/>
      <c r="KY51" s="196"/>
      <c r="KZ51" s="196"/>
      <c r="LA51" s="196"/>
      <c r="LB51" s="196"/>
      <c r="LC51" s="196"/>
      <c r="LD51" s="196"/>
      <c r="LE51" s="196"/>
      <c r="LF51" s="196"/>
      <c r="LG51" s="196"/>
      <c r="LH51" s="196"/>
      <c r="LI51" s="196"/>
      <c r="LJ51" s="196"/>
      <c r="LK51" s="196"/>
      <c r="LL51" s="196"/>
      <c r="LM51" s="196"/>
      <c r="LN51" s="196"/>
      <c r="LO51" s="196"/>
      <c r="LP51" s="196"/>
      <c r="LQ51" s="196"/>
      <c r="LR51" s="196"/>
      <c r="LS51" s="196"/>
      <c r="LT51" s="196"/>
      <c r="LU51" s="196"/>
      <c r="LV51" s="196"/>
      <c r="LW51" s="196"/>
      <c r="LX51" s="196"/>
      <c r="LY51" s="196"/>
      <c r="LZ51" s="196"/>
      <c r="MA51" s="196"/>
      <c r="MB51" s="196"/>
      <c r="MC51" s="196"/>
      <c r="MD51" s="196"/>
      <c r="ME51" s="196"/>
      <c r="MF51" s="196"/>
      <c r="MG51" s="196"/>
      <c r="MH51" s="196"/>
      <c r="MI51" s="196"/>
      <c r="MJ51" s="196"/>
      <c r="MK51" s="196"/>
      <c r="ML51" s="196"/>
      <c r="MM51" s="196"/>
      <c r="MN51" s="196"/>
      <c r="MO51" s="196"/>
      <c r="MP51" s="196"/>
      <c r="MQ51" s="196"/>
      <c r="MR51" s="196"/>
      <c r="MS51" s="196"/>
      <c r="MT51" s="196"/>
      <c r="MU51" s="196"/>
      <c r="MV51" s="196"/>
      <c r="MW51" s="196"/>
      <c r="MX51" s="196"/>
      <c r="MY51" s="196"/>
      <c r="MZ51" s="196"/>
      <c r="NA51" s="196"/>
      <c r="NB51" s="196"/>
      <c r="NC51" s="196"/>
      <c r="ND51" s="196"/>
      <c r="NE51" s="196"/>
      <c r="NF51" s="196"/>
      <c r="NG51" s="196"/>
      <c r="NH51" s="196"/>
      <c r="NI51" s="196"/>
      <c r="NJ51" s="196"/>
      <c r="NK51" s="196"/>
      <c r="NL51" s="196"/>
      <c r="NM51" s="196"/>
      <c r="NN51" s="196"/>
      <c r="NO51" s="196"/>
      <c r="NP51" s="196"/>
      <c r="NQ51" s="196"/>
      <c r="NR51" s="196"/>
      <c r="NS51" s="196"/>
      <c r="NT51" s="196"/>
      <c r="NU51" s="196"/>
      <c r="NV51" s="196"/>
      <c r="NW51" s="196"/>
      <c r="NX51" s="196"/>
      <c r="NY51" s="196"/>
      <c r="NZ51" s="196"/>
      <c r="OA51" s="196"/>
      <c r="OB51" s="196"/>
      <c r="OC51" s="196"/>
      <c r="OD51" s="196"/>
      <c r="OE51" s="196"/>
      <c r="OF51" s="196"/>
      <c r="OG51" s="196"/>
      <c r="OH51" s="196"/>
      <c r="OI51" s="196"/>
      <c r="OJ51" s="196"/>
      <c r="OK51" s="196"/>
      <c r="OL51" s="196"/>
      <c r="OM51" s="196"/>
      <c r="ON51" s="196"/>
      <c r="OO51" s="196"/>
      <c r="OP51" s="196"/>
      <c r="OQ51" s="196"/>
      <c r="OR51" s="196"/>
      <c r="OS51" s="196"/>
      <c r="OT51" s="196"/>
      <c r="OU51" s="196"/>
      <c r="OV51" s="196"/>
      <c r="OW51" s="196"/>
      <c r="OX51" s="196"/>
      <c r="OY51" s="196"/>
      <c r="OZ51" s="196"/>
      <c r="PA51" s="196"/>
      <c r="PB51" s="196"/>
      <c r="PC51" s="196"/>
      <c r="PD51" s="196"/>
      <c r="PE51" s="196"/>
      <c r="PF51" s="196"/>
      <c r="PG51" s="196"/>
      <c r="PH51" s="196"/>
      <c r="PI51" s="196"/>
      <c r="PJ51" s="196"/>
      <c r="PK51" s="196"/>
      <c r="PL51" s="196"/>
      <c r="PM51" s="196"/>
      <c r="PN51" s="196"/>
      <c r="PO51" s="196"/>
      <c r="PP51" s="196"/>
      <c r="PQ51" s="196"/>
      <c r="PR51" s="196"/>
      <c r="PS51" s="196"/>
      <c r="PT51" s="196"/>
      <c r="PU51" s="196"/>
      <c r="PV51" s="196"/>
      <c r="PW51" s="196"/>
      <c r="PX51" s="196"/>
      <c r="PY51" s="196"/>
      <c r="PZ51" s="196"/>
      <c r="QA51" s="196"/>
      <c r="QB51" s="196"/>
      <c r="QC51" s="196"/>
      <c r="QD51" s="196"/>
      <c r="QE51" s="196"/>
      <c r="QF51" s="196"/>
      <c r="QG51" s="196"/>
      <c r="QH51" s="196"/>
      <c r="QI51" s="196"/>
      <c r="QJ51" s="196"/>
      <c r="QK51" s="196"/>
      <c r="QL51" s="196"/>
      <c r="QM51" s="196"/>
      <c r="QN51" s="196"/>
      <c r="QO51" s="196"/>
      <c r="QP51" s="196"/>
      <c r="QQ51" s="196"/>
      <c r="QR51" s="196"/>
      <c r="QS51" s="196"/>
      <c r="QT51" s="196"/>
      <c r="QU51" s="196"/>
      <c r="QV51" s="196"/>
      <c r="QW51" s="196"/>
      <c r="QX51" s="196"/>
      <c r="QY51" s="196"/>
      <c r="QZ51" s="196"/>
      <c r="RA51" s="196"/>
      <c r="RB51" s="196"/>
      <c r="RC51" s="196"/>
      <c r="RD51" s="196"/>
      <c r="RE51" s="196"/>
      <c r="RF51" s="196"/>
      <c r="RG51" s="196"/>
      <c r="RH51" s="196"/>
      <c r="RI51" s="196"/>
      <c r="RJ51" s="196"/>
      <c r="RK51" s="196"/>
      <c r="RL51" s="196"/>
      <c r="RM51" s="196"/>
      <c r="RN51" s="196"/>
      <c r="RO51" s="196"/>
      <c r="RP51" s="196"/>
      <c r="RQ51" s="196"/>
      <c r="RR51" s="196"/>
      <c r="RS51" s="196"/>
      <c r="RT51" s="196"/>
      <c r="RU51" s="196"/>
      <c r="RV51" s="196"/>
      <c r="RW51" s="196"/>
      <c r="RX51" s="196"/>
      <c r="RY51" s="196"/>
      <c r="RZ51" s="196"/>
      <c r="SA51" s="196"/>
      <c r="SB51" s="196"/>
      <c r="SC51" s="196"/>
      <c r="SD51" s="196"/>
      <c r="SE51" s="196"/>
      <c r="SF51" s="196"/>
      <c r="SG51" s="196"/>
      <c r="SH51" s="196"/>
      <c r="SI51" s="196"/>
      <c r="SJ51" s="196"/>
      <c r="SK51" s="196"/>
      <c r="SL51" s="196"/>
      <c r="SM51" s="196"/>
      <c r="SN51" s="196"/>
      <c r="SO51" s="196"/>
      <c r="SP51" s="196"/>
      <c r="SQ51" s="196"/>
      <c r="SR51" s="196"/>
      <c r="SS51" s="196"/>
      <c r="ST51" s="196"/>
      <c r="SU51" s="196"/>
      <c r="SV51" s="196"/>
      <c r="SW51" s="196"/>
      <c r="SX51" s="196"/>
      <c r="SY51" s="196"/>
      <c r="SZ51" s="196"/>
      <c r="TA51" s="196"/>
      <c r="TB51" s="196"/>
      <c r="TC51" s="196"/>
      <c r="TD51" s="196"/>
      <c r="TE51" s="196"/>
      <c r="TF51" s="196"/>
      <c r="TG51" s="196"/>
      <c r="TH51" s="196"/>
      <c r="TI51" s="196"/>
      <c r="TJ51" s="196"/>
      <c r="TK51" s="196"/>
      <c r="TL51" s="196"/>
      <c r="TM51" s="196"/>
      <c r="TN51" s="196"/>
      <c r="TO51" s="196"/>
      <c r="TP51" s="196"/>
      <c r="TQ51" s="196"/>
      <c r="TR51" s="196"/>
      <c r="TS51" s="196"/>
      <c r="TT51" s="196"/>
      <c r="TU51" s="196"/>
      <c r="TV51" s="196"/>
      <c r="TW51" s="196"/>
      <c r="TX51" s="196"/>
      <c r="TY51" s="196"/>
      <c r="TZ51" s="196"/>
      <c r="UA51" s="196"/>
      <c r="UB51" s="196"/>
      <c r="UC51" s="196"/>
      <c r="UD51" s="196"/>
      <c r="UE51" s="196"/>
      <c r="UF51" s="196"/>
      <c r="UG51" s="196"/>
      <c r="UH51" s="196"/>
      <c r="UI51" s="196"/>
      <c r="UJ51" s="196"/>
      <c r="UK51" s="196"/>
      <c r="UL51" s="196"/>
      <c r="UM51" s="196"/>
      <c r="UN51" s="196"/>
      <c r="UO51" s="196"/>
      <c r="UP51" s="196"/>
      <c r="UQ51" s="196"/>
      <c r="UR51" s="196"/>
      <c r="US51" s="196"/>
      <c r="UT51" s="196"/>
      <c r="UU51" s="196"/>
      <c r="UV51" s="196"/>
      <c r="UW51" s="196"/>
      <c r="UX51" s="196"/>
      <c r="UY51" s="196"/>
      <c r="UZ51" s="196"/>
      <c r="VA51" s="196"/>
      <c r="VB51" s="196"/>
      <c r="VC51" s="196"/>
      <c r="VD51" s="196"/>
      <c r="VE51" s="196"/>
      <c r="VF51" s="196"/>
      <c r="VG51" s="196"/>
      <c r="VH51" s="196"/>
      <c r="VI51" s="196"/>
      <c r="VJ51" s="196"/>
      <c r="VK51" s="196"/>
      <c r="VL51" s="196"/>
      <c r="VM51" s="196"/>
      <c r="VN51" s="196"/>
      <c r="VO51" s="196"/>
      <c r="VP51" s="196"/>
      <c r="VQ51" s="196"/>
      <c r="VR51" s="196"/>
      <c r="VS51" s="196"/>
      <c r="VT51" s="196"/>
      <c r="VU51" s="196"/>
      <c r="VV51" s="196"/>
      <c r="VW51" s="196"/>
      <c r="VX51" s="196"/>
      <c r="VY51" s="196"/>
      <c r="VZ51" s="196"/>
      <c r="WA51" s="196"/>
      <c r="WB51" s="196"/>
      <c r="WC51" s="196"/>
      <c r="WD51" s="196"/>
      <c r="WE51" s="196"/>
      <c r="WF51" s="196"/>
      <c r="WG51" s="196"/>
      <c r="WH51" s="196"/>
      <c r="WI51" s="196"/>
      <c r="WJ51" s="196"/>
      <c r="WK51" s="196"/>
      <c r="WL51" s="196"/>
      <c r="WM51" s="196"/>
      <c r="WN51" s="196"/>
      <c r="WO51" s="196"/>
      <c r="WP51" s="196"/>
      <c r="WQ51" s="196"/>
      <c r="WR51" s="196"/>
      <c r="WS51" s="196"/>
      <c r="WT51" s="196"/>
      <c r="WU51" s="196"/>
      <c r="WV51" s="196"/>
      <c r="WW51" s="196"/>
      <c r="WX51" s="196"/>
      <c r="WY51" s="196"/>
      <c r="WZ51" s="196"/>
      <c r="XA51" s="196"/>
      <c r="XB51" s="196"/>
      <c r="XC51" s="196"/>
      <c r="XD51" s="196"/>
      <c r="XE51" s="196"/>
      <c r="XF51" s="196"/>
      <c r="XG51" s="196"/>
      <c r="XH51" s="196"/>
      <c r="XI51" s="196"/>
      <c r="XJ51" s="196"/>
      <c r="XK51" s="196"/>
      <c r="XL51" s="196"/>
      <c r="XM51" s="196"/>
      <c r="XN51" s="196"/>
      <c r="XO51" s="196"/>
      <c r="XP51" s="196"/>
      <c r="XQ51" s="196"/>
      <c r="XR51" s="196"/>
      <c r="XS51" s="196"/>
      <c r="XT51" s="196"/>
      <c r="XU51" s="196"/>
      <c r="XV51" s="196"/>
      <c r="XW51" s="196"/>
      <c r="XX51" s="196"/>
      <c r="XY51" s="196"/>
      <c r="XZ51" s="196"/>
      <c r="YA51" s="196"/>
      <c r="YB51" s="196"/>
      <c r="YC51" s="196"/>
      <c r="YD51" s="196"/>
      <c r="YE51" s="196"/>
      <c r="YF51" s="196"/>
      <c r="YG51" s="196"/>
      <c r="YH51" s="196"/>
      <c r="YI51" s="196"/>
      <c r="YJ51" s="196"/>
      <c r="YK51" s="196"/>
      <c r="YL51" s="196"/>
      <c r="YM51" s="196"/>
      <c r="YN51" s="196"/>
      <c r="YO51" s="196"/>
      <c r="YP51" s="196"/>
      <c r="YQ51" s="196"/>
      <c r="YR51" s="196"/>
      <c r="YS51" s="196"/>
      <c r="YT51" s="196"/>
      <c r="YU51" s="196"/>
      <c r="YV51" s="196"/>
      <c r="YW51" s="196"/>
      <c r="YX51" s="196"/>
      <c r="YY51" s="196"/>
      <c r="YZ51" s="196"/>
      <c r="ZA51" s="196"/>
      <c r="ZB51" s="196"/>
      <c r="ZC51" s="196"/>
      <c r="ZD51" s="196"/>
      <c r="ZE51" s="196"/>
      <c r="ZF51" s="196"/>
      <c r="ZG51" s="196"/>
      <c r="ZH51" s="196"/>
      <c r="ZI51" s="196"/>
      <c r="ZJ51" s="196"/>
      <c r="ZK51" s="196"/>
      <c r="ZL51" s="196"/>
      <c r="ZM51" s="196"/>
      <c r="ZN51" s="196"/>
      <c r="ZO51" s="196"/>
      <c r="ZP51" s="196"/>
      <c r="ZQ51" s="196"/>
      <c r="ZR51" s="196"/>
      <c r="ZS51" s="196"/>
      <c r="ZT51" s="196"/>
      <c r="ZU51" s="196"/>
      <c r="ZV51" s="196"/>
      <c r="ZW51" s="196"/>
      <c r="ZX51" s="196"/>
      <c r="ZY51" s="196"/>
      <c r="ZZ51" s="196"/>
      <c r="AAA51" s="196"/>
      <c r="AAB51" s="196"/>
      <c r="AAC51" s="196"/>
      <c r="AAD51" s="196"/>
      <c r="AAE51" s="196"/>
      <c r="AAF51" s="196"/>
      <c r="AAG51" s="196"/>
      <c r="AAH51" s="196"/>
      <c r="AAI51" s="196"/>
      <c r="AAJ51" s="196"/>
      <c r="AAK51" s="196"/>
      <c r="AAL51" s="196"/>
      <c r="AAM51" s="196"/>
      <c r="AAN51" s="196"/>
      <c r="AAO51" s="196"/>
      <c r="AAP51" s="196"/>
      <c r="AAQ51" s="196"/>
      <c r="AAR51" s="196"/>
      <c r="AAS51" s="196"/>
      <c r="AAT51" s="196"/>
      <c r="AAU51" s="196"/>
      <c r="AAV51" s="196"/>
      <c r="AAW51" s="196"/>
      <c r="AAX51" s="196"/>
      <c r="AAY51" s="196"/>
      <c r="AAZ51" s="196"/>
      <c r="ABA51" s="196"/>
      <c r="ABB51" s="196"/>
      <c r="ABC51" s="196"/>
      <c r="ABD51" s="196"/>
      <c r="ABE51" s="196"/>
      <c r="ABF51" s="196"/>
      <c r="ABG51" s="196"/>
      <c r="ABH51" s="196"/>
      <c r="ABI51" s="196"/>
      <c r="ABJ51" s="196"/>
      <c r="ABK51" s="196"/>
      <c r="ABL51" s="196"/>
      <c r="ABM51" s="196"/>
      <c r="ABN51" s="196"/>
      <c r="ABO51" s="196"/>
      <c r="ABP51" s="196"/>
      <c r="ABQ51" s="196"/>
      <c r="ABR51" s="196"/>
      <c r="ABS51" s="196"/>
      <c r="ABT51" s="196"/>
      <c r="ABU51" s="196"/>
      <c r="ABV51" s="196"/>
      <c r="ABW51" s="196"/>
      <c r="ABX51" s="196"/>
      <c r="ABY51" s="196"/>
      <c r="ABZ51" s="196"/>
      <c r="ACA51" s="196"/>
      <c r="ACB51" s="196"/>
      <c r="ACC51" s="196"/>
      <c r="ACD51" s="196"/>
      <c r="ACE51" s="196"/>
      <c r="ACF51" s="196"/>
      <c r="ACG51" s="196"/>
      <c r="ACH51" s="196"/>
      <c r="ACI51" s="196"/>
      <c r="ACJ51" s="196"/>
      <c r="ACK51" s="196"/>
      <c r="ACL51" s="196"/>
      <c r="ACM51" s="196"/>
      <c r="ACN51" s="196"/>
      <c r="ACO51" s="196"/>
      <c r="ACP51" s="196"/>
      <c r="ACQ51" s="196"/>
      <c r="ACR51" s="196"/>
      <c r="ACS51" s="196"/>
      <c r="ACT51" s="196"/>
      <c r="ACU51" s="196"/>
      <c r="ACV51" s="196"/>
      <c r="ACW51" s="196"/>
      <c r="ACX51" s="196"/>
      <c r="ACY51" s="196"/>
      <c r="ACZ51" s="196"/>
      <c r="ADA51" s="196"/>
      <c r="ADB51" s="196"/>
      <c r="ADC51" s="196"/>
      <c r="ADD51" s="196"/>
      <c r="ADE51" s="196"/>
      <c r="ADF51" s="196"/>
      <c r="ADG51" s="196"/>
      <c r="ADH51" s="196"/>
      <c r="ADI51" s="196"/>
      <c r="ADJ51" s="196"/>
      <c r="ADK51" s="196"/>
      <c r="ADL51" s="196"/>
      <c r="ADM51" s="196"/>
      <c r="ADN51" s="196"/>
      <c r="ADO51" s="196"/>
      <c r="ADP51" s="196"/>
      <c r="ADQ51" s="196"/>
      <c r="ADR51" s="196"/>
      <c r="ADS51" s="196"/>
      <c r="ADT51" s="196"/>
      <c r="ADU51" s="196"/>
      <c r="ADV51" s="196"/>
      <c r="ADW51" s="196"/>
      <c r="ADX51" s="196"/>
      <c r="ADY51" s="196"/>
      <c r="ADZ51" s="196"/>
      <c r="AEA51" s="196"/>
      <c r="AEB51" s="196"/>
      <c r="AEC51" s="196"/>
      <c r="AED51" s="196"/>
      <c r="AEE51" s="196"/>
      <c r="AEF51" s="196"/>
      <c r="AEG51" s="196"/>
      <c r="AEH51" s="196"/>
      <c r="AEI51" s="196"/>
      <c r="AEJ51" s="196"/>
      <c r="AEK51" s="196"/>
      <c r="AEL51" s="196"/>
      <c r="AEM51" s="196"/>
      <c r="AEN51" s="196"/>
      <c r="AEO51" s="196"/>
      <c r="AEP51" s="196"/>
      <c r="AEQ51" s="196"/>
      <c r="AER51" s="196"/>
      <c r="AES51" s="196"/>
      <c r="AET51" s="196"/>
      <c r="AEU51" s="196"/>
      <c r="AEV51" s="196"/>
      <c r="AEW51" s="196"/>
      <c r="AEX51" s="196"/>
      <c r="AEY51" s="196"/>
      <c r="AEZ51" s="196"/>
      <c r="AFA51" s="196"/>
      <c r="AFB51" s="196"/>
      <c r="AFC51" s="196"/>
      <c r="AFD51" s="196"/>
      <c r="AFE51" s="196"/>
      <c r="AFF51" s="196"/>
      <c r="AFG51" s="196"/>
      <c r="AFH51" s="196"/>
      <c r="AFI51" s="196"/>
      <c r="AFJ51" s="196"/>
      <c r="AFK51" s="196"/>
      <c r="AFL51" s="196"/>
      <c r="AFM51" s="196"/>
      <c r="AFN51" s="196"/>
      <c r="AFO51" s="196"/>
      <c r="AFP51" s="196"/>
      <c r="AFQ51" s="196"/>
      <c r="AFR51" s="196"/>
      <c r="AFS51" s="196"/>
      <c r="AFT51" s="196"/>
      <c r="AFU51" s="196"/>
      <c r="AFV51" s="196"/>
      <c r="AFW51" s="196"/>
      <c r="AFX51" s="196"/>
      <c r="AFY51" s="196"/>
      <c r="AFZ51" s="196"/>
      <c r="AGA51" s="196"/>
      <c r="AGB51" s="196"/>
      <c r="AGC51" s="196"/>
      <c r="AGD51" s="196"/>
      <c r="AGE51" s="196"/>
      <c r="AGF51" s="196"/>
      <c r="AGG51" s="196"/>
      <c r="AGH51" s="196"/>
      <c r="AGI51" s="196"/>
      <c r="AGJ51" s="196"/>
      <c r="AGK51" s="196"/>
      <c r="AGL51" s="196"/>
      <c r="AGM51" s="196"/>
      <c r="AGN51" s="196"/>
      <c r="AGO51" s="196"/>
      <c r="AGP51" s="196"/>
      <c r="AGQ51" s="196"/>
      <c r="AGR51" s="196"/>
      <c r="AGS51" s="196"/>
      <c r="AGT51" s="196"/>
      <c r="AGU51" s="196"/>
      <c r="AGV51" s="196"/>
      <c r="AGW51" s="196"/>
      <c r="AGX51" s="196"/>
      <c r="AGY51" s="196"/>
      <c r="AGZ51" s="196"/>
      <c r="AHA51" s="196"/>
      <c r="AHB51" s="196"/>
      <c r="AHC51" s="196"/>
      <c r="AHD51" s="196"/>
      <c r="AHE51" s="196"/>
      <c r="AHF51" s="196"/>
      <c r="AHG51" s="196"/>
      <c r="AHH51" s="196"/>
      <c r="AHI51" s="196"/>
      <c r="AHJ51" s="196"/>
      <c r="AHK51" s="196"/>
      <c r="AHL51" s="196"/>
      <c r="AHM51" s="196"/>
      <c r="AHN51" s="196"/>
      <c r="AHO51" s="196"/>
      <c r="AHP51" s="196"/>
      <c r="AHQ51" s="196"/>
      <c r="AHR51" s="196"/>
      <c r="AHS51" s="196"/>
      <c r="AHT51" s="196"/>
      <c r="AHU51" s="196"/>
      <c r="AHV51" s="196"/>
      <c r="AHW51" s="196"/>
      <c r="AHX51" s="196"/>
      <c r="AHY51" s="196"/>
      <c r="AHZ51" s="196"/>
      <c r="AIA51" s="196"/>
      <c r="AIB51" s="196"/>
      <c r="AIC51" s="196"/>
      <c r="AID51" s="196"/>
      <c r="AIE51" s="196"/>
      <c r="AIF51" s="196"/>
      <c r="AIG51" s="196"/>
      <c r="AIH51" s="196"/>
      <c r="AII51" s="196"/>
      <c r="AIJ51" s="196"/>
      <c r="AIK51" s="196"/>
      <c r="AIL51" s="196"/>
      <c r="AIM51" s="196"/>
      <c r="AIN51" s="196"/>
      <c r="AIO51" s="196"/>
      <c r="AIP51" s="196"/>
      <c r="AIQ51" s="196"/>
      <c r="AIR51" s="196"/>
      <c r="AIS51" s="196"/>
      <c r="AIT51" s="196"/>
      <c r="AIU51" s="196"/>
      <c r="AIV51" s="196"/>
      <c r="AIW51" s="196"/>
      <c r="AIX51" s="196"/>
      <c r="AIY51" s="196"/>
      <c r="AIZ51" s="196"/>
      <c r="AJA51" s="196"/>
      <c r="AJB51" s="196"/>
      <c r="AJC51" s="196"/>
      <c r="AJD51" s="196"/>
      <c r="AJE51" s="196"/>
      <c r="AJF51" s="196"/>
      <c r="AJG51" s="196"/>
      <c r="AJH51" s="196"/>
      <c r="AJI51" s="196"/>
      <c r="AJJ51" s="196"/>
      <c r="AJK51" s="196"/>
      <c r="AJL51" s="196"/>
      <c r="AJM51" s="196"/>
      <c r="AJN51" s="196"/>
      <c r="AJO51" s="196"/>
      <c r="AJP51" s="196"/>
      <c r="AJQ51" s="196"/>
      <c r="AJR51" s="196"/>
      <c r="AJS51" s="196"/>
      <c r="AJT51" s="196"/>
      <c r="AJU51" s="196"/>
      <c r="AJV51" s="196"/>
      <c r="AJW51" s="196"/>
      <c r="AJX51" s="196"/>
      <c r="AJY51" s="196"/>
      <c r="AJZ51" s="196"/>
      <c r="AKA51" s="196"/>
      <c r="AKB51" s="196"/>
      <c r="AKC51" s="196"/>
      <c r="AKD51" s="196"/>
      <c r="AKE51" s="196"/>
      <c r="AKF51" s="196"/>
      <c r="AKG51" s="196"/>
      <c r="AKH51" s="196"/>
      <c r="AKI51" s="196"/>
      <c r="AKJ51" s="196"/>
      <c r="AKK51" s="196"/>
      <c r="AKL51" s="196"/>
      <c r="AKM51" s="196"/>
      <c r="AKN51" s="196"/>
      <c r="AKO51" s="196"/>
      <c r="AKP51" s="196"/>
      <c r="AKQ51" s="196"/>
      <c r="AKR51" s="196"/>
      <c r="AKS51" s="196"/>
      <c r="AKT51" s="196"/>
      <c r="AKU51" s="196"/>
      <c r="AKV51" s="196"/>
      <c r="AKW51" s="196"/>
      <c r="AKX51" s="196"/>
      <c r="AKY51" s="196"/>
      <c r="AKZ51" s="196"/>
      <c r="ALA51" s="196"/>
      <c r="ALB51" s="196"/>
      <c r="ALC51" s="196"/>
      <c r="ALD51" s="196"/>
      <c r="ALE51" s="196"/>
      <c r="ALF51" s="196"/>
      <c r="ALG51" s="196"/>
      <c r="ALH51" s="196"/>
      <c r="ALI51" s="196"/>
      <c r="ALJ51" s="196"/>
      <c r="ALK51" s="196"/>
      <c r="ALL51" s="196"/>
      <c r="ALM51" s="196"/>
      <c r="ALN51" s="196"/>
      <c r="ALO51" s="196"/>
      <c r="ALP51" s="196"/>
      <c r="ALQ51" s="196"/>
      <c r="ALR51" s="196"/>
      <c r="ALS51" s="196"/>
      <c r="ALT51" s="196"/>
      <c r="ALU51" s="196"/>
      <c r="ALV51" s="196"/>
      <c r="ALW51" s="196"/>
      <c r="ALX51" s="196"/>
      <c r="ALY51" s="196"/>
      <c r="ALZ51" s="196"/>
      <c r="AMA51" s="196"/>
      <c r="AMB51" s="196"/>
      <c r="AMC51" s="196"/>
      <c r="AMD51" s="196"/>
      <c r="AME51" s="196"/>
      <c r="AMF51" s="196"/>
      <c r="AMG51" s="196"/>
      <c r="AMH51" s="196"/>
      <c r="AMI51" s="196"/>
      <c r="AMJ51" s="196"/>
      <c r="AMK51" s="196"/>
      <c r="AML51" s="196"/>
      <c r="AMM51" s="196"/>
      <c r="AMN51" s="196"/>
      <c r="AMO51" s="196"/>
      <c r="AMP51" s="196"/>
      <c r="AMQ51" s="196"/>
      <c r="AMR51" s="196"/>
      <c r="AMS51" s="196"/>
      <c r="AMT51" s="196"/>
      <c r="AMU51" s="196"/>
      <c r="AMV51" s="196"/>
      <c r="AMW51" s="196"/>
      <c r="AMX51" s="196"/>
      <c r="AMY51" s="196"/>
      <c r="AMZ51" s="196"/>
      <c r="ANA51" s="196"/>
      <c r="ANB51" s="196"/>
      <c r="ANC51" s="196"/>
      <c r="AND51" s="196"/>
      <c r="ANE51" s="196"/>
      <c r="ANF51" s="196"/>
      <c r="ANG51" s="196"/>
      <c r="ANH51" s="196"/>
      <c r="ANI51" s="196"/>
      <c r="ANJ51" s="196"/>
      <c r="ANK51" s="196"/>
      <c r="ANL51" s="196"/>
      <c r="ANM51" s="196"/>
      <c r="ANN51" s="196"/>
      <c r="ANO51" s="196"/>
      <c r="ANP51" s="196"/>
      <c r="ANQ51" s="196"/>
      <c r="ANR51" s="196"/>
      <c r="ANS51" s="196"/>
      <c r="ANT51" s="196"/>
      <c r="ANU51" s="196"/>
      <c r="ANV51" s="196"/>
      <c r="ANW51" s="196"/>
      <c r="ANX51" s="196"/>
      <c r="ANY51" s="196"/>
      <c r="ANZ51" s="196"/>
      <c r="AOA51" s="196"/>
      <c r="AOB51" s="196"/>
      <c r="AOC51" s="196"/>
      <c r="AOD51" s="196"/>
      <c r="AOE51" s="196"/>
      <c r="AOF51" s="196"/>
      <c r="AOG51" s="196"/>
      <c r="AOH51" s="196"/>
      <c r="AOI51" s="196"/>
      <c r="AOJ51" s="196"/>
      <c r="AOK51" s="196"/>
      <c r="AOL51" s="196"/>
      <c r="AOM51" s="196"/>
      <c r="AON51" s="196"/>
      <c r="AOO51" s="196"/>
      <c r="AOP51" s="196"/>
      <c r="AOQ51" s="196"/>
      <c r="AOR51" s="196"/>
      <c r="AOS51" s="196"/>
      <c r="AOT51" s="196"/>
      <c r="AOU51" s="196"/>
      <c r="AOV51" s="196"/>
      <c r="AOW51" s="196"/>
      <c r="AOX51" s="196"/>
      <c r="AOY51" s="196"/>
      <c r="AOZ51" s="196"/>
      <c r="APA51" s="196"/>
      <c r="APB51" s="196"/>
      <c r="APC51" s="196"/>
      <c r="APD51" s="196"/>
      <c r="APE51" s="196"/>
      <c r="APF51" s="196"/>
      <c r="APG51" s="196"/>
      <c r="APH51" s="196"/>
      <c r="API51" s="196"/>
      <c r="APJ51" s="196"/>
      <c r="APK51" s="196"/>
      <c r="APL51" s="196"/>
      <c r="APM51" s="196"/>
      <c r="APN51" s="196"/>
      <c r="APO51" s="196"/>
      <c r="APP51" s="196"/>
      <c r="APQ51" s="196"/>
      <c r="APR51" s="196"/>
      <c r="APS51" s="196"/>
      <c r="APT51" s="196"/>
      <c r="APU51" s="196"/>
      <c r="APV51" s="196"/>
      <c r="APW51" s="196"/>
      <c r="APX51" s="196"/>
      <c r="APY51" s="196"/>
      <c r="APZ51" s="196"/>
      <c r="AQA51" s="196"/>
      <c r="AQB51" s="196"/>
      <c r="AQC51" s="196"/>
      <c r="AQD51" s="196"/>
      <c r="AQE51" s="196"/>
      <c r="AQF51" s="196"/>
      <c r="AQG51" s="196"/>
      <c r="AQH51" s="196"/>
      <c r="AQI51" s="196"/>
      <c r="AQJ51" s="196"/>
      <c r="AQK51" s="196"/>
      <c r="AQL51" s="196"/>
      <c r="AQM51" s="196"/>
      <c r="AQN51" s="196"/>
      <c r="AQO51" s="196"/>
      <c r="AQP51" s="196"/>
      <c r="AQQ51" s="196"/>
      <c r="AQR51" s="196"/>
      <c r="AQS51" s="196"/>
      <c r="AQT51" s="196"/>
      <c r="AQU51" s="196"/>
      <c r="AQV51" s="196"/>
      <c r="AQW51" s="196"/>
      <c r="AQX51" s="196"/>
      <c r="AQY51" s="196"/>
      <c r="AQZ51" s="196"/>
      <c r="ARA51" s="196"/>
      <c r="ARB51" s="196"/>
      <c r="ARC51" s="196"/>
      <c r="ARD51" s="196"/>
      <c r="ARE51" s="196"/>
      <c r="ARF51" s="196"/>
      <c r="ARG51" s="196"/>
      <c r="ARH51" s="196"/>
      <c r="ARI51" s="196"/>
      <c r="ARJ51" s="196"/>
      <c r="ARK51" s="196"/>
      <c r="ARL51" s="196"/>
      <c r="ARM51" s="196"/>
      <c r="ARN51" s="196"/>
      <c r="ARO51" s="196"/>
      <c r="ARP51" s="196"/>
      <c r="ARQ51" s="196"/>
      <c r="ARR51" s="196"/>
      <c r="ARS51" s="196"/>
      <c r="ART51" s="196"/>
      <c r="ARU51" s="196"/>
      <c r="ARV51" s="196"/>
      <c r="ARW51" s="196"/>
      <c r="ARX51" s="196"/>
      <c r="ARY51" s="196"/>
      <c r="ARZ51" s="196"/>
      <c r="ASA51" s="196"/>
      <c r="ASB51" s="196"/>
      <c r="ASC51" s="196"/>
      <c r="ASD51" s="196"/>
      <c r="ASE51" s="196"/>
      <c r="ASF51" s="196"/>
      <c r="ASG51" s="196"/>
      <c r="ASH51" s="196"/>
      <c r="ASI51" s="196"/>
      <c r="ASJ51" s="196"/>
      <c r="ASK51" s="196"/>
      <c r="ASL51" s="196"/>
      <c r="ASM51" s="196"/>
      <c r="ASN51" s="196"/>
      <c r="ASO51" s="196"/>
      <c r="ASP51" s="196"/>
      <c r="ASQ51" s="196"/>
      <c r="ASR51" s="196"/>
      <c r="ASS51" s="196"/>
      <c r="AST51" s="196"/>
      <c r="ASU51" s="196"/>
      <c r="ASV51" s="196"/>
      <c r="ASW51" s="196"/>
      <c r="ASX51" s="196"/>
      <c r="ASY51" s="196"/>
      <c r="ASZ51" s="196"/>
      <c r="ATA51" s="196"/>
      <c r="ATB51" s="196"/>
      <c r="ATC51" s="196"/>
      <c r="ATD51" s="196"/>
      <c r="ATE51" s="196"/>
      <c r="ATF51" s="196"/>
      <c r="ATG51" s="196"/>
      <c r="ATH51" s="196"/>
      <c r="ATI51" s="196"/>
      <c r="ATJ51" s="196"/>
      <c r="ATK51" s="196"/>
      <c r="ATL51" s="196"/>
      <c r="ATM51" s="196"/>
      <c r="ATN51" s="196"/>
      <c r="ATO51" s="196"/>
      <c r="ATP51" s="196"/>
      <c r="ATQ51" s="196"/>
      <c r="ATR51" s="196"/>
      <c r="ATS51" s="196"/>
      <c r="ATT51" s="196"/>
      <c r="ATU51" s="196"/>
      <c r="ATV51" s="196"/>
      <c r="ATW51" s="196"/>
      <c r="ATX51" s="196"/>
      <c r="ATY51" s="196"/>
      <c r="ATZ51" s="196"/>
      <c r="AUA51" s="196"/>
      <c r="AUB51" s="196"/>
      <c r="AUC51" s="196"/>
      <c r="AUD51" s="196"/>
      <c r="AUE51" s="196"/>
      <c r="AUF51" s="196"/>
      <c r="AUG51" s="196"/>
      <c r="AUH51" s="196"/>
      <c r="AUI51" s="196"/>
      <c r="AUJ51" s="196"/>
      <c r="AUK51" s="196"/>
      <c r="AUL51" s="196"/>
      <c r="AUM51" s="196"/>
      <c r="AUN51" s="196"/>
      <c r="AUO51" s="196"/>
      <c r="AUP51" s="196"/>
      <c r="AUQ51" s="196"/>
      <c r="AUR51" s="196"/>
      <c r="AUS51" s="196"/>
      <c r="AUT51" s="196"/>
      <c r="AUU51" s="196"/>
      <c r="AUV51" s="196"/>
      <c r="AUW51" s="196"/>
      <c r="AUX51" s="196"/>
      <c r="AUY51" s="196"/>
      <c r="AUZ51" s="196"/>
      <c r="AVA51" s="196"/>
      <c r="AVB51" s="196"/>
      <c r="AVC51" s="196"/>
      <c r="AVD51" s="196"/>
      <c r="AVE51" s="196"/>
      <c r="AVF51" s="196"/>
      <c r="AVG51" s="196"/>
      <c r="AVH51" s="196"/>
      <c r="AVI51" s="196"/>
      <c r="AVJ51" s="196"/>
      <c r="AVK51" s="196"/>
      <c r="AVL51" s="196"/>
      <c r="AVM51" s="196"/>
      <c r="AVN51" s="196"/>
      <c r="AVO51" s="196"/>
      <c r="AVP51" s="196"/>
      <c r="AVQ51" s="196"/>
      <c r="AVR51" s="196"/>
      <c r="AVS51" s="196"/>
      <c r="AVT51" s="196"/>
      <c r="AVU51" s="196"/>
      <c r="AVV51" s="196"/>
      <c r="AVW51" s="196"/>
      <c r="AVX51" s="196"/>
      <c r="AVY51" s="196"/>
      <c r="AVZ51" s="196"/>
      <c r="AWA51" s="196"/>
      <c r="AWB51" s="196"/>
      <c r="AWC51" s="196"/>
      <c r="AWD51" s="196"/>
      <c r="AWE51" s="196"/>
      <c r="AWF51" s="196"/>
      <c r="AWG51" s="196"/>
      <c r="AWH51" s="196"/>
      <c r="AWI51" s="196"/>
      <c r="AWJ51" s="196"/>
      <c r="AWK51" s="196"/>
      <c r="AWL51" s="196"/>
      <c r="AWM51" s="196"/>
      <c r="AWN51" s="196"/>
      <c r="AWO51" s="196"/>
      <c r="AWP51" s="196"/>
      <c r="AWQ51" s="196"/>
      <c r="AWR51" s="196"/>
      <c r="AWS51" s="196"/>
      <c r="AWT51" s="196"/>
      <c r="AWU51" s="196"/>
      <c r="AWV51" s="196"/>
      <c r="AWW51" s="196"/>
      <c r="AWX51" s="196"/>
      <c r="AWY51" s="196"/>
      <c r="AWZ51" s="196"/>
      <c r="AXA51" s="196"/>
      <c r="AXB51" s="196"/>
      <c r="AXC51" s="196"/>
      <c r="AXD51" s="196"/>
      <c r="AXE51" s="196"/>
      <c r="AXF51" s="196"/>
      <c r="AXG51" s="196"/>
      <c r="AXH51" s="196"/>
      <c r="AXI51" s="196"/>
      <c r="AXJ51" s="196"/>
      <c r="AXK51" s="196"/>
      <c r="AXL51" s="196"/>
      <c r="AXM51" s="196"/>
      <c r="AXN51" s="196"/>
      <c r="AXO51" s="196"/>
      <c r="AXP51" s="196"/>
      <c r="AXQ51" s="196"/>
      <c r="AXR51" s="196"/>
      <c r="AXS51" s="196"/>
      <c r="AXT51" s="196"/>
      <c r="AXU51" s="196"/>
      <c r="AXV51" s="196"/>
      <c r="AXW51" s="196"/>
      <c r="AXX51" s="196"/>
      <c r="AXY51" s="196"/>
      <c r="AXZ51" s="196"/>
      <c r="AYA51" s="196"/>
      <c r="AYB51" s="196"/>
      <c r="AYC51" s="196"/>
      <c r="AYD51" s="196"/>
      <c r="AYE51" s="196"/>
      <c r="AYF51" s="196"/>
      <c r="AYG51" s="196"/>
      <c r="AYH51" s="196"/>
      <c r="AYI51" s="196"/>
      <c r="AYJ51" s="196"/>
      <c r="AYK51" s="196"/>
      <c r="AYL51" s="196"/>
      <c r="AYM51" s="196"/>
      <c r="AYN51" s="196"/>
      <c r="AYO51" s="196"/>
      <c r="AYP51" s="196"/>
      <c r="AYQ51" s="196"/>
      <c r="AYR51" s="196"/>
      <c r="AYS51" s="196"/>
      <c r="AYT51" s="196"/>
      <c r="AYU51" s="196"/>
      <c r="AYV51" s="196"/>
      <c r="AYW51" s="196"/>
      <c r="AYX51" s="196"/>
      <c r="AYY51" s="196"/>
      <c r="AYZ51" s="196"/>
      <c r="AZA51" s="196"/>
      <c r="AZB51" s="196"/>
      <c r="AZC51" s="196"/>
      <c r="AZD51" s="196"/>
      <c r="AZE51" s="196"/>
      <c r="AZF51" s="196"/>
      <c r="AZG51" s="196"/>
      <c r="AZH51" s="196"/>
      <c r="AZI51" s="196"/>
      <c r="AZJ51" s="196"/>
      <c r="AZK51" s="196"/>
      <c r="AZL51" s="196"/>
      <c r="AZM51" s="196"/>
      <c r="AZN51" s="196"/>
      <c r="AZO51" s="196"/>
      <c r="AZP51" s="196"/>
      <c r="AZQ51" s="196"/>
      <c r="AZR51" s="196"/>
      <c r="AZS51" s="196"/>
      <c r="AZT51" s="196"/>
      <c r="AZU51" s="196"/>
      <c r="AZV51" s="196"/>
      <c r="AZW51" s="196"/>
      <c r="AZX51" s="196"/>
      <c r="AZY51" s="196"/>
      <c r="AZZ51" s="196"/>
      <c r="BAA51" s="196"/>
      <c r="BAB51" s="196"/>
      <c r="BAC51" s="196"/>
      <c r="BAD51" s="196"/>
      <c r="BAE51" s="196"/>
      <c r="BAF51" s="196"/>
      <c r="BAG51" s="196"/>
      <c r="BAH51" s="196"/>
      <c r="BAI51" s="196"/>
      <c r="BAJ51" s="196"/>
      <c r="BAK51" s="196"/>
      <c r="BAL51" s="196"/>
      <c r="BAM51" s="196"/>
      <c r="BAN51" s="196"/>
      <c r="BAO51" s="196"/>
      <c r="BAP51" s="196"/>
      <c r="BAQ51" s="196"/>
      <c r="BAR51" s="196"/>
      <c r="BAS51" s="196"/>
      <c r="BAT51" s="196"/>
      <c r="BAU51" s="196"/>
      <c r="BAV51" s="196"/>
      <c r="BAW51" s="196"/>
      <c r="BAX51" s="196"/>
      <c r="BAY51" s="196"/>
      <c r="BAZ51" s="196"/>
      <c r="BBA51" s="196"/>
      <c r="BBB51" s="196"/>
      <c r="BBC51" s="196"/>
      <c r="BBD51" s="196"/>
      <c r="BBE51" s="196"/>
      <c r="BBF51" s="196"/>
      <c r="BBG51" s="196"/>
      <c r="BBH51" s="196"/>
      <c r="BBI51" s="196"/>
      <c r="BBJ51" s="196"/>
      <c r="BBK51" s="196"/>
      <c r="BBL51" s="196"/>
      <c r="BBM51" s="196"/>
      <c r="BBN51" s="196"/>
      <c r="BBO51" s="196"/>
      <c r="BBP51" s="196"/>
      <c r="BBQ51" s="196"/>
      <c r="BBR51" s="196"/>
      <c r="BBS51" s="196"/>
      <c r="BBT51" s="196"/>
      <c r="BBU51" s="196"/>
      <c r="BBV51" s="196"/>
      <c r="BBW51" s="196"/>
      <c r="BBX51" s="196"/>
      <c r="BBY51" s="196"/>
      <c r="BBZ51" s="196"/>
      <c r="BCA51" s="196"/>
      <c r="BCB51" s="196"/>
      <c r="BCC51" s="196"/>
      <c r="BCD51" s="196"/>
      <c r="BCE51" s="196"/>
      <c r="BCF51" s="196"/>
      <c r="BCG51" s="196"/>
      <c r="BCH51" s="196"/>
      <c r="BCI51" s="196"/>
      <c r="BCJ51" s="196"/>
      <c r="BCK51" s="196"/>
      <c r="BCL51" s="196"/>
      <c r="BCM51" s="196"/>
      <c r="BCN51" s="196"/>
      <c r="BCO51" s="196"/>
      <c r="BCP51" s="196"/>
      <c r="BCQ51" s="196"/>
      <c r="BCR51" s="196"/>
      <c r="BCS51" s="196"/>
      <c r="BCT51" s="196"/>
      <c r="BCU51" s="196"/>
      <c r="BCV51" s="196"/>
      <c r="BCW51" s="196"/>
      <c r="BCX51" s="196"/>
      <c r="BCY51" s="196"/>
      <c r="BCZ51" s="196"/>
      <c r="BDA51" s="196"/>
      <c r="BDB51" s="196"/>
      <c r="BDC51" s="196"/>
      <c r="BDD51" s="196"/>
      <c r="BDE51" s="196"/>
      <c r="BDF51" s="196"/>
      <c r="BDG51" s="196"/>
      <c r="BDH51" s="196"/>
      <c r="BDI51" s="196"/>
      <c r="BDJ51" s="196"/>
      <c r="BDK51" s="196"/>
      <c r="BDL51" s="196"/>
      <c r="BDM51" s="196"/>
      <c r="BDN51" s="196"/>
      <c r="BDO51" s="196"/>
      <c r="BDP51" s="196"/>
      <c r="BDQ51" s="196"/>
      <c r="BDR51" s="196"/>
      <c r="BDS51" s="196"/>
      <c r="BDT51" s="196"/>
      <c r="BDU51" s="196"/>
      <c r="BDV51" s="196"/>
      <c r="BDW51" s="196"/>
      <c r="BDX51" s="196"/>
      <c r="BDY51" s="196"/>
      <c r="BDZ51" s="196"/>
      <c r="BEA51" s="196"/>
      <c r="BEB51" s="196"/>
      <c r="BEC51" s="196"/>
      <c r="BED51" s="196"/>
      <c r="BEE51" s="196"/>
      <c r="BEF51" s="196"/>
      <c r="BEG51" s="196"/>
      <c r="BEH51" s="196"/>
      <c r="BEI51" s="196"/>
      <c r="BEJ51" s="196"/>
      <c r="BEK51" s="196"/>
      <c r="BEL51" s="196"/>
      <c r="BEM51" s="196"/>
      <c r="BEN51" s="196"/>
      <c r="BEO51" s="196"/>
      <c r="BEP51" s="196"/>
      <c r="BEQ51" s="196"/>
      <c r="BER51" s="196"/>
      <c r="BES51" s="196"/>
      <c r="BET51" s="196"/>
      <c r="BEU51" s="196"/>
      <c r="BEV51" s="196"/>
      <c r="BEW51" s="196"/>
      <c r="BEX51" s="196"/>
      <c r="BEY51" s="196"/>
      <c r="BEZ51" s="196"/>
      <c r="BFA51" s="196"/>
      <c r="BFB51" s="196"/>
      <c r="BFC51" s="196"/>
      <c r="BFD51" s="196"/>
      <c r="BFE51" s="196"/>
      <c r="BFF51" s="196"/>
      <c r="BFG51" s="196"/>
      <c r="BFH51" s="196"/>
      <c r="BFI51" s="196"/>
      <c r="BFJ51" s="196"/>
      <c r="BFK51" s="196"/>
      <c r="BFL51" s="196"/>
      <c r="BFM51" s="196"/>
      <c r="BFN51" s="196"/>
      <c r="BFO51" s="196"/>
      <c r="BFP51" s="196"/>
      <c r="BFQ51" s="196"/>
      <c r="BFR51" s="196"/>
      <c r="BFS51" s="196"/>
      <c r="BFT51" s="196"/>
      <c r="BFU51" s="196"/>
      <c r="BFV51" s="196"/>
      <c r="BFW51" s="196"/>
      <c r="BFX51" s="196"/>
      <c r="BFY51" s="196"/>
      <c r="BFZ51" s="196"/>
      <c r="BGA51" s="196"/>
      <c r="BGB51" s="196"/>
      <c r="BGC51" s="196"/>
      <c r="BGD51" s="196"/>
      <c r="BGE51" s="196"/>
      <c r="BGF51" s="196"/>
      <c r="BGG51" s="196"/>
      <c r="BGH51" s="196"/>
      <c r="BGI51" s="196"/>
      <c r="BGJ51" s="196"/>
      <c r="BGK51" s="196"/>
      <c r="BGL51" s="196"/>
      <c r="BGM51" s="196"/>
      <c r="BGN51" s="196"/>
      <c r="BGO51" s="196"/>
      <c r="BGP51" s="196"/>
      <c r="BGQ51" s="196"/>
      <c r="BGR51" s="196"/>
      <c r="BGS51" s="196"/>
      <c r="BGT51" s="196"/>
      <c r="BGU51" s="196"/>
      <c r="BGV51" s="196"/>
      <c r="BGW51" s="196"/>
      <c r="BGX51" s="196"/>
      <c r="BGY51" s="196"/>
      <c r="BGZ51" s="196"/>
      <c r="BHA51" s="196"/>
      <c r="BHB51" s="196"/>
      <c r="BHC51" s="196"/>
      <c r="BHD51" s="196"/>
      <c r="BHE51" s="196"/>
      <c r="BHF51" s="196"/>
      <c r="BHG51" s="196"/>
      <c r="BHH51" s="196"/>
      <c r="BHI51" s="196"/>
      <c r="BHJ51" s="196"/>
      <c r="BHK51" s="196"/>
      <c r="BHL51" s="196"/>
      <c r="BHM51" s="196"/>
      <c r="BHN51" s="196"/>
      <c r="BHO51" s="196"/>
      <c r="BHP51" s="196"/>
      <c r="BHQ51" s="196"/>
      <c r="BHR51" s="196"/>
      <c r="BHS51" s="196"/>
      <c r="BHT51" s="196"/>
      <c r="BHU51" s="196"/>
      <c r="BHV51" s="196"/>
      <c r="BHW51" s="196"/>
      <c r="BHX51" s="196"/>
      <c r="BHY51" s="196"/>
      <c r="BHZ51" s="196"/>
      <c r="BIA51" s="196"/>
      <c r="BIB51" s="196"/>
      <c r="BIC51" s="196"/>
      <c r="BID51" s="196"/>
      <c r="BIE51" s="196"/>
      <c r="BIF51" s="196"/>
      <c r="BIG51" s="196"/>
      <c r="BIH51" s="196"/>
      <c r="BII51" s="196"/>
      <c r="BIJ51" s="196"/>
      <c r="BIK51" s="196"/>
      <c r="BIL51" s="196"/>
      <c r="BIM51" s="196"/>
      <c r="BIN51" s="196"/>
      <c r="BIO51" s="196"/>
      <c r="BIP51" s="196"/>
      <c r="BIQ51" s="196"/>
      <c r="BIR51" s="196"/>
      <c r="BIS51" s="196"/>
      <c r="BIT51" s="196"/>
      <c r="BIU51" s="196"/>
      <c r="BIV51" s="196"/>
      <c r="BIW51" s="196"/>
      <c r="BIX51" s="196"/>
      <c r="BIY51" s="196"/>
      <c r="BIZ51" s="196"/>
      <c r="BJA51" s="196"/>
      <c r="BJB51" s="196"/>
      <c r="BJC51" s="196"/>
      <c r="BJD51" s="196"/>
      <c r="BJE51" s="196"/>
      <c r="BJF51" s="196"/>
      <c r="BJG51" s="196"/>
      <c r="BJH51" s="196"/>
      <c r="BJI51" s="196"/>
      <c r="BJJ51" s="196"/>
      <c r="BJK51" s="196"/>
      <c r="BJL51" s="196"/>
      <c r="BJM51" s="196"/>
      <c r="BJN51" s="196"/>
      <c r="BJO51" s="196"/>
      <c r="BJP51" s="196"/>
      <c r="BJQ51" s="196"/>
      <c r="BJR51" s="196"/>
      <c r="BJS51" s="196"/>
      <c r="BJT51" s="196"/>
      <c r="BJU51" s="196"/>
      <c r="BJV51" s="196"/>
      <c r="BJW51" s="196"/>
      <c r="BJX51" s="196"/>
      <c r="BJY51" s="196"/>
      <c r="BJZ51" s="196"/>
      <c r="BKA51" s="196"/>
      <c r="BKB51" s="196"/>
      <c r="BKC51" s="196"/>
      <c r="BKD51" s="196"/>
      <c r="BKE51" s="196"/>
      <c r="BKF51" s="196"/>
      <c r="BKG51" s="196"/>
      <c r="BKH51" s="196"/>
      <c r="BKI51" s="196"/>
      <c r="BKJ51" s="196"/>
      <c r="BKK51" s="196"/>
      <c r="BKL51" s="196"/>
      <c r="BKM51" s="196"/>
      <c r="BKN51" s="196"/>
      <c r="BKO51" s="196"/>
      <c r="BKP51" s="196"/>
      <c r="BKQ51" s="196"/>
      <c r="BKR51" s="196"/>
      <c r="BKS51" s="196"/>
      <c r="BKT51" s="196"/>
      <c r="BKU51" s="196"/>
      <c r="BKV51" s="196"/>
      <c r="BKW51" s="196"/>
      <c r="BKX51" s="196"/>
      <c r="BKY51" s="196"/>
      <c r="BKZ51" s="196"/>
      <c r="BLA51" s="196"/>
      <c r="BLB51" s="196"/>
      <c r="BLC51" s="196"/>
      <c r="BLD51" s="196"/>
      <c r="BLE51" s="196"/>
      <c r="BLF51" s="196"/>
      <c r="BLG51" s="196"/>
      <c r="BLH51" s="196"/>
      <c r="BLI51" s="196"/>
      <c r="BLJ51" s="196"/>
      <c r="BLK51" s="196"/>
      <c r="BLL51" s="196"/>
      <c r="BLM51" s="196"/>
      <c r="BLN51" s="196"/>
      <c r="BLO51" s="196"/>
      <c r="BLP51" s="196"/>
      <c r="BLQ51" s="196"/>
      <c r="BLR51" s="196"/>
      <c r="BLS51" s="196"/>
      <c r="BLT51" s="196"/>
      <c r="BLU51" s="196"/>
      <c r="BLV51" s="196"/>
      <c r="BLW51" s="196"/>
      <c r="BLX51" s="196"/>
      <c r="BLY51" s="196"/>
      <c r="BLZ51" s="196"/>
      <c r="BMA51" s="196"/>
      <c r="BMB51" s="196"/>
      <c r="BMC51" s="196"/>
      <c r="BMD51" s="196"/>
      <c r="BME51" s="196"/>
      <c r="BMF51" s="196"/>
      <c r="BMG51" s="196"/>
      <c r="BMH51" s="196"/>
      <c r="BMI51" s="196"/>
      <c r="BMJ51" s="196"/>
      <c r="BMK51" s="196"/>
      <c r="BML51" s="196"/>
      <c r="BMM51" s="196"/>
      <c r="BMN51" s="196"/>
      <c r="BMO51" s="196"/>
      <c r="BMP51" s="196"/>
      <c r="BMQ51" s="196"/>
      <c r="BMR51" s="196"/>
      <c r="BMS51" s="196"/>
      <c r="BMT51" s="196"/>
      <c r="BMU51" s="196"/>
      <c r="BMV51" s="196"/>
      <c r="BMW51" s="196"/>
      <c r="BMX51" s="196"/>
      <c r="BMY51" s="196"/>
      <c r="BMZ51" s="196"/>
      <c r="BNA51" s="196"/>
      <c r="BNB51" s="196"/>
      <c r="BNC51" s="196"/>
      <c r="BND51" s="196"/>
      <c r="BNE51" s="196"/>
      <c r="BNF51" s="196"/>
      <c r="BNG51" s="196"/>
      <c r="BNH51" s="196"/>
      <c r="BNI51" s="196"/>
      <c r="BNJ51" s="196"/>
      <c r="BNK51" s="196"/>
      <c r="BNL51" s="196"/>
      <c r="BNM51" s="196"/>
      <c r="BNN51" s="196"/>
      <c r="BNO51" s="196"/>
      <c r="BNP51" s="196"/>
      <c r="BNQ51" s="196"/>
      <c r="BNR51" s="196"/>
      <c r="BNS51" s="196"/>
      <c r="BNT51" s="196"/>
      <c r="BNU51" s="196"/>
      <c r="BNV51" s="196"/>
      <c r="BNW51" s="196"/>
      <c r="BNX51" s="196"/>
      <c r="BNY51" s="196"/>
      <c r="BNZ51" s="196"/>
      <c r="BOA51" s="196"/>
      <c r="BOB51" s="196"/>
      <c r="BOC51" s="196"/>
      <c r="BOD51" s="196"/>
      <c r="BOE51" s="196"/>
      <c r="BOF51" s="196"/>
      <c r="BOG51" s="196"/>
      <c r="BOH51" s="196"/>
      <c r="BOI51" s="196"/>
      <c r="BOJ51" s="196"/>
      <c r="BOK51" s="196"/>
      <c r="BOL51" s="196"/>
      <c r="BOM51" s="196"/>
      <c r="BON51" s="196"/>
      <c r="BOO51" s="196"/>
      <c r="BOP51" s="196"/>
      <c r="BOQ51" s="196"/>
      <c r="BOR51" s="196"/>
      <c r="BOS51" s="196"/>
      <c r="BOT51" s="196"/>
      <c r="BOU51" s="196"/>
      <c r="BOV51" s="196"/>
      <c r="BOW51" s="196"/>
      <c r="BOX51" s="196"/>
      <c r="BOY51" s="196"/>
      <c r="BOZ51" s="196"/>
      <c r="BPA51" s="196"/>
      <c r="BPB51" s="196"/>
      <c r="BPC51" s="196"/>
      <c r="BPD51" s="196"/>
      <c r="BPE51" s="196"/>
      <c r="BPF51" s="196"/>
      <c r="BPG51" s="196"/>
      <c r="BPH51" s="196"/>
      <c r="BPI51" s="196"/>
      <c r="BPJ51" s="196"/>
      <c r="BPK51" s="196"/>
      <c r="BPL51" s="196"/>
      <c r="BPM51" s="196"/>
      <c r="BPN51" s="196"/>
      <c r="BPO51" s="196"/>
      <c r="BPP51" s="196"/>
      <c r="BPQ51" s="196"/>
      <c r="BPR51" s="196"/>
      <c r="BPS51" s="196"/>
      <c r="BPT51" s="196"/>
      <c r="BPU51" s="196"/>
      <c r="BPV51" s="196"/>
      <c r="BPW51" s="196"/>
      <c r="BPX51" s="196"/>
      <c r="BPY51" s="196"/>
      <c r="BPZ51" s="196"/>
      <c r="BQA51" s="196"/>
      <c r="BQB51" s="196"/>
      <c r="BQC51" s="196"/>
      <c r="BQD51" s="196"/>
      <c r="BQE51" s="196"/>
      <c r="BQF51" s="196"/>
      <c r="BQG51" s="196"/>
      <c r="BQH51" s="196"/>
      <c r="BQI51" s="196"/>
      <c r="BQJ51" s="196"/>
      <c r="BQK51" s="196"/>
      <c r="BQL51" s="196"/>
      <c r="BQM51" s="196"/>
      <c r="BQN51" s="196"/>
      <c r="BQO51" s="196"/>
      <c r="BQP51" s="196"/>
      <c r="BQQ51" s="196"/>
      <c r="BQR51" s="196"/>
      <c r="BQS51" s="196"/>
      <c r="BQT51" s="196"/>
      <c r="BQU51" s="196"/>
      <c r="BQV51" s="196"/>
      <c r="BQW51" s="196"/>
      <c r="BQX51" s="196"/>
      <c r="BQY51" s="196"/>
      <c r="BQZ51" s="196"/>
      <c r="BRA51" s="196"/>
      <c r="BRB51" s="196"/>
      <c r="BRC51" s="196"/>
      <c r="BRD51" s="196"/>
      <c r="BRE51" s="196"/>
      <c r="BRF51" s="196"/>
      <c r="BRG51" s="196"/>
      <c r="BRH51" s="196"/>
      <c r="BRI51" s="196"/>
      <c r="BRJ51" s="196"/>
      <c r="BRK51" s="196"/>
      <c r="BRL51" s="196"/>
      <c r="BRM51" s="196"/>
      <c r="BRN51" s="196"/>
      <c r="BRO51" s="196"/>
      <c r="BRP51" s="196"/>
      <c r="BRQ51" s="196"/>
      <c r="BRR51" s="196"/>
      <c r="BRS51" s="196"/>
      <c r="BRT51" s="196"/>
      <c r="BRU51" s="196"/>
      <c r="BRV51" s="196"/>
      <c r="BRW51" s="196"/>
      <c r="BRX51" s="196"/>
      <c r="BRY51" s="196"/>
      <c r="BRZ51" s="196"/>
      <c r="BSA51" s="196"/>
      <c r="BSB51" s="196"/>
      <c r="BSC51" s="196"/>
      <c r="BSD51" s="196"/>
      <c r="BSE51" s="196"/>
      <c r="BSF51" s="196"/>
      <c r="BSG51" s="196"/>
      <c r="BSH51" s="196"/>
      <c r="BSI51" s="196"/>
      <c r="BSJ51" s="196"/>
      <c r="BSK51" s="196"/>
      <c r="BSL51" s="196"/>
      <c r="BSM51" s="196"/>
      <c r="BSN51" s="196"/>
      <c r="BSO51" s="196"/>
      <c r="BSP51" s="196"/>
      <c r="BSQ51" s="196"/>
      <c r="BSR51" s="196"/>
      <c r="BSS51" s="196"/>
      <c r="BST51" s="196"/>
      <c r="BSU51" s="196"/>
      <c r="BSV51" s="196"/>
      <c r="BSW51" s="196"/>
      <c r="BSX51" s="196"/>
      <c r="BSY51" s="196"/>
      <c r="BSZ51" s="196"/>
      <c r="BTA51" s="196"/>
      <c r="BTB51" s="196"/>
      <c r="BTC51" s="196"/>
      <c r="BTD51" s="196"/>
      <c r="BTE51" s="196"/>
      <c r="BTF51" s="196"/>
      <c r="BTG51" s="196"/>
      <c r="BTH51" s="196"/>
      <c r="BTI51" s="196"/>
      <c r="BTJ51" s="196"/>
      <c r="BTK51" s="196"/>
      <c r="BTL51" s="196"/>
      <c r="BTM51" s="196"/>
      <c r="BTN51" s="196"/>
      <c r="BTO51" s="196"/>
      <c r="BTP51" s="196"/>
      <c r="BTQ51" s="196"/>
      <c r="BTR51" s="196"/>
      <c r="BTS51" s="196"/>
      <c r="BTT51" s="196"/>
      <c r="BTU51" s="196"/>
      <c r="BTV51" s="196"/>
      <c r="BTW51" s="196"/>
      <c r="BTX51" s="196"/>
      <c r="BTY51" s="196"/>
      <c r="BTZ51" s="196"/>
      <c r="BUA51" s="196"/>
      <c r="BUB51" s="196"/>
      <c r="BUC51" s="196"/>
      <c r="BUD51" s="196"/>
      <c r="BUE51" s="196"/>
      <c r="BUF51" s="196"/>
      <c r="BUG51" s="196"/>
      <c r="BUH51" s="196"/>
      <c r="BUI51" s="196"/>
      <c r="BUJ51" s="196"/>
      <c r="BUK51" s="196"/>
      <c r="BUL51" s="196"/>
      <c r="BUM51" s="196"/>
      <c r="BUN51" s="196"/>
      <c r="BUO51" s="196"/>
      <c r="BUP51" s="196"/>
      <c r="BUQ51" s="196"/>
      <c r="BUR51" s="196"/>
      <c r="BUS51" s="196"/>
      <c r="BUT51" s="196"/>
      <c r="BUU51" s="196"/>
      <c r="BUV51" s="196"/>
      <c r="BUW51" s="196"/>
      <c r="BUX51" s="196"/>
      <c r="BUY51" s="196"/>
      <c r="BUZ51" s="196"/>
      <c r="BVA51" s="196"/>
      <c r="BVB51" s="196"/>
      <c r="BVC51" s="196"/>
      <c r="BVD51" s="196"/>
      <c r="BVE51" s="196"/>
      <c r="BVF51" s="196"/>
      <c r="BVG51" s="196"/>
      <c r="BVH51" s="196"/>
      <c r="BVI51" s="196"/>
      <c r="BVJ51" s="196"/>
      <c r="BVK51" s="196"/>
      <c r="BVL51" s="196"/>
      <c r="BVM51" s="196"/>
      <c r="BVN51" s="196"/>
      <c r="BVO51" s="196"/>
      <c r="BVP51" s="196"/>
      <c r="BVQ51" s="196"/>
      <c r="BVR51" s="196"/>
      <c r="BVS51" s="196"/>
      <c r="BVT51" s="196"/>
      <c r="BVU51" s="196"/>
      <c r="BVV51" s="196"/>
      <c r="BVW51" s="196"/>
      <c r="BVX51" s="196"/>
      <c r="BVY51" s="196"/>
      <c r="BVZ51" s="196"/>
      <c r="BWA51" s="196"/>
      <c r="BWB51" s="196"/>
      <c r="BWC51" s="196"/>
      <c r="BWD51" s="196"/>
      <c r="BWE51" s="196"/>
      <c r="BWF51" s="196"/>
      <c r="BWG51" s="196"/>
      <c r="BWH51" s="196"/>
      <c r="BWI51" s="196"/>
      <c r="BWJ51" s="196"/>
      <c r="BWK51" s="196"/>
      <c r="BWL51" s="196"/>
      <c r="BWM51" s="196"/>
      <c r="BWN51" s="196"/>
      <c r="BWO51" s="196"/>
      <c r="BWP51" s="196"/>
      <c r="BWQ51" s="196"/>
      <c r="BWR51" s="196"/>
      <c r="BWS51" s="196"/>
      <c r="BWT51" s="196"/>
      <c r="BWU51" s="196"/>
      <c r="BWV51" s="196"/>
      <c r="BWW51" s="196"/>
      <c r="BWX51" s="196"/>
      <c r="BWY51" s="196"/>
      <c r="BWZ51" s="196"/>
      <c r="BXA51" s="196"/>
      <c r="BXB51" s="196"/>
      <c r="BXC51" s="196"/>
      <c r="BXD51" s="196"/>
      <c r="BXE51" s="196"/>
      <c r="BXF51" s="196"/>
      <c r="BXG51" s="196"/>
      <c r="BXH51" s="196"/>
      <c r="BXI51" s="196"/>
      <c r="BXJ51" s="196"/>
      <c r="BXK51" s="196"/>
      <c r="BXL51" s="196"/>
      <c r="BXM51" s="196"/>
      <c r="BXN51" s="196"/>
      <c r="BXO51" s="196"/>
      <c r="BXP51" s="196"/>
      <c r="BXQ51" s="196"/>
      <c r="BXR51" s="196"/>
      <c r="BXS51" s="196"/>
      <c r="BXT51" s="196"/>
      <c r="BXU51" s="196"/>
      <c r="BXV51" s="196"/>
      <c r="BXW51" s="196"/>
      <c r="BXX51" s="196"/>
      <c r="BXY51" s="196"/>
      <c r="BXZ51" s="196"/>
      <c r="BYA51" s="196"/>
      <c r="BYB51" s="196"/>
      <c r="BYC51" s="196"/>
      <c r="BYD51" s="196"/>
      <c r="BYE51" s="196"/>
      <c r="BYF51" s="196"/>
      <c r="BYG51" s="196"/>
    </row>
    <row r="52" spans="1:2009" s="95" customFormat="1" ht="12.75" customHeight="1" x14ac:dyDescent="0.25">
      <c r="A52" s="118"/>
      <c r="B52" s="119"/>
      <c r="C52" s="170"/>
      <c r="D52" s="170"/>
      <c r="E52" s="170"/>
      <c r="F52" s="170"/>
      <c r="G52" s="645"/>
      <c r="H52" s="93"/>
      <c r="I52" s="544"/>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3" t="s">
        <v>175</v>
      </c>
      <c r="B53" s="344"/>
      <c r="C53" s="345"/>
      <c r="D53" s="355"/>
      <c r="E53" s="355"/>
      <c r="F53" s="355"/>
      <c r="G53" s="649"/>
      <c r="H53" s="93"/>
      <c r="I53" s="544"/>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6"/>
      <c r="B54" s="349" t="s">
        <v>210</v>
      </c>
      <c r="C54" s="453"/>
      <c r="D54" s="453"/>
      <c r="E54" s="453"/>
      <c r="F54" s="453"/>
      <c r="G54" s="650">
        <f>SUM(C54:F54)</f>
        <v>0</v>
      </c>
      <c r="H54" s="93"/>
      <c r="I54" s="544"/>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7"/>
      <c r="B55" s="350" t="s">
        <v>211</v>
      </c>
      <c r="C55" s="454"/>
      <c r="D55" s="454"/>
      <c r="E55" s="454"/>
      <c r="F55" s="454"/>
      <c r="G55" s="651">
        <f>SUM(C55:F55)</f>
        <v>0</v>
      </c>
      <c r="H55" s="93"/>
      <c r="I55" s="544"/>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1033" t="s">
        <v>176</v>
      </c>
      <c r="B56" s="1034"/>
      <c r="C56" s="348">
        <f t="shared" ref="C56" si="2">SUM(C53:C55)</f>
        <v>0</v>
      </c>
      <c r="D56" s="348"/>
      <c r="E56" s="348"/>
      <c r="F56" s="348"/>
      <c r="G56" s="652">
        <f t="shared" ref="G56" si="3">SUM(G53:G55)</f>
        <v>0</v>
      </c>
      <c r="H56" s="93"/>
      <c r="I56" s="544"/>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35"/>
      <c r="H57" s="93"/>
      <c r="I57" s="544"/>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1" t="s">
        <v>315</v>
      </c>
      <c r="B58" s="458"/>
      <c r="C58" s="459"/>
      <c r="D58" s="460"/>
      <c r="E58" s="460"/>
      <c r="F58" s="460"/>
      <c r="G58" s="653">
        <f>SUM(C58:F58)</f>
        <v>0</v>
      </c>
      <c r="H58" s="93"/>
      <c r="I58" s="544"/>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customHeight="1" thickBot="1" x14ac:dyDescent="0.3">
      <c r="A59" s="110"/>
      <c r="B59" s="110"/>
      <c r="C59" s="175"/>
      <c r="D59" s="175"/>
      <c r="E59" s="175"/>
      <c r="F59" s="175"/>
      <c r="G59" s="635"/>
      <c r="H59" s="93"/>
      <c r="I59" s="544"/>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498" t="s">
        <v>306</v>
      </c>
      <c r="B60" s="371"/>
      <c r="C60" s="372">
        <v>4487.3500000000004</v>
      </c>
      <c r="D60" s="372"/>
      <c r="E60" s="372"/>
      <c r="F60" s="372"/>
      <c r="G60" s="816">
        <f>SUM(C60:F60)</f>
        <v>4487.3500000000004</v>
      </c>
      <c r="H60" s="93"/>
      <c r="I60" s="544"/>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customHeight="1" thickBot="1" x14ac:dyDescent="0.3">
      <c r="A61" s="110"/>
      <c r="B61" s="110"/>
      <c r="C61" s="430"/>
      <c r="D61" s="175"/>
      <c r="E61" s="175"/>
      <c r="F61" s="175"/>
      <c r="G61" s="635"/>
      <c r="H61" s="93"/>
      <c r="I61" s="544"/>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hidden="1" customHeight="1" thickBot="1" x14ac:dyDescent="0.3">
      <c r="A62" s="457" t="s">
        <v>448</v>
      </c>
      <c r="B62" s="456"/>
      <c r="C62" s="431"/>
      <c r="D62" s="432"/>
      <c r="E62" s="432"/>
      <c r="F62" s="432"/>
      <c r="G62" s="654">
        <f>SUM(C62:F62)</f>
        <v>0</v>
      </c>
      <c r="H62" s="93"/>
      <c r="I62" s="544"/>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hidden="1" customHeight="1" thickBot="1" x14ac:dyDescent="0.3">
      <c r="A63" s="658"/>
      <c r="B63" s="658"/>
      <c r="C63" s="430"/>
      <c r="D63" s="175"/>
      <c r="E63" s="175"/>
      <c r="F63" s="175"/>
      <c r="G63" s="635"/>
      <c r="H63" s="93"/>
      <c r="I63" s="544"/>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7" customHeight="1" x14ac:dyDescent="0.25">
      <c r="A64" s="828" t="s">
        <v>483</v>
      </c>
      <c r="B64" s="829"/>
      <c r="C64" s="830"/>
      <c r="D64" s="831"/>
      <c r="E64" s="831">
        <v>400</v>
      </c>
      <c r="F64" s="831"/>
      <c r="G64" s="832">
        <f>SUM(C64:F64)</f>
        <v>400</v>
      </c>
      <c r="H64" s="93"/>
      <c r="I64" s="544"/>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24.95" customHeight="1" thickBot="1" x14ac:dyDescent="0.3">
      <c r="A65" s="833" t="s">
        <v>339</v>
      </c>
      <c r="B65" s="834"/>
      <c r="C65" s="835"/>
      <c r="D65" s="836"/>
      <c r="E65" s="836">
        <v>5920</v>
      </c>
      <c r="F65" s="836"/>
      <c r="G65" s="837">
        <f>SUM(C65:F65)</f>
        <v>5920</v>
      </c>
      <c r="H65" s="93"/>
      <c r="I65" s="544"/>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12" customHeight="1" thickBot="1" x14ac:dyDescent="0.3">
      <c r="A66" s="658"/>
      <c r="B66" s="658"/>
      <c r="C66" s="430"/>
      <c r="D66" s="175"/>
      <c r="E66" s="175"/>
      <c r="F66" s="175"/>
      <c r="G66" s="635"/>
      <c r="H66" s="93"/>
      <c r="I66" s="544"/>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120" customFormat="1" ht="24.95" customHeight="1" thickBot="1" x14ac:dyDescent="0.3">
      <c r="A67" s="706" t="s">
        <v>599</v>
      </c>
      <c r="B67" s="707"/>
      <c r="C67" s="708">
        <v>52000</v>
      </c>
      <c r="D67" s="709"/>
      <c r="E67" s="709"/>
      <c r="F67" s="709"/>
      <c r="G67" s="710">
        <f>SUM(C67:F67)</f>
        <v>52000</v>
      </c>
      <c r="H67" s="93"/>
      <c r="I67" s="544"/>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c r="FS67" s="94"/>
      <c r="FT67" s="94"/>
      <c r="FU67" s="94"/>
      <c r="FV67" s="94"/>
      <c r="FW67" s="94"/>
      <c r="FX67" s="94"/>
      <c r="FY67" s="94"/>
      <c r="FZ67" s="94"/>
      <c r="GA67" s="94"/>
      <c r="GB67" s="94"/>
      <c r="GC67" s="94"/>
      <c r="GD67" s="94"/>
      <c r="GE67" s="94"/>
      <c r="GF67" s="94"/>
      <c r="GG67" s="94"/>
      <c r="GH67" s="94"/>
      <c r="GI67" s="94"/>
      <c r="GJ67" s="94"/>
      <c r="GK67" s="94"/>
      <c r="GL67" s="94"/>
      <c r="GM67" s="94"/>
      <c r="GN67" s="94"/>
      <c r="GO67" s="94"/>
      <c r="GP67" s="94"/>
      <c r="GQ67" s="94"/>
      <c r="GR67" s="94"/>
      <c r="GS67" s="94"/>
      <c r="GT67" s="94"/>
      <c r="GU67" s="94"/>
      <c r="GV67" s="94"/>
      <c r="GW67" s="94"/>
      <c r="GX67" s="94"/>
      <c r="GY67" s="94"/>
      <c r="GZ67" s="94"/>
      <c r="HA67" s="94"/>
      <c r="HB67" s="94"/>
      <c r="HC67" s="94"/>
      <c r="HD67" s="94"/>
      <c r="HE67" s="94"/>
      <c r="HF67" s="94"/>
      <c r="HG67" s="94"/>
      <c r="HH67" s="94"/>
      <c r="HI67" s="94"/>
      <c r="HJ67" s="94"/>
      <c r="HK67" s="94"/>
      <c r="HL67" s="94"/>
      <c r="HM67" s="94"/>
      <c r="HN67" s="94"/>
      <c r="HO67" s="94"/>
      <c r="HP67" s="94"/>
      <c r="HQ67" s="94"/>
      <c r="HR67" s="94"/>
      <c r="HS67" s="94"/>
      <c r="HT67" s="94"/>
      <c r="HU67" s="94"/>
      <c r="HV67" s="94"/>
      <c r="HW67" s="94"/>
      <c r="HX67" s="94"/>
      <c r="HY67" s="94"/>
      <c r="HZ67" s="94"/>
      <c r="IA67" s="94"/>
      <c r="IB67" s="94"/>
      <c r="IC67" s="94"/>
      <c r="ID67" s="94"/>
      <c r="IE67" s="94"/>
      <c r="IF67" s="94"/>
      <c r="IG67" s="94"/>
      <c r="IH67" s="94"/>
      <c r="II67" s="94"/>
      <c r="IJ67" s="94"/>
      <c r="IK67" s="94"/>
      <c r="IL67" s="94"/>
      <c r="IM67" s="94"/>
      <c r="IN67" s="94"/>
      <c r="IO67" s="94"/>
      <c r="IP67" s="94"/>
      <c r="IQ67" s="94"/>
      <c r="IR67" s="94"/>
      <c r="IS67" s="94"/>
      <c r="IT67" s="94"/>
      <c r="IU67" s="94"/>
      <c r="IV67" s="94"/>
      <c r="IW67" s="94"/>
      <c r="IX67" s="94"/>
      <c r="IY67" s="94"/>
      <c r="IZ67" s="94"/>
      <c r="JA67" s="94"/>
      <c r="JB67" s="94"/>
      <c r="JC67" s="94"/>
      <c r="JD67" s="94"/>
      <c r="JE67" s="94"/>
      <c r="JF67" s="94"/>
      <c r="JG67" s="94"/>
      <c r="JH67" s="94"/>
      <c r="JI67" s="94"/>
      <c r="JJ67" s="94"/>
      <c r="JK67" s="94"/>
      <c r="JL67" s="94"/>
      <c r="JM67" s="94"/>
      <c r="JN67" s="94"/>
      <c r="JO67" s="94"/>
      <c r="JP67" s="94"/>
      <c r="JQ67" s="94"/>
      <c r="JR67" s="94"/>
      <c r="JS67" s="94"/>
      <c r="JT67" s="94"/>
      <c r="JU67" s="94"/>
      <c r="JV67" s="94"/>
      <c r="JW67" s="94"/>
      <c r="JX67" s="94"/>
      <c r="JY67" s="94"/>
      <c r="JZ67" s="94"/>
      <c r="KA67" s="94"/>
      <c r="KB67" s="94"/>
      <c r="KC67" s="94"/>
      <c r="KD67" s="94"/>
      <c r="KE67" s="94"/>
      <c r="KF67" s="94"/>
      <c r="KG67" s="94"/>
      <c r="KH67" s="94"/>
      <c r="KI67" s="94"/>
      <c r="KJ67" s="94"/>
      <c r="KK67" s="94"/>
      <c r="KL67" s="94"/>
      <c r="KM67" s="94"/>
      <c r="KN67" s="94"/>
      <c r="KO67" s="94"/>
      <c r="KP67" s="94"/>
      <c r="KQ67" s="94"/>
      <c r="KR67" s="94"/>
      <c r="KS67" s="94"/>
      <c r="KT67" s="94"/>
      <c r="KU67" s="94"/>
      <c r="KV67" s="94"/>
      <c r="KW67" s="94"/>
      <c r="KX67" s="94"/>
      <c r="KY67" s="94"/>
      <c r="KZ67" s="94"/>
      <c r="LA67" s="94"/>
      <c r="LB67" s="94"/>
      <c r="LC67" s="94"/>
      <c r="LD67" s="94"/>
      <c r="LE67" s="94"/>
      <c r="LF67" s="94"/>
      <c r="LG67" s="94"/>
      <c r="LH67" s="94"/>
      <c r="LI67" s="94"/>
      <c r="LJ67" s="94"/>
      <c r="LK67" s="94"/>
      <c r="LL67" s="94"/>
      <c r="LM67" s="94"/>
      <c r="LN67" s="94"/>
      <c r="LO67" s="94"/>
      <c r="LP67" s="94"/>
      <c r="LQ67" s="94"/>
      <c r="LR67" s="94"/>
      <c r="LS67" s="94"/>
      <c r="LT67" s="94"/>
      <c r="LU67" s="94"/>
      <c r="LV67" s="94"/>
      <c r="LW67" s="94"/>
      <c r="LX67" s="94"/>
      <c r="LY67" s="94"/>
      <c r="LZ67" s="94"/>
      <c r="MA67" s="94"/>
      <c r="MB67" s="94"/>
      <c r="MC67" s="94"/>
      <c r="MD67" s="94"/>
      <c r="ME67" s="94"/>
      <c r="MF67" s="94"/>
      <c r="MG67" s="94"/>
      <c r="MH67" s="94"/>
      <c r="MI67" s="94"/>
      <c r="MJ67" s="94"/>
      <c r="MK67" s="94"/>
      <c r="ML67" s="94"/>
      <c r="MM67" s="94"/>
      <c r="MN67" s="94"/>
      <c r="MO67" s="94"/>
      <c r="MP67" s="94"/>
      <c r="MQ67" s="94"/>
      <c r="MR67" s="94"/>
      <c r="MS67" s="94"/>
      <c r="MT67" s="94"/>
      <c r="MU67" s="94"/>
      <c r="MV67" s="94"/>
      <c r="MW67" s="94"/>
      <c r="MX67" s="94"/>
      <c r="MY67" s="94"/>
      <c r="MZ67" s="94"/>
      <c r="NA67" s="94"/>
      <c r="NB67" s="94"/>
      <c r="NC67" s="94"/>
      <c r="ND67" s="94"/>
      <c r="NE67" s="94"/>
      <c r="NF67" s="94"/>
      <c r="NG67" s="94"/>
      <c r="NH67" s="94"/>
      <c r="NI67" s="94"/>
      <c r="NJ67" s="94"/>
      <c r="NK67" s="94"/>
      <c r="NL67" s="94"/>
      <c r="NM67" s="94"/>
      <c r="NN67" s="94"/>
      <c r="NO67" s="94"/>
      <c r="NP67" s="94"/>
      <c r="NQ67" s="94"/>
      <c r="NR67" s="94"/>
      <c r="NS67" s="94"/>
      <c r="NT67" s="94"/>
      <c r="NU67" s="94"/>
      <c r="NV67" s="94"/>
      <c r="NW67" s="94"/>
      <c r="NX67" s="94"/>
      <c r="NY67" s="94"/>
      <c r="NZ67" s="94"/>
      <c r="OA67" s="94"/>
      <c r="OB67" s="94"/>
      <c r="OC67" s="94"/>
      <c r="OD67" s="94"/>
      <c r="OE67" s="94"/>
      <c r="OF67" s="94"/>
      <c r="OG67" s="94"/>
      <c r="OH67" s="94"/>
      <c r="OI67" s="94"/>
      <c r="OJ67" s="94"/>
      <c r="OK67" s="94"/>
      <c r="OL67" s="94"/>
      <c r="OM67" s="94"/>
      <c r="ON67" s="94"/>
      <c r="OO67" s="94"/>
      <c r="OP67" s="94"/>
      <c r="OQ67" s="94"/>
      <c r="OR67" s="94"/>
      <c r="OS67" s="94"/>
      <c r="OT67" s="94"/>
      <c r="OU67" s="94"/>
      <c r="OV67" s="94"/>
      <c r="OW67" s="94"/>
      <c r="OX67" s="94"/>
      <c r="OY67" s="94"/>
      <c r="OZ67" s="94"/>
      <c r="PA67" s="94"/>
      <c r="PB67" s="94"/>
      <c r="PC67" s="94"/>
      <c r="PD67" s="94"/>
      <c r="PE67" s="94"/>
      <c r="PF67" s="94"/>
      <c r="PG67" s="94"/>
      <c r="PH67" s="94"/>
      <c r="PI67" s="94"/>
      <c r="PJ67" s="94"/>
      <c r="PK67" s="94"/>
      <c r="PL67" s="94"/>
      <c r="PM67" s="94"/>
      <c r="PN67" s="94"/>
      <c r="PO67" s="94"/>
      <c r="PP67" s="94"/>
      <c r="PQ67" s="94"/>
      <c r="PR67" s="94"/>
      <c r="PS67" s="94"/>
      <c r="PT67" s="94"/>
      <c r="PU67" s="94"/>
      <c r="PV67" s="94"/>
      <c r="PW67" s="94"/>
      <c r="PX67" s="94"/>
      <c r="PY67" s="94"/>
      <c r="PZ67" s="94"/>
      <c r="QA67" s="94"/>
      <c r="QB67" s="94"/>
      <c r="QC67" s="94"/>
      <c r="QD67" s="94"/>
      <c r="QE67" s="94"/>
      <c r="QF67" s="94"/>
      <c r="QG67" s="94"/>
      <c r="QH67" s="94"/>
      <c r="QI67" s="94"/>
      <c r="QJ67" s="94"/>
      <c r="QK67" s="94"/>
      <c r="QL67" s="94"/>
      <c r="QM67" s="94"/>
      <c r="QN67" s="94"/>
      <c r="QO67" s="94"/>
      <c r="QP67" s="94"/>
      <c r="QQ67" s="94"/>
      <c r="QR67" s="94"/>
      <c r="QS67" s="94"/>
      <c r="QT67" s="94"/>
      <c r="QU67" s="94"/>
      <c r="QV67" s="94"/>
      <c r="QW67" s="94"/>
      <c r="QX67" s="94"/>
      <c r="QY67" s="94"/>
      <c r="QZ67" s="94"/>
      <c r="RA67" s="94"/>
      <c r="RB67" s="94"/>
      <c r="RC67" s="94"/>
      <c r="RD67" s="94"/>
      <c r="RE67" s="94"/>
      <c r="RF67" s="94"/>
      <c r="RG67" s="94"/>
      <c r="RH67" s="94"/>
      <c r="RI67" s="94"/>
      <c r="RJ67" s="94"/>
      <c r="RK67" s="94"/>
      <c r="RL67" s="94"/>
      <c r="RM67" s="94"/>
      <c r="RN67" s="94"/>
      <c r="RO67" s="94"/>
      <c r="RP67" s="94"/>
      <c r="RQ67" s="94"/>
      <c r="RR67" s="94"/>
      <c r="RS67" s="94"/>
      <c r="RT67" s="94"/>
      <c r="RU67" s="94"/>
      <c r="RV67" s="94"/>
      <c r="RW67" s="94"/>
      <c r="RX67" s="94"/>
      <c r="RY67" s="94"/>
      <c r="RZ67" s="94"/>
      <c r="SA67" s="94"/>
      <c r="SB67" s="94"/>
      <c r="SC67" s="94"/>
      <c r="SD67" s="94"/>
      <c r="SE67" s="94"/>
      <c r="SF67" s="94"/>
      <c r="SG67" s="94"/>
      <c r="SH67" s="94"/>
      <c r="SI67" s="94"/>
      <c r="SJ67" s="94"/>
      <c r="SK67" s="94"/>
      <c r="SL67" s="94"/>
      <c r="SM67" s="94"/>
      <c r="SN67" s="94"/>
      <c r="SO67" s="94"/>
      <c r="SP67" s="94"/>
      <c r="SQ67" s="94"/>
      <c r="SR67" s="94"/>
      <c r="SS67" s="94"/>
      <c r="ST67" s="94"/>
      <c r="SU67" s="94"/>
      <c r="SV67" s="94"/>
      <c r="SW67" s="94"/>
      <c r="SX67" s="94"/>
      <c r="SY67" s="94"/>
      <c r="SZ67" s="94"/>
      <c r="TA67" s="94"/>
      <c r="TB67" s="94"/>
      <c r="TC67" s="94"/>
      <c r="TD67" s="94"/>
      <c r="TE67" s="94"/>
      <c r="TF67" s="94"/>
      <c r="TG67" s="94"/>
      <c r="TH67" s="94"/>
      <c r="TI67" s="94"/>
      <c r="TJ67" s="94"/>
      <c r="TK67" s="94"/>
      <c r="TL67" s="94"/>
      <c r="TM67" s="94"/>
      <c r="TN67" s="94"/>
      <c r="TO67" s="94"/>
      <c r="TP67" s="94"/>
      <c r="TQ67" s="94"/>
      <c r="TR67" s="94"/>
      <c r="TS67" s="94"/>
      <c r="TT67" s="94"/>
      <c r="TU67" s="94"/>
      <c r="TV67" s="94"/>
      <c r="TW67" s="94"/>
      <c r="TX67" s="94"/>
      <c r="TY67" s="94"/>
      <c r="TZ67" s="94"/>
      <c r="UA67" s="94"/>
      <c r="UB67" s="94"/>
      <c r="UC67" s="94"/>
      <c r="UD67" s="94"/>
      <c r="UE67" s="94"/>
      <c r="UF67" s="94"/>
      <c r="UG67" s="94"/>
      <c r="UH67" s="94"/>
      <c r="UI67" s="94"/>
      <c r="UJ67" s="94"/>
      <c r="UK67" s="94"/>
      <c r="UL67" s="94"/>
      <c r="UM67" s="94"/>
      <c r="UN67" s="94"/>
      <c r="UO67" s="94"/>
      <c r="UP67" s="94"/>
      <c r="UQ67" s="94"/>
      <c r="UR67" s="94"/>
      <c r="US67" s="94"/>
      <c r="UT67" s="94"/>
      <c r="UU67" s="94"/>
      <c r="UV67" s="94"/>
      <c r="UW67" s="94"/>
      <c r="UX67" s="94"/>
      <c r="UY67" s="94"/>
      <c r="UZ67" s="94"/>
      <c r="VA67" s="94"/>
      <c r="VB67" s="94"/>
      <c r="VC67" s="94"/>
      <c r="VD67" s="94"/>
      <c r="VE67" s="94"/>
      <c r="VF67" s="94"/>
      <c r="VG67" s="94"/>
      <c r="VH67" s="94"/>
      <c r="VI67" s="94"/>
      <c r="VJ67" s="94"/>
      <c r="VK67" s="94"/>
      <c r="VL67" s="94"/>
      <c r="VM67" s="94"/>
      <c r="VN67" s="94"/>
      <c r="VO67" s="94"/>
      <c r="VP67" s="94"/>
      <c r="VQ67" s="94"/>
      <c r="VR67" s="94"/>
      <c r="VS67" s="94"/>
      <c r="VT67" s="94"/>
      <c r="VU67" s="94"/>
      <c r="VV67" s="94"/>
      <c r="VW67" s="94"/>
      <c r="VX67" s="94"/>
      <c r="VY67" s="94"/>
      <c r="VZ67" s="94"/>
      <c r="WA67" s="94"/>
      <c r="WB67" s="94"/>
      <c r="WC67" s="94"/>
      <c r="WD67" s="94"/>
      <c r="WE67" s="94"/>
      <c r="WF67" s="94"/>
      <c r="WG67" s="94"/>
      <c r="WH67" s="94"/>
      <c r="WI67" s="94"/>
      <c r="WJ67" s="94"/>
      <c r="WK67" s="94"/>
      <c r="WL67" s="94"/>
      <c r="WM67" s="94"/>
      <c r="WN67" s="94"/>
      <c r="WO67" s="94"/>
      <c r="WP67" s="94"/>
      <c r="WQ67" s="94"/>
      <c r="WR67" s="94"/>
      <c r="WS67" s="94"/>
      <c r="WT67" s="94"/>
      <c r="WU67" s="94"/>
      <c r="WV67" s="94"/>
      <c r="WW67" s="94"/>
      <c r="WX67" s="94"/>
      <c r="WY67" s="94"/>
      <c r="WZ67" s="94"/>
      <c r="XA67" s="94"/>
      <c r="XB67" s="94"/>
      <c r="XC67" s="94"/>
      <c r="XD67" s="94"/>
      <c r="XE67" s="94"/>
      <c r="XF67" s="94"/>
      <c r="XG67" s="94"/>
      <c r="XH67" s="94"/>
      <c r="XI67" s="94"/>
      <c r="XJ67" s="94"/>
      <c r="XK67" s="94"/>
      <c r="XL67" s="94"/>
      <c r="XM67" s="94"/>
      <c r="XN67" s="94"/>
      <c r="XO67" s="94"/>
      <c r="XP67" s="94"/>
      <c r="XQ67" s="94"/>
      <c r="XR67" s="94"/>
      <c r="XS67" s="94"/>
      <c r="XT67" s="94"/>
      <c r="XU67" s="94"/>
      <c r="XV67" s="94"/>
      <c r="XW67" s="94"/>
      <c r="XX67" s="94"/>
      <c r="XY67" s="94"/>
      <c r="XZ67" s="94"/>
      <c r="YA67" s="94"/>
      <c r="YB67" s="94"/>
      <c r="YC67" s="94"/>
      <c r="YD67" s="94"/>
      <c r="YE67" s="94"/>
      <c r="YF67" s="94"/>
      <c r="YG67" s="94"/>
      <c r="YH67" s="94"/>
      <c r="YI67" s="94"/>
      <c r="YJ67" s="94"/>
      <c r="YK67" s="94"/>
      <c r="YL67" s="94"/>
      <c r="YM67" s="94"/>
      <c r="YN67" s="94"/>
      <c r="YO67" s="94"/>
      <c r="YP67" s="94"/>
      <c r="YQ67" s="94"/>
      <c r="YR67" s="94"/>
      <c r="YS67" s="94"/>
      <c r="YT67" s="94"/>
      <c r="YU67" s="94"/>
      <c r="YV67" s="94"/>
      <c r="YW67" s="94"/>
      <c r="YX67" s="94"/>
      <c r="YY67" s="94"/>
      <c r="YZ67" s="94"/>
      <c r="ZA67" s="94"/>
      <c r="ZB67" s="94"/>
      <c r="ZC67" s="94"/>
      <c r="ZD67" s="94"/>
      <c r="ZE67" s="94"/>
      <c r="ZF67" s="94"/>
      <c r="ZG67" s="94"/>
      <c r="ZH67" s="94"/>
      <c r="ZI67" s="94"/>
      <c r="ZJ67" s="94"/>
      <c r="ZK67" s="94"/>
      <c r="ZL67" s="94"/>
      <c r="ZM67" s="94"/>
      <c r="ZN67" s="94"/>
      <c r="ZO67" s="94"/>
      <c r="ZP67" s="94"/>
      <c r="ZQ67" s="94"/>
      <c r="ZR67" s="94"/>
      <c r="ZS67" s="94"/>
      <c r="ZT67" s="94"/>
      <c r="ZU67" s="94"/>
      <c r="ZV67" s="94"/>
      <c r="ZW67" s="94"/>
      <c r="ZX67" s="94"/>
      <c r="ZY67" s="94"/>
      <c r="ZZ67" s="94"/>
      <c r="AAA67" s="94"/>
      <c r="AAB67" s="94"/>
      <c r="AAC67" s="94"/>
      <c r="AAD67" s="94"/>
      <c r="AAE67" s="94"/>
      <c r="AAF67" s="94"/>
      <c r="AAG67" s="94"/>
      <c r="AAH67" s="94"/>
      <c r="AAI67" s="94"/>
      <c r="AAJ67" s="94"/>
      <c r="AAK67" s="94"/>
      <c r="AAL67" s="94"/>
      <c r="AAM67" s="94"/>
      <c r="AAN67" s="94"/>
      <c r="AAO67" s="94"/>
      <c r="AAP67" s="94"/>
      <c r="AAQ67" s="94"/>
      <c r="AAR67" s="94"/>
      <c r="AAS67" s="94"/>
      <c r="AAT67" s="94"/>
      <c r="AAU67" s="94"/>
      <c r="AAV67" s="94"/>
      <c r="AAW67" s="94"/>
      <c r="AAX67" s="94"/>
      <c r="AAY67" s="94"/>
      <c r="AAZ67" s="94"/>
      <c r="ABA67" s="94"/>
      <c r="ABB67" s="94"/>
      <c r="ABC67" s="94"/>
      <c r="ABD67" s="94"/>
      <c r="ABE67" s="94"/>
      <c r="ABF67" s="94"/>
      <c r="ABG67" s="94"/>
      <c r="ABH67" s="94"/>
      <c r="ABI67" s="94"/>
      <c r="ABJ67" s="94"/>
      <c r="ABK67" s="94"/>
      <c r="ABL67" s="94"/>
      <c r="ABM67" s="94"/>
      <c r="ABN67" s="94"/>
      <c r="ABO67" s="94"/>
      <c r="ABP67" s="94"/>
      <c r="ABQ67" s="94"/>
      <c r="ABR67" s="94"/>
      <c r="ABS67" s="94"/>
      <c r="ABT67" s="94"/>
      <c r="ABU67" s="94"/>
      <c r="ABV67" s="94"/>
      <c r="ABW67" s="94"/>
      <c r="ABX67" s="94"/>
      <c r="ABY67" s="94"/>
      <c r="ABZ67" s="94"/>
      <c r="ACA67" s="94"/>
      <c r="ACB67" s="94"/>
      <c r="ACC67" s="94"/>
      <c r="ACD67" s="94"/>
      <c r="ACE67" s="94"/>
      <c r="ACF67" s="94"/>
      <c r="ACG67" s="94"/>
      <c r="ACH67" s="94"/>
      <c r="ACI67" s="94"/>
      <c r="ACJ67" s="94"/>
      <c r="ACK67" s="94"/>
      <c r="ACL67" s="94"/>
      <c r="ACM67" s="94"/>
      <c r="ACN67" s="94"/>
      <c r="ACO67" s="94"/>
      <c r="ACP67" s="94"/>
      <c r="ACQ67" s="94"/>
      <c r="ACR67" s="94"/>
      <c r="ACS67" s="94"/>
      <c r="ACT67" s="94"/>
      <c r="ACU67" s="94"/>
      <c r="ACV67" s="94"/>
      <c r="ACW67" s="94"/>
      <c r="ACX67" s="94"/>
      <c r="ACY67" s="94"/>
      <c r="ACZ67" s="94"/>
      <c r="ADA67" s="94"/>
      <c r="ADB67" s="94"/>
      <c r="ADC67" s="94"/>
      <c r="ADD67" s="94"/>
      <c r="ADE67" s="94"/>
      <c r="ADF67" s="94"/>
      <c r="ADG67" s="94"/>
      <c r="ADH67" s="94"/>
      <c r="ADI67" s="94"/>
      <c r="ADJ67" s="94"/>
      <c r="ADK67" s="94"/>
      <c r="ADL67" s="94"/>
      <c r="ADM67" s="94"/>
      <c r="ADN67" s="94"/>
      <c r="ADO67" s="94"/>
      <c r="ADP67" s="94"/>
      <c r="ADQ67" s="94"/>
      <c r="ADR67" s="94"/>
      <c r="ADS67" s="94"/>
      <c r="ADT67" s="94"/>
      <c r="ADU67" s="94"/>
      <c r="ADV67" s="94"/>
      <c r="ADW67" s="94"/>
      <c r="ADX67" s="94"/>
      <c r="ADY67" s="94"/>
      <c r="ADZ67" s="94"/>
      <c r="AEA67" s="94"/>
      <c r="AEB67" s="94"/>
      <c r="AEC67" s="94"/>
      <c r="AED67" s="94"/>
      <c r="AEE67" s="94"/>
      <c r="AEF67" s="94"/>
      <c r="AEG67" s="94"/>
      <c r="AEH67" s="94"/>
      <c r="AEI67" s="94"/>
      <c r="AEJ67" s="94"/>
      <c r="AEK67" s="94"/>
      <c r="AEL67" s="94"/>
      <c r="AEM67" s="94"/>
      <c r="AEN67" s="94"/>
      <c r="AEO67" s="94"/>
      <c r="AEP67" s="94"/>
      <c r="AEQ67" s="94"/>
      <c r="AER67" s="94"/>
      <c r="AES67" s="94"/>
      <c r="AET67" s="94"/>
      <c r="AEU67" s="94"/>
      <c r="AEV67" s="94"/>
      <c r="AEW67" s="94"/>
      <c r="AEX67" s="94"/>
      <c r="AEY67" s="94"/>
      <c r="AEZ67" s="94"/>
      <c r="AFA67" s="94"/>
      <c r="AFB67" s="94"/>
      <c r="AFC67" s="94"/>
      <c r="AFD67" s="94"/>
      <c r="AFE67" s="94"/>
      <c r="AFF67" s="94"/>
      <c r="AFG67" s="94"/>
      <c r="AFH67" s="94"/>
      <c r="AFI67" s="94"/>
      <c r="AFJ67" s="94"/>
      <c r="AFK67" s="94"/>
      <c r="AFL67" s="94"/>
      <c r="AFM67" s="94"/>
      <c r="AFN67" s="94"/>
      <c r="AFO67" s="94"/>
      <c r="AFP67" s="94"/>
      <c r="AFQ67" s="94"/>
      <c r="AFR67" s="94"/>
      <c r="AFS67" s="94"/>
      <c r="AFT67" s="94"/>
      <c r="AFU67" s="94"/>
      <c r="AFV67" s="94"/>
      <c r="AFW67" s="94"/>
      <c r="AFX67" s="94"/>
      <c r="AFY67" s="94"/>
      <c r="AFZ67" s="94"/>
      <c r="AGA67" s="94"/>
      <c r="AGB67" s="94"/>
      <c r="AGC67" s="94"/>
      <c r="AGD67" s="94"/>
      <c r="AGE67" s="94"/>
      <c r="AGF67" s="94"/>
      <c r="AGG67" s="94"/>
      <c r="AGH67" s="94"/>
      <c r="AGI67" s="94"/>
      <c r="AGJ67" s="94"/>
      <c r="AGK67" s="94"/>
      <c r="AGL67" s="94"/>
      <c r="AGM67" s="94"/>
      <c r="AGN67" s="94"/>
      <c r="AGO67" s="94"/>
      <c r="AGP67" s="94"/>
      <c r="AGQ67" s="94"/>
      <c r="AGR67" s="94"/>
      <c r="AGS67" s="94"/>
      <c r="AGT67" s="94"/>
      <c r="AGU67" s="94"/>
      <c r="AGV67" s="94"/>
      <c r="AGW67" s="94"/>
      <c r="AGX67" s="94"/>
      <c r="AGY67" s="94"/>
      <c r="AGZ67" s="94"/>
      <c r="AHA67" s="94"/>
      <c r="AHB67" s="94"/>
      <c r="AHC67" s="94"/>
      <c r="AHD67" s="94"/>
      <c r="AHE67" s="94"/>
      <c r="AHF67" s="94"/>
      <c r="AHG67" s="94"/>
      <c r="AHH67" s="94"/>
      <c r="AHI67" s="94"/>
      <c r="AHJ67" s="94"/>
      <c r="AHK67" s="94"/>
      <c r="AHL67" s="94"/>
      <c r="AHM67" s="94"/>
      <c r="AHN67" s="94"/>
      <c r="AHO67" s="94"/>
      <c r="AHP67" s="94"/>
      <c r="AHQ67" s="94"/>
      <c r="AHR67" s="94"/>
      <c r="AHS67" s="94"/>
      <c r="AHT67" s="94"/>
      <c r="AHU67" s="94"/>
      <c r="AHV67" s="94"/>
      <c r="AHW67" s="94"/>
      <c r="AHX67" s="94"/>
      <c r="AHY67" s="94"/>
      <c r="AHZ67" s="94"/>
      <c r="AIA67" s="94"/>
      <c r="AIB67" s="94"/>
      <c r="AIC67" s="94"/>
      <c r="AID67" s="94"/>
      <c r="AIE67" s="94"/>
      <c r="AIF67" s="94"/>
      <c r="AIG67" s="94"/>
      <c r="AIH67" s="94"/>
      <c r="AII67" s="94"/>
      <c r="AIJ67" s="94"/>
      <c r="AIK67" s="94"/>
      <c r="AIL67" s="94"/>
      <c r="AIM67" s="94"/>
      <c r="AIN67" s="94"/>
      <c r="AIO67" s="94"/>
      <c r="AIP67" s="94"/>
      <c r="AIQ67" s="94"/>
      <c r="AIR67" s="94"/>
      <c r="AIS67" s="94"/>
      <c r="AIT67" s="94"/>
      <c r="AIU67" s="94"/>
      <c r="AIV67" s="94"/>
      <c r="AIW67" s="94"/>
      <c r="AIX67" s="94"/>
      <c r="AIY67" s="94"/>
      <c r="AIZ67" s="94"/>
      <c r="AJA67" s="94"/>
      <c r="AJB67" s="94"/>
      <c r="AJC67" s="94"/>
      <c r="AJD67" s="94"/>
      <c r="AJE67" s="94"/>
      <c r="AJF67" s="94"/>
      <c r="AJG67" s="94"/>
      <c r="AJH67" s="94"/>
      <c r="AJI67" s="94"/>
      <c r="AJJ67" s="94"/>
      <c r="AJK67" s="94"/>
      <c r="AJL67" s="94"/>
      <c r="AJM67" s="94"/>
      <c r="AJN67" s="94"/>
      <c r="AJO67" s="94"/>
      <c r="AJP67" s="94"/>
      <c r="AJQ67" s="94"/>
      <c r="AJR67" s="94"/>
      <c r="AJS67" s="94"/>
      <c r="AJT67" s="94"/>
      <c r="AJU67" s="94"/>
      <c r="AJV67" s="94"/>
      <c r="AJW67" s="94"/>
      <c r="AJX67" s="94"/>
      <c r="AJY67" s="94"/>
      <c r="AJZ67" s="94"/>
      <c r="AKA67" s="94"/>
      <c r="AKB67" s="94"/>
      <c r="AKC67" s="94"/>
      <c r="AKD67" s="94"/>
      <c r="AKE67" s="94"/>
      <c r="AKF67" s="94"/>
      <c r="AKG67" s="94"/>
      <c r="AKH67" s="94"/>
      <c r="AKI67" s="94"/>
      <c r="AKJ67" s="94"/>
      <c r="AKK67" s="94"/>
      <c r="AKL67" s="94"/>
      <c r="AKM67" s="94"/>
      <c r="AKN67" s="94"/>
      <c r="AKO67" s="94"/>
      <c r="AKP67" s="94"/>
      <c r="AKQ67" s="94"/>
      <c r="AKR67" s="94"/>
      <c r="AKS67" s="94"/>
      <c r="AKT67" s="94"/>
      <c r="AKU67" s="94"/>
      <c r="AKV67" s="94"/>
      <c r="AKW67" s="94"/>
      <c r="AKX67" s="94"/>
      <c r="AKY67" s="94"/>
      <c r="AKZ67" s="94"/>
      <c r="ALA67" s="94"/>
      <c r="ALB67" s="94"/>
      <c r="ALC67" s="94"/>
      <c r="ALD67" s="94"/>
      <c r="ALE67" s="94"/>
      <c r="ALF67" s="94"/>
      <c r="ALG67" s="94"/>
      <c r="ALH67" s="94"/>
      <c r="ALI67" s="94"/>
      <c r="ALJ67" s="94"/>
      <c r="ALK67" s="94"/>
      <c r="ALL67" s="94"/>
      <c r="ALM67" s="94"/>
      <c r="ALN67" s="94"/>
      <c r="ALO67" s="94"/>
      <c r="ALP67" s="94"/>
      <c r="ALQ67" s="94"/>
      <c r="ALR67" s="94"/>
      <c r="ALS67" s="94"/>
      <c r="ALT67" s="94"/>
      <c r="ALU67" s="94"/>
      <c r="ALV67" s="94"/>
      <c r="ALW67" s="94"/>
      <c r="ALX67" s="94"/>
      <c r="ALY67" s="94"/>
      <c r="ALZ67" s="94"/>
      <c r="AMA67" s="94"/>
      <c r="AMB67" s="94"/>
      <c r="AMC67" s="94"/>
      <c r="AMD67" s="94"/>
      <c r="AME67" s="94"/>
      <c r="AMF67" s="94"/>
      <c r="AMG67" s="94"/>
      <c r="AMH67" s="94"/>
      <c r="AMI67" s="94"/>
      <c r="AMJ67" s="94"/>
      <c r="AMK67" s="94"/>
      <c r="AML67" s="94"/>
      <c r="AMM67" s="94"/>
      <c r="AMN67" s="94"/>
      <c r="AMO67" s="94"/>
      <c r="AMP67" s="94"/>
      <c r="AMQ67" s="94"/>
      <c r="AMR67" s="94"/>
      <c r="AMS67" s="94"/>
      <c r="AMT67" s="94"/>
      <c r="AMU67" s="94"/>
      <c r="AMV67" s="94"/>
      <c r="AMW67" s="94"/>
      <c r="AMX67" s="94"/>
      <c r="AMY67" s="94"/>
      <c r="AMZ67" s="94"/>
      <c r="ANA67" s="94"/>
      <c r="ANB67" s="94"/>
      <c r="ANC67" s="94"/>
      <c r="AND67" s="94"/>
      <c r="ANE67" s="94"/>
      <c r="ANF67" s="94"/>
      <c r="ANG67" s="94"/>
      <c r="ANH67" s="94"/>
      <c r="ANI67" s="94"/>
      <c r="ANJ67" s="94"/>
      <c r="ANK67" s="94"/>
      <c r="ANL67" s="94"/>
      <c r="ANM67" s="94"/>
      <c r="ANN67" s="94"/>
      <c r="ANO67" s="94"/>
      <c r="ANP67" s="94"/>
      <c r="ANQ67" s="94"/>
      <c r="ANR67" s="94"/>
      <c r="ANS67" s="94"/>
      <c r="ANT67" s="94"/>
      <c r="ANU67" s="94"/>
      <c r="ANV67" s="94"/>
      <c r="ANW67" s="94"/>
      <c r="ANX67" s="94"/>
      <c r="ANY67" s="94"/>
      <c r="ANZ67" s="94"/>
      <c r="AOA67" s="94"/>
      <c r="AOB67" s="94"/>
      <c r="AOC67" s="94"/>
      <c r="AOD67" s="94"/>
      <c r="AOE67" s="94"/>
      <c r="AOF67" s="94"/>
      <c r="AOG67" s="94"/>
      <c r="AOH67" s="94"/>
      <c r="AOI67" s="94"/>
      <c r="AOJ67" s="94"/>
      <c r="AOK67" s="94"/>
      <c r="AOL67" s="94"/>
      <c r="AOM67" s="94"/>
      <c r="AON67" s="94"/>
      <c r="AOO67" s="94"/>
      <c r="AOP67" s="94"/>
      <c r="AOQ67" s="94"/>
      <c r="AOR67" s="94"/>
      <c r="AOS67" s="94"/>
      <c r="AOT67" s="94"/>
      <c r="AOU67" s="94"/>
      <c r="AOV67" s="94"/>
      <c r="AOW67" s="94"/>
      <c r="AOX67" s="94"/>
      <c r="AOY67" s="94"/>
      <c r="AOZ67" s="94"/>
      <c r="APA67" s="94"/>
      <c r="APB67" s="94"/>
      <c r="APC67" s="94"/>
      <c r="APD67" s="94"/>
      <c r="APE67" s="94"/>
      <c r="APF67" s="94"/>
      <c r="APG67" s="94"/>
      <c r="APH67" s="94"/>
      <c r="API67" s="94"/>
      <c r="APJ67" s="94"/>
      <c r="APK67" s="94"/>
      <c r="APL67" s="94"/>
      <c r="APM67" s="94"/>
      <c r="APN67" s="94"/>
      <c r="APO67" s="94"/>
      <c r="APP67" s="94"/>
      <c r="APQ67" s="94"/>
      <c r="APR67" s="94"/>
      <c r="APS67" s="94"/>
      <c r="APT67" s="94"/>
      <c r="APU67" s="94"/>
      <c r="APV67" s="94"/>
      <c r="APW67" s="94"/>
      <c r="APX67" s="94"/>
      <c r="APY67" s="94"/>
      <c r="APZ67" s="94"/>
      <c r="AQA67" s="94"/>
      <c r="AQB67" s="94"/>
      <c r="AQC67" s="94"/>
      <c r="AQD67" s="94"/>
      <c r="AQE67" s="94"/>
      <c r="AQF67" s="94"/>
      <c r="AQG67" s="94"/>
      <c r="AQH67" s="94"/>
      <c r="AQI67" s="94"/>
      <c r="AQJ67" s="94"/>
      <c r="AQK67" s="94"/>
      <c r="AQL67" s="94"/>
      <c r="AQM67" s="94"/>
      <c r="AQN67" s="94"/>
      <c r="AQO67" s="94"/>
      <c r="AQP67" s="94"/>
      <c r="AQQ67" s="94"/>
      <c r="AQR67" s="94"/>
      <c r="AQS67" s="94"/>
      <c r="AQT67" s="94"/>
      <c r="AQU67" s="94"/>
      <c r="AQV67" s="94"/>
      <c r="AQW67" s="94"/>
      <c r="AQX67" s="94"/>
      <c r="AQY67" s="94"/>
      <c r="AQZ67" s="94"/>
      <c r="ARA67" s="94"/>
      <c r="ARB67" s="94"/>
      <c r="ARC67" s="94"/>
      <c r="ARD67" s="94"/>
      <c r="ARE67" s="94"/>
      <c r="ARF67" s="94"/>
      <c r="ARG67" s="94"/>
      <c r="ARH67" s="94"/>
      <c r="ARI67" s="94"/>
      <c r="ARJ67" s="94"/>
      <c r="ARK67" s="94"/>
      <c r="ARL67" s="94"/>
      <c r="ARM67" s="94"/>
      <c r="ARN67" s="94"/>
      <c r="ARO67" s="94"/>
      <c r="ARP67" s="94"/>
      <c r="ARQ67" s="94"/>
      <c r="ARR67" s="94"/>
      <c r="ARS67" s="94"/>
      <c r="ART67" s="94"/>
      <c r="ARU67" s="94"/>
      <c r="ARV67" s="94"/>
      <c r="ARW67" s="94"/>
      <c r="ARX67" s="94"/>
      <c r="ARY67" s="94"/>
      <c r="ARZ67" s="94"/>
      <c r="ASA67" s="94"/>
      <c r="ASB67" s="94"/>
      <c r="ASC67" s="94"/>
      <c r="ASD67" s="94"/>
      <c r="ASE67" s="94"/>
      <c r="ASF67" s="94"/>
      <c r="ASG67" s="94"/>
      <c r="ASH67" s="94"/>
      <c r="ASI67" s="94"/>
      <c r="ASJ67" s="94"/>
      <c r="ASK67" s="94"/>
      <c r="ASL67" s="94"/>
      <c r="ASM67" s="94"/>
      <c r="ASN67" s="94"/>
      <c r="ASO67" s="94"/>
      <c r="ASP67" s="94"/>
      <c r="ASQ67" s="94"/>
      <c r="ASR67" s="94"/>
      <c r="ASS67" s="94"/>
      <c r="AST67" s="94"/>
      <c r="ASU67" s="94"/>
      <c r="ASV67" s="94"/>
      <c r="ASW67" s="94"/>
      <c r="ASX67" s="94"/>
      <c r="ASY67" s="94"/>
      <c r="ASZ67" s="94"/>
      <c r="ATA67" s="94"/>
      <c r="ATB67" s="94"/>
      <c r="ATC67" s="94"/>
      <c r="ATD67" s="94"/>
      <c r="ATE67" s="94"/>
      <c r="ATF67" s="94"/>
      <c r="ATG67" s="94"/>
      <c r="ATH67" s="94"/>
      <c r="ATI67" s="94"/>
      <c r="ATJ67" s="94"/>
      <c r="ATK67" s="94"/>
      <c r="ATL67" s="94"/>
      <c r="ATM67" s="94"/>
      <c r="ATN67" s="94"/>
      <c r="ATO67" s="94"/>
      <c r="ATP67" s="94"/>
      <c r="ATQ67" s="94"/>
      <c r="ATR67" s="94"/>
      <c r="ATS67" s="94"/>
      <c r="ATT67" s="94"/>
      <c r="ATU67" s="94"/>
      <c r="ATV67" s="94"/>
      <c r="ATW67" s="94"/>
      <c r="ATX67" s="94"/>
      <c r="ATY67" s="94"/>
      <c r="ATZ67" s="94"/>
      <c r="AUA67" s="94"/>
      <c r="AUB67" s="94"/>
      <c r="AUC67" s="94"/>
      <c r="AUD67" s="94"/>
      <c r="AUE67" s="94"/>
      <c r="AUF67" s="94"/>
      <c r="AUG67" s="94"/>
      <c r="AUH67" s="94"/>
      <c r="AUI67" s="94"/>
      <c r="AUJ67" s="94"/>
      <c r="AUK67" s="94"/>
      <c r="AUL67" s="94"/>
      <c r="AUM67" s="94"/>
      <c r="AUN67" s="94"/>
      <c r="AUO67" s="94"/>
      <c r="AUP67" s="94"/>
      <c r="AUQ67" s="94"/>
      <c r="AUR67" s="94"/>
      <c r="AUS67" s="94"/>
      <c r="AUT67" s="94"/>
      <c r="AUU67" s="94"/>
      <c r="AUV67" s="94"/>
      <c r="AUW67" s="94"/>
      <c r="AUX67" s="94"/>
      <c r="AUY67" s="94"/>
      <c r="AUZ67" s="94"/>
      <c r="AVA67" s="94"/>
      <c r="AVB67" s="94"/>
      <c r="AVC67" s="94"/>
      <c r="AVD67" s="94"/>
      <c r="AVE67" s="94"/>
      <c r="AVF67" s="94"/>
      <c r="AVG67" s="94"/>
      <c r="AVH67" s="94"/>
      <c r="AVI67" s="94"/>
      <c r="AVJ67" s="94"/>
      <c r="AVK67" s="94"/>
      <c r="AVL67" s="94"/>
      <c r="AVM67" s="94"/>
      <c r="AVN67" s="94"/>
      <c r="AVO67" s="94"/>
      <c r="AVP67" s="94"/>
      <c r="AVQ67" s="94"/>
      <c r="AVR67" s="94"/>
      <c r="AVS67" s="94"/>
      <c r="AVT67" s="94"/>
      <c r="AVU67" s="94"/>
      <c r="AVV67" s="94"/>
      <c r="AVW67" s="94"/>
      <c r="AVX67" s="94"/>
      <c r="AVY67" s="94"/>
      <c r="AVZ67" s="94"/>
      <c r="AWA67" s="94"/>
      <c r="AWB67" s="94"/>
      <c r="AWC67" s="94"/>
      <c r="AWD67" s="94"/>
      <c r="AWE67" s="94"/>
      <c r="AWF67" s="94"/>
      <c r="AWG67" s="94"/>
      <c r="AWH67" s="94"/>
      <c r="AWI67" s="94"/>
      <c r="AWJ67" s="94"/>
      <c r="AWK67" s="94"/>
      <c r="AWL67" s="94"/>
      <c r="AWM67" s="94"/>
      <c r="AWN67" s="94"/>
      <c r="AWO67" s="94"/>
      <c r="AWP67" s="94"/>
      <c r="AWQ67" s="94"/>
      <c r="AWR67" s="94"/>
      <c r="AWS67" s="94"/>
      <c r="AWT67" s="94"/>
      <c r="AWU67" s="94"/>
      <c r="AWV67" s="94"/>
      <c r="AWW67" s="94"/>
      <c r="AWX67" s="94"/>
      <c r="AWY67" s="94"/>
      <c r="AWZ67" s="94"/>
      <c r="AXA67" s="94"/>
      <c r="AXB67" s="94"/>
      <c r="AXC67" s="94"/>
      <c r="AXD67" s="94"/>
      <c r="AXE67" s="94"/>
      <c r="AXF67" s="94"/>
      <c r="AXG67" s="94"/>
      <c r="AXH67" s="94"/>
      <c r="AXI67" s="94"/>
      <c r="AXJ67" s="94"/>
      <c r="AXK67" s="94"/>
      <c r="AXL67" s="94"/>
      <c r="AXM67" s="94"/>
      <c r="AXN67" s="94"/>
      <c r="AXO67" s="94"/>
      <c r="AXP67" s="94"/>
      <c r="AXQ67" s="94"/>
      <c r="AXR67" s="94"/>
      <c r="AXS67" s="94"/>
      <c r="AXT67" s="94"/>
      <c r="AXU67" s="94"/>
      <c r="AXV67" s="94"/>
      <c r="AXW67" s="94"/>
      <c r="AXX67" s="94"/>
      <c r="AXY67" s="94"/>
      <c r="AXZ67" s="94"/>
      <c r="AYA67" s="94"/>
      <c r="AYB67" s="94"/>
      <c r="AYC67" s="94"/>
      <c r="AYD67" s="94"/>
      <c r="AYE67" s="94"/>
      <c r="AYF67" s="94"/>
      <c r="AYG67" s="94"/>
      <c r="AYH67" s="94"/>
      <c r="AYI67" s="94"/>
      <c r="AYJ67" s="94"/>
      <c r="AYK67" s="94"/>
      <c r="AYL67" s="94"/>
      <c r="AYM67" s="94"/>
      <c r="AYN67" s="94"/>
      <c r="AYO67" s="94"/>
      <c r="AYP67" s="94"/>
      <c r="AYQ67" s="94"/>
      <c r="AYR67" s="94"/>
      <c r="AYS67" s="94"/>
      <c r="AYT67" s="94"/>
      <c r="AYU67" s="94"/>
      <c r="AYV67" s="94"/>
      <c r="AYW67" s="94"/>
      <c r="AYX67" s="94"/>
      <c r="AYY67" s="94"/>
      <c r="AYZ67" s="94"/>
      <c r="AZA67" s="94"/>
      <c r="AZB67" s="94"/>
      <c r="AZC67" s="94"/>
      <c r="AZD67" s="94"/>
      <c r="AZE67" s="94"/>
      <c r="AZF67" s="94"/>
      <c r="AZG67" s="94"/>
      <c r="AZH67" s="94"/>
      <c r="AZI67" s="94"/>
      <c r="AZJ67" s="94"/>
      <c r="AZK67" s="94"/>
      <c r="AZL67" s="94"/>
      <c r="AZM67" s="94"/>
      <c r="AZN67" s="94"/>
      <c r="AZO67" s="94"/>
      <c r="AZP67" s="94"/>
      <c r="AZQ67" s="94"/>
      <c r="AZR67" s="94"/>
      <c r="AZS67" s="94"/>
      <c r="AZT67" s="94"/>
      <c r="AZU67" s="94"/>
      <c r="AZV67" s="94"/>
      <c r="AZW67" s="94"/>
      <c r="AZX67" s="94"/>
      <c r="AZY67" s="94"/>
      <c r="AZZ67" s="94"/>
      <c r="BAA67" s="94"/>
      <c r="BAB67" s="94"/>
      <c r="BAC67" s="94"/>
      <c r="BAD67" s="94"/>
      <c r="BAE67" s="94"/>
      <c r="BAF67" s="94"/>
      <c r="BAG67" s="94"/>
      <c r="BAH67" s="94"/>
      <c r="BAI67" s="94"/>
      <c r="BAJ67" s="94"/>
      <c r="BAK67" s="94"/>
      <c r="BAL67" s="94"/>
      <c r="BAM67" s="94"/>
      <c r="BAN67" s="94"/>
      <c r="BAO67" s="94"/>
      <c r="BAP67" s="94"/>
      <c r="BAQ67" s="94"/>
      <c r="BAR67" s="94"/>
      <c r="BAS67" s="94"/>
      <c r="BAT67" s="94"/>
      <c r="BAU67" s="94"/>
      <c r="BAV67" s="94"/>
      <c r="BAW67" s="94"/>
      <c r="BAX67" s="94"/>
      <c r="BAY67" s="94"/>
      <c r="BAZ67" s="94"/>
      <c r="BBA67" s="94"/>
      <c r="BBB67" s="94"/>
      <c r="BBC67" s="94"/>
      <c r="BBD67" s="94"/>
      <c r="BBE67" s="94"/>
      <c r="BBF67" s="94"/>
      <c r="BBG67" s="94"/>
      <c r="BBH67" s="94"/>
      <c r="BBI67" s="94"/>
      <c r="BBJ67" s="94"/>
      <c r="BBK67" s="94"/>
      <c r="BBL67" s="94"/>
      <c r="BBM67" s="94"/>
      <c r="BBN67" s="94"/>
      <c r="BBO67" s="94"/>
      <c r="BBP67" s="94"/>
      <c r="BBQ67" s="94"/>
      <c r="BBR67" s="94"/>
      <c r="BBS67" s="94"/>
      <c r="BBT67" s="94"/>
      <c r="BBU67" s="94"/>
      <c r="BBV67" s="94"/>
      <c r="BBW67" s="94"/>
      <c r="BBX67" s="94"/>
      <c r="BBY67" s="94"/>
      <c r="BBZ67" s="94"/>
      <c r="BCA67" s="94"/>
      <c r="BCB67" s="94"/>
      <c r="BCC67" s="94"/>
      <c r="BCD67" s="94"/>
      <c r="BCE67" s="94"/>
      <c r="BCF67" s="94"/>
      <c r="BCG67" s="94"/>
      <c r="BCH67" s="94"/>
      <c r="BCI67" s="94"/>
      <c r="BCJ67" s="94"/>
      <c r="BCK67" s="94"/>
      <c r="BCL67" s="94"/>
      <c r="BCM67" s="94"/>
      <c r="BCN67" s="94"/>
      <c r="BCO67" s="94"/>
      <c r="BCP67" s="94"/>
      <c r="BCQ67" s="94"/>
      <c r="BCR67" s="94"/>
      <c r="BCS67" s="94"/>
      <c r="BCT67" s="94"/>
      <c r="BCU67" s="94"/>
      <c r="BCV67" s="94"/>
      <c r="BCW67" s="94"/>
      <c r="BCX67" s="94"/>
      <c r="BCY67" s="94"/>
      <c r="BCZ67" s="94"/>
      <c r="BDA67" s="94"/>
      <c r="BDB67" s="94"/>
      <c r="BDC67" s="94"/>
      <c r="BDD67" s="94"/>
      <c r="BDE67" s="94"/>
      <c r="BDF67" s="94"/>
      <c r="BDG67" s="94"/>
      <c r="BDH67" s="94"/>
      <c r="BDI67" s="94"/>
      <c r="BDJ67" s="94"/>
      <c r="BDK67" s="94"/>
      <c r="BDL67" s="94"/>
      <c r="BDM67" s="94"/>
      <c r="BDN67" s="94"/>
      <c r="BDO67" s="94"/>
      <c r="BDP67" s="94"/>
      <c r="BDQ67" s="94"/>
      <c r="BDR67" s="94"/>
      <c r="BDS67" s="94"/>
      <c r="BDT67" s="94"/>
      <c r="BDU67" s="94"/>
      <c r="BDV67" s="94"/>
      <c r="BDW67" s="94"/>
      <c r="BDX67" s="94"/>
      <c r="BDY67" s="94"/>
      <c r="BDZ67" s="94"/>
      <c r="BEA67" s="94"/>
      <c r="BEB67" s="94"/>
      <c r="BEC67" s="94"/>
      <c r="BED67" s="94"/>
      <c r="BEE67" s="94"/>
      <c r="BEF67" s="94"/>
      <c r="BEG67" s="94"/>
      <c r="BEH67" s="94"/>
      <c r="BEI67" s="94"/>
      <c r="BEJ67" s="94"/>
      <c r="BEK67" s="94"/>
      <c r="BEL67" s="94"/>
      <c r="BEM67" s="94"/>
      <c r="BEN67" s="94"/>
      <c r="BEO67" s="94"/>
      <c r="BEP67" s="94"/>
      <c r="BEQ67" s="94"/>
      <c r="BER67" s="94"/>
      <c r="BES67" s="94"/>
      <c r="BET67" s="94"/>
      <c r="BEU67" s="94"/>
      <c r="BEV67" s="94"/>
      <c r="BEW67" s="94"/>
      <c r="BEX67" s="94"/>
      <c r="BEY67" s="94"/>
      <c r="BEZ67" s="94"/>
      <c r="BFA67" s="94"/>
      <c r="BFB67" s="94"/>
      <c r="BFC67" s="94"/>
      <c r="BFD67" s="94"/>
      <c r="BFE67" s="94"/>
      <c r="BFF67" s="94"/>
      <c r="BFG67" s="94"/>
      <c r="BFH67" s="94"/>
      <c r="BFI67" s="94"/>
      <c r="BFJ67" s="94"/>
      <c r="BFK67" s="94"/>
      <c r="BFL67" s="94"/>
      <c r="BFM67" s="94"/>
      <c r="BFN67" s="94"/>
      <c r="BFO67" s="94"/>
      <c r="BFP67" s="94"/>
      <c r="BFQ67" s="94"/>
      <c r="BFR67" s="94"/>
      <c r="BFS67" s="94"/>
      <c r="BFT67" s="94"/>
      <c r="BFU67" s="94"/>
      <c r="BFV67" s="94"/>
      <c r="BFW67" s="94"/>
      <c r="BFX67" s="94"/>
      <c r="BFY67" s="94"/>
      <c r="BFZ67" s="94"/>
      <c r="BGA67" s="94"/>
      <c r="BGB67" s="94"/>
      <c r="BGC67" s="94"/>
      <c r="BGD67" s="94"/>
      <c r="BGE67" s="94"/>
      <c r="BGF67" s="94"/>
      <c r="BGG67" s="94"/>
      <c r="BGH67" s="94"/>
      <c r="BGI67" s="94"/>
      <c r="BGJ67" s="94"/>
      <c r="BGK67" s="94"/>
      <c r="BGL67" s="94"/>
      <c r="BGM67" s="94"/>
      <c r="BGN67" s="94"/>
      <c r="BGO67" s="94"/>
      <c r="BGP67" s="94"/>
      <c r="BGQ67" s="94"/>
      <c r="BGR67" s="94"/>
      <c r="BGS67" s="94"/>
      <c r="BGT67" s="94"/>
      <c r="BGU67" s="94"/>
      <c r="BGV67" s="94"/>
      <c r="BGW67" s="94"/>
      <c r="BGX67" s="94"/>
      <c r="BGY67" s="94"/>
      <c r="BGZ67" s="94"/>
      <c r="BHA67" s="94"/>
      <c r="BHB67" s="94"/>
      <c r="BHC67" s="94"/>
      <c r="BHD67" s="94"/>
      <c r="BHE67" s="94"/>
      <c r="BHF67" s="94"/>
      <c r="BHG67" s="94"/>
      <c r="BHH67" s="94"/>
      <c r="BHI67" s="94"/>
      <c r="BHJ67" s="94"/>
      <c r="BHK67" s="94"/>
      <c r="BHL67" s="94"/>
      <c r="BHM67" s="94"/>
      <c r="BHN67" s="94"/>
      <c r="BHO67" s="94"/>
      <c r="BHP67" s="94"/>
      <c r="BHQ67" s="94"/>
      <c r="BHR67" s="94"/>
      <c r="BHS67" s="94"/>
      <c r="BHT67" s="94"/>
      <c r="BHU67" s="94"/>
      <c r="BHV67" s="94"/>
      <c r="BHW67" s="94"/>
      <c r="BHX67" s="94"/>
      <c r="BHY67" s="94"/>
      <c r="BHZ67" s="94"/>
      <c r="BIA67" s="94"/>
      <c r="BIB67" s="94"/>
      <c r="BIC67" s="94"/>
      <c r="BID67" s="94"/>
      <c r="BIE67" s="94"/>
      <c r="BIF67" s="94"/>
      <c r="BIG67" s="94"/>
      <c r="BIH67" s="94"/>
      <c r="BII67" s="94"/>
      <c r="BIJ67" s="94"/>
      <c r="BIK67" s="94"/>
      <c r="BIL67" s="94"/>
      <c r="BIM67" s="94"/>
      <c r="BIN67" s="94"/>
      <c r="BIO67" s="94"/>
      <c r="BIP67" s="94"/>
      <c r="BIQ67" s="94"/>
      <c r="BIR67" s="94"/>
      <c r="BIS67" s="94"/>
      <c r="BIT67" s="94"/>
      <c r="BIU67" s="94"/>
      <c r="BIV67" s="94"/>
      <c r="BIW67" s="94"/>
      <c r="BIX67" s="94"/>
      <c r="BIY67" s="94"/>
      <c r="BIZ67" s="94"/>
      <c r="BJA67" s="94"/>
      <c r="BJB67" s="94"/>
      <c r="BJC67" s="94"/>
      <c r="BJD67" s="94"/>
      <c r="BJE67" s="94"/>
      <c r="BJF67" s="94"/>
      <c r="BJG67" s="94"/>
      <c r="BJH67" s="94"/>
      <c r="BJI67" s="94"/>
      <c r="BJJ67" s="94"/>
      <c r="BJK67" s="94"/>
      <c r="BJL67" s="94"/>
      <c r="BJM67" s="94"/>
      <c r="BJN67" s="94"/>
      <c r="BJO67" s="94"/>
      <c r="BJP67" s="94"/>
      <c r="BJQ67" s="94"/>
      <c r="BJR67" s="94"/>
      <c r="BJS67" s="94"/>
      <c r="BJT67" s="94"/>
      <c r="BJU67" s="94"/>
      <c r="BJV67" s="94"/>
      <c r="BJW67" s="94"/>
      <c r="BJX67" s="94"/>
      <c r="BJY67" s="94"/>
      <c r="BJZ67" s="94"/>
      <c r="BKA67" s="94"/>
      <c r="BKB67" s="94"/>
      <c r="BKC67" s="94"/>
      <c r="BKD67" s="94"/>
      <c r="BKE67" s="94"/>
      <c r="BKF67" s="94"/>
      <c r="BKG67" s="94"/>
      <c r="BKH67" s="94"/>
      <c r="BKI67" s="94"/>
      <c r="BKJ67" s="94"/>
      <c r="BKK67" s="94"/>
      <c r="BKL67" s="94"/>
      <c r="BKM67" s="94"/>
      <c r="BKN67" s="94"/>
      <c r="BKO67" s="94"/>
      <c r="BKP67" s="94"/>
      <c r="BKQ67" s="94"/>
      <c r="BKR67" s="94"/>
      <c r="BKS67" s="94"/>
      <c r="BKT67" s="94"/>
      <c r="BKU67" s="94"/>
      <c r="BKV67" s="94"/>
      <c r="BKW67" s="94"/>
      <c r="BKX67" s="94"/>
      <c r="BKY67" s="94"/>
      <c r="BKZ67" s="94"/>
      <c r="BLA67" s="94"/>
      <c r="BLB67" s="94"/>
      <c r="BLC67" s="94"/>
      <c r="BLD67" s="94"/>
      <c r="BLE67" s="94"/>
      <c r="BLF67" s="94"/>
      <c r="BLG67" s="94"/>
      <c r="BLH67" s="94"/>
      <c r="BLI67" s="94"/>
      <c r="BLJ67" s="94"/>
      <c r="BLK67" s="94"/>
      <c r="BLL67" s="94"/>
      <c r="BLM67" s="94"/>
      <c r="BLN67" s="94"/>
      <c r="BLO67" s="94"/>
      <c r="BLP67" s="94"/>
      <c r="BLQ67" s="94"/>
      <c r="BLR67" s="94"/>
      <c r="BLS67" s="94"/>
      <c r="BLT67" s="94"/>
      <c r="BLU67" s="94"/>
      <c r="BLV67" s="94"/>
      <c r="BLW67" s="94"/>
      <c r="BLX67" s="94"/>
      <c r="BLY67" s="94"/>
      <c r="BLZ67" s="94"/>
      <c r="BMA67" s="94"/>
      <c r="BMB67" s="94"/>
      <c r="BMC67" s="94"/>
      <c r="BMD67" s="94"/>
      <c r="BME67" s="94"/>
      <c r="BMF67" s="94"/>
      <c r="BMG67" s="94"/>
      <c r="BMH67" s="94"/>
      <c r="BMI67" s="94"/>
      <c r="BMJ67" s="94"/>
      <c r="BMK67" s="94"/>
      <c r="BML67" s="94"/>
      <c r="BMM67" s="94"/>
      <c r="BMN67" s="94"/>
      <c r="BMO67" s="94"/>
      <c r="BMP67" s="94"/>
      <c r="BMQ67" s="94"/>
      <c r="BMR67" s="94"/>
      <c r="BMS67" s="94"/>
      <c r="BMT67" s="94"/>
      <c r="BMU67" s="94"/>
      <c r="BMV67" s="94"/>
      <c r="BMW67" s="94"/>
      <c r="BMX67" s="94"/>
      <c r="BMY67" s="94"/>
      <c r="BMZ67" s="94"/>
      <c r="BNA67" s="94"/>
      <c r="BNB67" s="94"/>
      <c r="BNC67" s="94"/>
      <c r="BND67" s="94"/>
      <c r="BNE67" s="94"/>
      <c r="BNF67" s="94"/>
      <c r="BNG67" s="94"/>
      <c r="BNH67" s="94"/>
      <c r="BNI67" s="94"/>
      <c r="BNJ67" s="94"/>
      <c r="BNK67" s="94"/>
      <c r="BNL67" s="94"/>
      <c r="BNM67" s="94"/>
      <c r="BNN67" s="94"/>
      <c r="BNO67" s="94"/>
      <c r="BNP67" s="94"/>
      <c r="BNQ67" s="94"/>
      <c r="BNR67" s="94"/>
      <c r="BNS67" s="94"/>
      <c r="BNT67" s="94"/>
      <c r="BNU67" s="94"/>
      <c r="BNV67" s="94"/>
      <c r="BNW67" s="94"/>
      <c r="BNX67" s="94"/>
      <c r="BNY67" s="94"/>
      <c r="BNZ67" s="94"/>
      <c r="BOA67" s="94"/>
      <c r="BOB67" s="94"/>
      <c r="BOC67" s="94"/>
      <c r="BOD67" s="94"/>
      <c r="BOE67" s="94"/>
      <c r="BOF67" s="94"/>
      <c r="BOG67" s="94"/>
      <c r="BOH67" s="94"/>
      <c r="BOI67" s="94"/>
      <c r="BOJ67" s="94"/>
      <c r="BOK67" s="94"/>
      <c r="BOL67" s="94"/>
      <c r="BOM67" s="94"/>
      <c r="BON67" s="94"/>
      <c r="BOO67" s="94"/>
      <c r="BOP67" s="94"/>
      <c r="BOQ67" s="94"/>
      <c r="BOR67" s="94"/>
      <c r="BOS67" s="94"/>
      <c r="BOT67" s="94"/>
      <c r="BOU67" s="94"/>
      <c r="BOV67" s="94"/>
      <c r="BOW67" s="94"/>
      <c r="BOX67" s="94"/>
      <c r="BOY67" s="94"/>
      <c r="BOZ67" s="94"/>
      <c r="BPA67" s="94"/>
      <c r="BPB67" s="94"/>
      <c r="BPC67" s="94"/>
      <c r="BPD67" s="94"/>
      <c r="BPE67" s="94"/>
      <c r="BPF67" s="94"/>
      <c r="BPG67" s="94"/>
      <c r="BPH67" s="94"/>
      <c r="BPI67" s="94"/>
      <c r="BPJ67" s="94"/>
      <c r="BPK67" s="94"/>
      <c r="BPL67" s="94"/>
      <c r="BPM67" s="94"/>
      <c r="BPN67" s="94"/>
      <c r="BPO67" s="94"/>
      <c r="BPP67" s="94"/>
      <c r="BPQ67" s="94"/>
      <c r="BPR67" s="94"/>
      <c r="BPS67" s="94"/>
      <c r="BPT67" s="94"/>
      <c r="BPU67" s="94"/>
      <c r="BPV67" s="94"/>
      <c r="BPW67" s="94"/>
      <c r="BPX67" s="94"/>
      <c r="BPY67" s="94"/>
      <c r="BPZ67" s="94"/>
      <c r="BQA67" s="94"/>
      <c r="BQB67" s="94"/>
      <c r="BQC67" s="94"/>
      <c r="BQD67" s="94"/>
      <c r="BQE67" s="94"/>
      <c r="BQF67" s="94"/>
      <c r="BQG67" s="94"/>
      <c r="BQH67" s="94"/>
      <c r="BQI67" s="94"/>
      <c r="BQJ67" s="94"/>
      <c r="BQK67" s="94"/>
      <c r="BQL67" s="94"/>
      <c r="BQM67" s="94"/>
      <c r="BQN67" s="94"/>
      <c r="BQO67" s="94"/>
      <c r="BQP67" s="94"/>
      <c r="BQQ67" s="94"/>
      <c r="BQR67" s="94"/>
      <c r="BQS67" s="94"/>
      <c r="BQT67" s="94"/>
      <c r="BQU67" s="94"/>
      <c r="BQV67" s="94"/>
      <c r="BQW67" s="94"/>
      <c r="BQX67" s="94"/>
      <c r="BQY67" s="94"/>
      <c r="BQZ67" s="94"/>
      <c r="BRA67" s="94"/>
      <c r="BRB67" s="94"/>
      <c r="BRC67" s="94"/>
      <c r="BRD67" s="94"/>
      <c r="BRE67" s="94"/>
      <c r="BRF67" s="94"/>
      <c r="BRG67" s="94"/>
      <c r="BRH67" s="94"/>
      <c r="BRI67" s="94"/>
      <c r="BRJ67" s="94"/>
      <c r="BRK67" s="94"/>
      <c r="BRL67" s="94"/>
      <c r="BRM67" s="94"/>
      <c r="BRN67" s="94"/>
      <c r="BRO67" s="94"/>
      <c r="BRP67" s="94"/>
      <c r="BRQ67" s="94"/>
      <c r="BRR67" s="94"/>
      <c r="BRS67" s="94"/>
      <c r="BRT67" s="94"/>
      <c r="BRU67" s="94"/>
      <c r="BRV67" s="94"/>
      <c r="BRW67" s="94"/>
      <c r="BRX67" s="94"/>
      <c r="BRY67" s="94"/>
      <c r="BRZ67" s="94"/>
      <c r="BSA67" s="94"/>
      <c r="BSB67" s="94"/>
      <c r="BSC67" s="94"/>
      <c r="BSD67" s="94"/>
      <c r="BSE67" s="94"/>
      <c r="BSF67" s="94"/>
      <c r="BSG67" s="94"/>
      <c r="BSH67" s="94"/>
      <c r="BSI67" s="94"/>
      <c r="BSJ67" s="94"/>
      <c r="BSK67" s="94"/>
      <c r="BSL67" s="94"/>
      <c r="BSM67" s="94"/>
      <c r="BSN67" s="94"/>
      <c r="BSO67" s="94"/>
      <c r="BSP67" s="94"/>
      <c r="BSQ67" s="94"/>
      <c r="BSR67" s="94"/>
      <c r="BSS67" s="94"/>
      <c r="BST67" s="94"/>
      <c r="BSU67" s="94"/>
      <c r="BSV67" s="94"/>
      <c r="BSW67" s="94"/>
      <c r="BSX67" s="94"/>
      <c r="BSY67" s="94"/>
      <c r="BSZ67" s="94"/>
      <c r="BTA67" s="94"/>
      <c r="BTB67" s="94"/>
      <c r="BTC67" s="94"/>
      <c r="BTD67" s="94"/>
      <c r="BTE67" s="94"/>
      <c r="BTF67" s="94"/>
      <c r="BTG67" s="94"/>
      <c r="BTH67" s="94"/>
      <c r="BTI67" s="94"/>
      <c r="BTJ67" s="94"/>
      <c r="BTK67" s="94"/>
      <c r="BTL67" s="94"/>
      <c r="BTM67" s="94"/>
      <c r="BTN67" s="94"/>
      <c r="BTO67" s="94"/>
      <c r="BTP67" s="94"/>
      <c r="BTQ67" s="94"/>
      <c r="BTR67" s="94"/>
      <c r="BTS67" s="94"/>
      <c r="BTT67" s="94"/>
      <c r="BTU67" s="94"/>
      <c r="BTV67" s="94"/>
      <c r="BTW67" s="94"/>
      <c r="BTX67" s="94"/>
      <c r="BTY67" s="94"/>
      <c r="BTZ67" s="94"/>
      <c r="BUA67" s="94"/>
      <c r="BUB67" s="94"/>
      <c r="BUC67" s="94"/>
      <c r="BUD67" s="94"/>
      <c r="BUE67" s="94"/>
      <c r="BUF67" s="94"/>
      <c r="BUG67" s="94"/>
      <c r="BUH67" s="94"/>
      <c r="BUI67" s="94"/>
      <c r="BUJ67" s="94"/>
      <c r="BUK67" s="94"/>
      <c r="BUL67" s="94"/>
      <c r="BUM67" s="94"/>
      <c r="BUN67" s="94"/>
      <c r="BUO67" s="94"/>
      <c r="BUP67" s="94"/>
      <c r="BUQ67" s="94"/>
      <c r="BUR67" s="94"/>
      <c r="BUS67" s="94"/>
      <c r="BUT67" s="94"/>
      <c r="BUU67" s="94"/>
      <c r="BUV67" s="94"/>
      <c r="BUW67" s="94"/>
      <c r="BUX67" s="94"/>
      <c r="BUY67" s="94"/>
      <c r="BUZ67" s="94"/>
      <c r="BVA67" s="94"/>
      <c r="BVB67" s="94"/>
      <c r="BVC67" s="94"/>
      <c r="BVD67" s="94"/>
      <c r="BVE67" s="94"/>
      <c r="BVF67" s="94"/>
      <c r="BVG67" s="94"/>
      <c r="BVH67" s="94"/>
      <c r="BVI67" s="94"/>
      <c r="BVJ67" s="94"/>
      <c r="BVK67" s="94"/>
      <c r="BVL67" s="94"/>
      <c r="BVM67" s="94"/>
      <c r="BVN67" s="94"/>
      <c r="BVO67" s="94"/>
      <c r="BVP67" s="94"/>
      <c r="BVQ67" s="94"/>
      <c r="BVR67" s="94"/>
      <c r="BVS67" s="94"/>
      <c r="BVT67" s="94"/>
      <c r="BVU67" s="94"/>
      <c r="BVV67" s="94"/>
      <c r="BVW67" s="94"/>
      <c r="BVX67" s="94"/>
      <c r="BVY67" s="94"/>
      <c r="BVZ67" s="94"/>
      <c r="BWA67" s="94"/>
      <c r="BWB67" s="94"/>
      <c r="BWC67" s="94"/>
      <c r="BWD67" s="94"/>
      <c r="BWE67" s="94"/>
      <c r="BWF67" s="94"/>
      <c r="BWG67" s="94"/>
      <c r="BWH67" s="94"/>
      <c r="BWI67" s="94"/>
      <c r="BWJ67" s="94"/>
      <c r="BWK67" s="94"/>
      <c r="BWL67" s="94"/>
      <c r="BWM67" s="94"/>
      <c r="BWN67" s="94"/>
      <c r="BWO67" s="94"/>
      <c r="BWP67" s="94"/>
      <c r="BWQ67" s="94"/>
      <c r="BWR67" s="94"/>
      <c r="BWS67" s="94"/>
      <c r="BWT67" s="94"/>
      <c r="BWU67" s="94"/>
      <c r="BWV67" s="94"/>
      <c r="BWW67" s="94"/>
      <c r="BWX67" s="94"/>
      <c r="BWY67" s="94"/>
      <c r="BWZ67" s="94"/>
      <c r="BXA67" s="94"/>
      <c r="BXB67" s="94"/>
      <c r="BXC67" s="94"/>
      <c r="BXD67" s="94"/>
      <c r="BXE67" s="94"/>
      <c r="BXF67" s="94"/>
      <c r="BXG67" s="94"/>
      <c r="BXH67" s="94"/>
      <c r="BXI67" s="94"/>
      <c r="BXJ67" s="94"/>
      <c r="BXK67" s="94"/>
      <c r="BXL67" s="94"/>
      <c r="BXM67" s="94"/>
      <c r="BXN67" s="94"/>
      <c r="BXO67" s="94"/>
      <c r="BXP67" s="94"/>
      <c r="BXQ67" s="94"/>
      <c r="BXR67" s="94"/>
      <c r="BXS67" s="94"/>
      <c r="BXT67" s="94"/>
      <c r="BXU67" s="94"/>
      <c r="BXV67" s="94"/>
      <c r="BXW67" s="94"/>
      <c r="BXX67" s="94"/>
      <c r="BXY67" s="94"/>
      <c r="BXZ67" s="94"/>
      <c r="BYA67" s="94"/>
      <c r="BYB67" s="94"/>
      <c r="BYC67" s="94"/>
      <c r="BYD67" s="94"/>
      <c r="BYE67" s="94"/>
      <c r="BYF67" s="94"/>
      <c r="BYG67" s="94"/>
    </row>
    <row r="68" spans="1:2009" s="94" customFormat="1" ht="9" customHeight="1" x14ac:dyDescent="0.25">
      <c r="A68" s="658"/>
      <c r="B68" s="658"/>
      <c r="C68" s="430"/>
      <c r="D68" s="175"/>
      <c r="E68" s="175"/>
      <c r="F68" s="175"/>
      <c r="G68" s="635"/>
      <c r="H68" s="93"/>
      <c r="I68" s="544"/>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4" customFormat="1" ht="24.95" hidden="1" customHeight="1" x14ac:dyDescent="0.25">
      <c r="A69" s="798" t="s">
        <v>450</v>
      </c>
      <c r="B69" s="799"/>
      <c r="C69" s="805"/>
      <c r="D69" s="805"/>
      <c r="E69" s="819"/>
      <c r="F69" s="805"/>
      <c r="G69" s="817">
        <f>SUM(C69:F69)</f>
        <v>0</v>
      </c>
      <c r="H69" s="93"/>
      <c r="I69" s="544"/>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row>
    <row r="70" spans="1:2009" s="94" customFormat="1" ht="24.95" customHeight="1" x14ac:dyDescent="0.25">
      <c r="A70" s="802" t="s">
        <v>399</v>
      </c>
      <c r="B70" s="803"/>
      <c r="C70" s="806">
        <v>10094.42</v>
      </c>
      <c r="D70" s="806">
        <v>10094.42</v>
      </c>
      <c r="E70" s="806"/>
      <c r="F70" s="806"/>
      <c r="G70" s="818">
        <f>SUM(C70:F70)</f>
        <v>20188.84</v>
      </c>
      <c r="H70" s="93"/>
      <c r="I70" s="544"/>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row>
    <row r="71" spans="1:2009" s="94" customFormat="1" ht="24.95" customHeight="1" thickBot="1" x14ac:dyDescent="0.3">
      <c r="A71" s="800"/>
      <c r="B71" s="804" t="s">
        <v>449</v>
      </c>
      <c r="C71" s="806">
        <f>C69+C70</f>
        <v>10094.42</v>
      </c>
      <c r="D71" s="806">
        <f>D69+D70</f>
        <v>10094.42</v>
      </c>
      <c r="E71" s="806"/>
      <c r="F71" s="806"/>
      <c r="G71" s="801">
        <f>SUM(C71:F71)</f>
        <v>20188.84</v>
      </c>
      <c r="H71" s="93"/>
      <c r="I71" s="544"/>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row>
    <row r="72" spans="1:2009" s="95" customFormat="1" ht="12.75" customHeight="1" thickBot="1" x14ac:dyDescent="0.3">
      <c r="A72" s="119"/>
      <c r="B72" s="119"/>
      <c r="C72" s="170"/>
      <c r="D72" s="170"/>
      <c r="E72" s="170"/>
      <c r="F72" s="170"/>
      <c r="G72" s="645"/>
      <c r="H72" s="93"/>
      <c r="I72" s="544"/>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GA72" s="94"/>
      <c r="GB72" s="94"/>
      <c r="GC72" s="94"/>
      <c r="GD72" s="94"/>
      <c r="GE72" s="94"/>
      <c r="GF72" s="94"/>
      <c r="GG72" s="94"/>
      <c r="GH72" s="94"/>
      <c r="GI72" s="94"/>
      <c r="GJ72" s="94"/>
      <c r="GK72" s="94"/>
      <c r="GL72" s="94"/>
      <c r="GM72" s="94"/>
      <c r="GN72" s="94"/>
      <c r="GO72" s="94"/>
      <c r="GP72" s="94"/>
      <c r="GQ72" s="94"/>
      <c r="GR72" s="94"/>
      <c r="GS72" s="94"/>
      <c r="GT72" s="94"/>
      <c r="GU72" s="94"/>
      <c r="GV72" s="94"/>
      <c r="GW72" s="94"/>
      <c r="GX72" s="94"/>
      <c r="GY72" s="94"/>
      <c r="GZ72" s="94"/>
      <c r="HA72" s="94"/>
      <c r="HB72" s="94"/>
      <c r="HC72" s="94"/>
      <c r="HD72" s="94"/>
      <c r="HE72" s="94"/>
      <c r="HF72" s="94"/>
      <c r="HG72" s="94"/>
      <c r="HH72" s="94"/>
      <c r="HI72" s="94"/>
      <c r="HJ72" s="94"/>
      <c r="HK72" s="94"/>
      <c r="HL72" s="94"/>
      <c r="HM72" s="94"/>
      <c r="HN72" s="94"/>
      <c r="HO72" s="94"/>
      <c r="HP72" s="94"/>
      <c r="HQ72" s="94"/>
      <c r="HR72" s="94"/>
      <c r="HS72" s="94"/>
      <c r="HT72" s="94"/>
      <c r="HU72" s="94"/>
      <c r="HV72" s="94"/>
      <c r="HW72" s="94"/>
      <c r="HX72" s="94"/>
      <c r="HY72" s="94"/>
      <c r="HZ72" s="94"/>
      <c r="IA72" s="94"/>
      <c r="IB72" s="94"/>
      <c r="IC72" s="94"/>
      <c r="ID72" s="94"/>
      <c r="IE72" s="94"/>
      <c r="IF72" s="94"/>
      <c r="IG72" s="94"/>
      <c r="IH72" s="94"/>
      <c r="II72" s="94"/>
      <c r="IJ72" s="94"/>
      <c r="IK72" s="94"/>
      <c r="IL72" s="94"/>
      <c r="IM72" s="94"/>
      <c r="IN72" s="94"/>
      <c r="IO72" s="94"/>
      <c r="IP72" s="94"/>
      <c r="IQ72" s="94"/>
      <c r="IR72" s="94"/>
      <c r="IS72" s="94"/>
      <c r="IT72" s="94"/>
      <c r="IU72" s="94"/>
      <c r="IV72" s="94"/>
      <c r="IW72" s="94"/>
      <c r="IX72" s="94"/>
      <c r="IY72" s="94"/>
      <c r="IZ72" s="94"/>
      <c r="JA72" s="94"/>
      <c r="JB72" s="94"/>
      <c r="JC72" s="94"/>
      <c r="JD72" s="94"/>
      <c r="JE72" s="94"/>
      <c r="JF72" s="94"/>
      <c r="JG72" s="94"/>
      <c r="JH72" s="94"/>
      <c r="JI72" s="94"/>
      <c r="JJ72" s="94"/>
      <c r="JK72" s="94"/>
      <c r="JL72" s="94"/>
      <c r="JM72" s="94"/>
      <c r="JN72" s="94"/>
      <c r="JO72" s="94"/>
      <c r="JP72" s="94"/>
      <c r="JQ72" s="94"/>
      <c r="JR72" s="94"/>
      <c r="JS72" s="94"/>
      <c r="JT72" s="94"/>
      <c r="JU72" s="94"/>
      <c r="JV72" s="94"/>
      <c r="JW72" s="94"/>
      <c r="JX72" s="94"/>
      <c r="JY72" s="94"/>
      <c r="JZ72" s="94"/>
      <c r="KA72" s="94"/>
      <c r="KB72" s="94"/>
      <c r="KC72" s="94"/>
      <c r="KD72" s="94"/>
      <c r="KE72" s="94"/>
      <c r="KF72" s="94"/>
      <c r="KG72" s="94"/>
      <c r="KH72" s="94"/>
      <c r="KI72" s="94"/>
      <c r="KJ72" s="94"/>
      <c r="KK72" s="94"/>
      <c r="KL72" s="94"/>
      <c r="KM72" s="94"/>
      <c r="KN72" s="94"/>
      <c r="KO72" s="94"/>
      <c r="KP72" s="94"/>
      <c r="KQ72" s="94"/>
      <c r="KR72" s="94"/>
      <c r="KS72" s="94"/>
      <c r="KT72" s="94"/>
      <c r="KU72" s="94"/>
      <c r="KV72" s="94"/>
      <c r="KW72" s="94"/>
      <c r="KX72" s="94"/>
      <c r="KY72" s="94"/>
      <c r="KZ72" s="94"/>
      <c r="LA72" s="94"/>
      <c r="LB72" s="94"/>
      <c r="LC72" s="94"/>
      <c r="LD72" s="94"/>
      <c r="LE72" s="94"/>
      <c r="LF72" s="94"/>
      <c r="LG72" s="94"/>
      <c r="LH72" s="94"/>
      <c r="LI72" s="94"/>
      <c r="LJ72" s="94"/>
      <c r="LK72" s="94"/>
      <c r="LL72" s="94"/>
      <c r="LM72" s="94"/>
      <c r="LN72" s="94"/>
      <c r="LO72" s="94"/>
      <c r="LP72" s="94"/>
      <c r="LQ72" s="94"/>
      <c r="LR72" s="94"/>
      <c r="LS72" s="94"/>
      <c r="LT72" s="94"/>
      <c r="LU72" s="94"/>
      <c r="LV72" s="94"/>
      <c r="LW72" s="94"/>
      <c r="LX72" s="94"/>
      <c r="LY72" s="94"/>
      <c r="LZ72" s="94"/>
      <c r="MA72" s="94"/>
      <c r="MB72" s="94"/>
      <c r="MC72" s="94"/>
      <c r="MD72" s="94"/>
      <c r="ME72" s="94"/>
      <c r="MF72" s="94"/>
      <c r="MG72" s="94"/>
      <c r="MH72" s="94"/>
      <c r="MI72" s="94"/>
      <c r="MJ72" s="94"/>
      <c r="MK72" s="94"/>
      <c r="ML72" s="94"/>
      <c r="MM72" s="94"/>
      <c r="MN72" s="94"/>
      <c r="MO72" s="94"/>
      <c r="MP72" s="94"/>
      <c r="MQ72" s="94"/>
      <c r="MR72" s="94"/>
      <c r="MS72" s="94"/>
      <c r="MT72" s="94"/>
      <c r="MU72" s="94"/>
      <c r="MV72" s="94"/>
      <c r="MW72" s="94"/>
      <c r="MX72" s="94"/>
      <c r="MY72" s="94"/>
      <c r="MZ72" s="94"/>
      <c r="NA72" s="94"/>
      <c r="NB72" s="94"/>
      <c r="NC72" s="94"/>
      <c r="ND72" s="94"/>
      <c r="NE72" s="94"/>
      <c r="NF72" s="94"/>
      <c r="NG72" s="94"/>
      <c r="NH72" s="94"/>
      <c r="NI72" s="94"/>
      <c r="NJ72" s="94"/>
      <c r="NK72" s="94"/>
      <c r="NL72" s="94"/>
      <c r="NM72" s="94"/>
      <c r="NN72" s="94"/>
      <c r="NO72" s="94"/>
      <c r="NP72" s="94"/>
      <c r="NQ72" s="94"/>
      <c r="NR72" s="94"/>
      <c r="NS72" s="94"/>
      <c r="NT72" s="94"/>
      <c r="NU72" s="94"/>
      <c r="NV72" s="94"/>
      <c r="NW72" s="94"/>
      <c r="NX72" s="94"/>
      <c r="NY72" s="94"/>
      <c r="NZ72" s="94"/>
      <c r="OA72" s="94"/>
      <c r="OB72" s="94"/>
      <c r="OC72" s="94"/>
      <c r="OD72" s="94"/>
      <c r="OE72" s="94"/>
      <c r="OF72" s="94"/>
      <c r="OG72" s="94"/>
      <c r="OH72" s="94"/>
      <c r="OI72" s="94"/>
      <c r="OJ72" s="94"/>
      <c r="OK72" s="94"/>
      <c r="OL72" s="94"/>
      <c r="OM72" s="94"/>
      <c r="ON72" s="94"/>
      <c r="OO72" s="94"/>
      <c r="OP72" s="94"/>
      <c r="OQ72" s="94"/>
      <c r="OR72" s="94"/>
      <c r="OS72" s="94"/>
      <c r="OT72" s="94"/>
      <c r="OU72" s="94"/>
      <c r="OV72" s="94"/>
      <c r="OW72" s="94"/>
      <c r="OX72" s="94"/>
      <c r="OY72" s="94"/>
      <c r="OZ72" s="94"/>
      <c r="PA72" s="94"/>
      <c r="PB72" s="94"/>
      <c r="PC72" s="94"/>
      <c r="PD72" s="94"/>
      <c r="PE72" s="94"/>
      <c r="PF72" s="94"/>
      <c r="PG72" s="94"/>
      <c r="PH72" s="94"/>
      <c r="PI72" s="94"/>
      <c r="PJ72" s="94"/>
      <c r="PK72" s="94"/>
      <c r="PL72" s="94"/>
      <c r="PM72" s="94"/>
      <c r="PN72" s="94"/>
      <c r="PO72" s="94"/>
      <c r="PP72" s="94"/>
      <c r="PQ72" s="94"/>
      <c r="PR72" s="94"/>
      <c r="PS72" s="94"/>
      <c r="PT72" s="94"/>
      <c r="PU72" s="94"/>
      <c r="PV72" s="94"/>
      <c r="PW72" s="94"/>
      <c r="PX72" s="94"/>
      <c r="PY72" s="94"/>
      <c r="PZ72" s="94"/>
      <c r="QA72" s="94"/>
      <c r="QB72" s="94"/>
      <c r="QC72" s="94"/>
      <c r="QD72" s="94"/>
      <c r="QE72" s="94"/>
      <c r="QF72" s="94"/>
      <c r="QG72" s="94"/>
      <c r="QH72" s="94"/>
      <c r="QI72" s="94"/>
      <c r="QJ72" s="94"/>
      <c r="QK72" s="94"/>
      <c r="QL72" s="94"/>
      <c r="QM72" s="94"/>
      <c r="QN72" s="94"/>
      <c r="QO72" s="94"/>
      <c r="QP72" s="94"/>
      <c r="QQ72" s="94"/>
      <c r="QR72" s="94"/>
      <c r="QS72" s="94"/>
      <c r="QT72" s="94"/>
      <c r="QU72" s="94"/>
      <c r="QV72" s="94"/>
      <c r="QW72" s="94"/>
      <c r="QX72" s="94"/>
      <c r="QY72" s="94"/>
      <c r="QZ72" s="94"/>
      <c r="RA72" s="94"/>
      <c r="RB72" s="94"/>
      <c r="RC72" s="94"/>
      <c r="RD72" s="94"/>
      <c r="RE72" s="94"/>
      <c r="RF72" s="94"/>
      <c r="RG72" s="94"/>
      <c r="RH72" s="94"/>
      <c r="RI72" s="94"/>
      <c r="RJ72" s="94"/>
      <c r="RK72" s="94"/>
      <c r="RL72" s="94"/>
      <c r="RM72" s="94"/>
      <c r="RN72" s="94"/>
      <c r="RO72" s="94"/>
      <c r="RP72" s="94"/>
      <c r="RQ72" s="94"/>
      <c r="RR72" s="94"/>
      <c r="RS72" s="94"/>
      <c r="RT72" s="94"/>
      <c r="RU72" s="94"/>
      <c r="RV72" s="94"/>
      <c r="RW72" s="94"/>
      <c r="RX72" s="94"/>
      <c r="RY72" s="94"/>
      <c r="RZ72" s="94"/>
      <c r="SA72" s="94"/>
      <c r="SB72" s="94"/>
      <c r="SC72" s="94"/>
      <c r="SD72" s="94"/>
      <c r="SE72" s="94"/>
      <c r="SF72" s="94"/>
      <c r="SG72" s="94"/>
      <c r="SH72" s="94"/>
      <c r="SI72" s="94"/>
      <c r="SJ72" s="94"/>
      <c r="SK72" s="94"/>
      <c r="SL72" s="94"/>
      <c r="SM72" s="94"/>
      <c r="SN72" s="94"/>
      <c r="SO72" s="94"/>
      <c r="SP72" s="94"/>
      <c r="SQ72" s="94"/>
      <c r="SR72" s="94"/>
      <c r="SS72" s="94"/>
      <c r="ST72" s="94"/>
      <c r="SU72" s="94"/>
      <c r="SV72" s="94"/>
      <c r="SW72" s="94"/>
      <c r="SX72" s="94"/>
      <c r="SY72" s="94"/>
      <c r="SZ72" s="94"/>
      <c r="TA72" s="94"/>
      <c r="TB72" s="94"/>
      <c r="TC72" s="94"/>
      <c r="TD72" s="94"/>
      <c r="TE72" s="94"/>
      <c r="TF72" s="94"/>
      <c r="TG72" s="94"/>
      <c r="TH72" s="94"/>
      <c r="TI72" s="94"/>
      <c r="TJ72" s="94"/>
      <c r="TK72" s="94"/>
      <c r="TL72" s="94"/>
      <c r="TM72" s="94"/>
      <c r="TN72" s="94"/>
      <c r="TO72" s="94"/>
      <c r="TP72" s="94"/>
      <c r="TQ72" s="94"/>
      <c r="TR72" s="94"/>
      <c r="TS72" s="94"/>
      <c r="TT72" s="94"/>
      <c r="TU72" s="94"/>
      <c r="TV72" s="94"/>
      <c r="TW72" s="94"/>
      <c r="TX72" s="94"/>
      <c r="TY72" s="94"/>
      <c r="TZ72" s="94"/>
      <c r="UA72" s="94"/>
      <c r="UB72" s="94"/>
      <c r="UC72" s="94"/>
      <c r="UD72" s="94"/>
      <c r="UE72" s="94"/>
      <c r="UF72" s="94"/>
      <c r="UG72" s="94"/>
      <c r="UH72" s="94"/>
      <c r="UI72" s="94"/>
      <c r="UJ72" s="94"/>
      <c r="UK72" s="94"/>
      <c r="UL72" s="94"/>
      <c r="UM72" s="94"/>
      <c r="UN72" s="94"/>
      <c r="UO72" s="94"/>
      <c r="UP72" s="94"/>
      <c r="UQ72" s="94"/>
      <c r="UR72" s="94"/>
      <c r="US72" s="94"/>
      <c r="UT72" s="94"/>
      <c r="UU72" s="94"/>
      <c r="UV72" s="94"/>
      <c r="UW72" s="94"/>
      <c r="UX72" s="94"/>
      <c r="UY72" s="94"/>
      <c r="UZ72" s="94"/>
      <c r="VA72" s="94"/>
      <c r="VB72" s="94"/>
      <c r="VC72" s="94"/>
      <c r="VD72" s="94"/>
      <c r="VE72" s="94"/>
      <c r="VF72" s="94"/>
      <c r="VG72" s="94"/>
      <c r="VH72" s="94"/>
      <c r="VI72" s="94"/>
      <c r="VJ72" s="94"/>
      <c r="VK72" s="94"/>
      <c r="VL72" s="94"/>
      <c r="VM72" s="94"/>
      <c r="VN72" s="94"/>
      <c r="VO72" s="94"/>
      <c r="VP72" s="94"/>
      <c r="VQ72" s="94"/>
      <c r="VR72" s="94"/>
      <c r="VS72" s="94"/>
      <c r="VT72" s="94"/>
      <c r="VU72" s="94"/>
      <c r="VV72" s="94"/>
      <c r="VW72" s="94"/>
      <c r="VX72" s="94"/>
      <c r="VY72" s="94"/>
      <c r="VZ72" s="94"/>
      <c r="WA72" s="94"/>
      <c r="WB72" s="94"/>
      <c r="WC72" s="94"/>
      <c r="WD72" s="94"/>
      <c r="WE72" s="94"/>
      <c r="WF72" s="94"/>
      <c r="WG72" s="94"/>
      <c r="WH72" s="94"/>
      <c r="WI72" s="94"/>
      <c r="WJ72" s="94"/>
      <c r="WK72" s="94"/>
      <c r="WL72" s="94"/>
      <c r="WM72" s="94"/>
      <c r="WN72" s="94"/>
      <c r="WO72" s="94"/>
      <c r="WP72" s="94"/>
      <c r="WQ72" s="94"/>
      <c r="WR72" s="94"/>
      <c r="WS72" s="94"/>
      <c r="WT72" s="94"/>
      <c r="WU72" s="94"/>
      <c r="WV72" s="94"/>
      <c r="WW72" s="94"/>
      <c r="WX72" s="94"/>
      <c r="WY72" s="94"/>
      <c r="WZ72" s="94"/>
      <c r="XA72" s="94"/>
      <c r="XB72" s="94"/>
      <c r="XC72" s="94"/>
      <c r="XD72" s="94"/>
      <c r="XE72" s="94"/>
      <c r="XF72" s="94"/>
      <c r="XG72" s="94"/>
      <c r="XH72" s="94"/>
      <c r="XI72" s="94"/>
      <c r="XJ72" s="94"/>
      <c r="XK72" s="94"/>
      <c r="XL72" s="94"/>
      <c r="XM72" s="94"/>
      <c r="XN72" s="94"/>
      <c r="XO72" s="94"/>
      <c r="XP72" s="94"/>
      <c r="XQ72" s="94"/>
      <c r="XR72" s="94"/>
      <c r="XS72" s="94"/>
      <c r="XT72" s="94"/>
      <c r="XU72" s="94"/>
      <c r="XV72" s="94"/>
      <c r="XW72" s="94"/>
      <c r="XX72" s="94"/>
      <c r="XY72" s="94"/>
      <c r="XZ72" s="94"/>
      <c r="YA72" s="94"/>
      <c r="YB72" s="94"/>
      <c r="YC72" s="94"/>
      <c r="YD72" s="94"/>
      <c r="YE72" s="94"/>
      <c r="YF72" s="94"/>
      <c r="YG72" s="94"/>
      <c r="YH72" s="94"/>
      <c r="YI72" s="94"/>
      <c r="YJ72" s="94"/>
      <c r="YK72" s="94"/>
      <c r="YL72" s="94"/>
      <c r="YM72" s="94"/>
      <c r="YN72" s="94"/>
      <c r="YO72" s="94"/>
      <c r="YP72" s="94"/>
      <c r="YQ72" s="94"/>
      <c r="YR72" s="94"/>
      <c r="YS72" s="94"/>
      <c r="YT72" s="94"/>
      <c r="YU72" s="94"/>
      <c r="YV72" s="94"/>
      <c r="YW72" s="94"/>
      <c r="YX72" s="94"/>
      <c r="YY72" s="94"/>
      <c r="YZ72" s="94"/>
      <c r="ZA72" s="94"/>
      <c r="ZB72" s="94"/>
      <c r="ZC72" s="94"/>
      <c r="ZD72" s="94"/>
      <c r="ZE72" s="94"/>
      <c r="ZF72" s="94"/>
      <c r="ZG72" s="94"/>
      <c r="ZH72" s="94"/>
      <c r="ZI72" s="94"/>
      <c r="ZJ72" s="94"/>
      <c r="ZK72" s="94"/>
      <c r="ZL72" s="94"/>
      <c r="ZM72" s="94"/>
      <c r="ZN72" s="94"/>
      <c r="ZO72" s="94"/>
      <c r="ZP72" s="94"/>
      <c r="ZQ72" s="94"/>
      <c r="ZR72" s="94"/>
      <c r="ZS72" s="94"/>
      <c r="ZT72" s="94"/>
      <c r="ZU72" s="94"/>
      <c r="ZV72" s="94"/>
      <c r="ZW72" s="94"/>
      <c r="ZX72" s="94"/>
      <c r="ZY72" s="94"/>
      <c r="ZZ72" s="94"/>
      <c r="AAA72" s="94"/>
      <c r="AAB72" s="94"/>
      <c r="AAC72" s="94"/>
      <c r="AAD72" s="94"/>
      <c r="AAE72" s="94"/>
      <c r="AAF72" s="94"/>
      <c r="AAG72" s="94"/>
      <c r="AAH72" s="94"/>
      <c r="AAI72" s="94"/>
      <c r="AAJ72" s="94"/>
      <c r="AAK72" s="94"/>
      <c r="AAL72" s="94"/>
      <c r="AAM72" s="94"/>
      <c r="AAN72" s="94"/>
      <c r="AAO72" s="94"/>
      <c r="AAP72" s="94"/>
      <c r="AAQ72" s="94"/>
      <c r="AAR72" s="94"/>
      <c r="AAS72" s="94"/>
      <c r="AAT72" s="94"/>
      <c r="AAU72" s="94"/>
      <c r="AAV72" s="94"/>
      <c r="AAW72" s="94"/>
      <c r="AAX72" s="94"/>
      <c r="AAY72" s="94"/>
      <c r="AAZ72" s="94"/>
      <c r="ABA72" s="94"/>
      <c r="ABB72" s="94"/>
      <c r="ABC72" s="94"/>
      <c r="ABD72" s="94"/>
      <c r="ABE72" s="94"/>
      <c r="ABF72" s="94"/>
      <c r="ABG72" s="94"/>
      <c r="ABH72" s="94"/>
      <c r="ABI72" s="94"/>
      <c r="ABJ72" s="94"/>
      <c r="ABK72" s="94"/>
      <c r="ABL72" s="94"/>
      <c r="ABM72" s="94"/>
      <c r="ABN72" s="94"/>
      <c r="ABO72" s="94"/>
      <c r="ABP72" s="94"/>
      <c r="ABQ72" s="94"/>
      <c r="ABR72" s="94"/>
      <c r="ABS72" s="94"/>
      <c r="ABT72" s="94"/>
      <c r="ABU72" s="94"/>
      <c r="ABV72" s="94"/>
      <c r="ABW72" s="94"/>
      <c r="ABX72" s="94"/>
      <c r="ABY72" s="94"/>
      <c r="ABZ72" s="94"/>
      <c r="ACA72" s="94"/>
      <c r="ACB72" s="94"/>
      <c r="ACC72" s="94"/>
      <c r="ACD72" s="94"/>
      <c r="ACE72" s="94"/>
      <c r="ACF72" s="94"/>
      <c r="ACG72" s="94"/>
      <c r="ACH72" s="94"/>
      <c r="ACI72" s="94"/>
      <c r="ACJ72" s="94"/>
      <c r="ACK72" s="94"/>
      <c r="ACL72" s="94"/>
      <c r="ACM72" s="94"/>
      <c r="ACN72" s="94"/>
      <c r="ACO72" s="94"/>
      <c r="ACP72" s="94"/>
      <c r="ACQ72" s="94"/>
      <c r="ACR72" s="94"/>
      <c r="ACS72" s="94"/>
      <c r="ACT72" s="94"/>
      <c r="ACU72" s="94"/>
      <c r="ACV72" s="94"/>
      <c r="ACW72" s="94"/>
      <c r="ACX72" s="94"/>
      <c r="ACY72" s="94"/>
      <c r="ACZ72" s="94"/>
      <c r="ADA72" s="94"/>
      <c r="ADB72" s="94"/>
      <c r="ADC72" s="94"/>
      <c r="ADD72" s="94"/>
      <c r="ADE72" s="94"/>
      <c r="ADF72" s="94"/>
      <c r="ADG72" s="94"/>
      <c r="ADH72" s="94"/>
      <c r="ADI72" s="94"/>
      <c r="ADJ72" s="94"/>
      <c r="ADK72" s="94"/>
      <c r="ADL72" s="94"/>
      <c r="ADM72" s="94"/>
      <c r="ADN72" s="94"/>
      <c r="ADO72" s="94"/>
      <c r="ADP72" s="94"/>
      <c r="ADQ72" s="94"/>
      <c r="ADR72" s="94"/>
      <c r="ADS72" s="94"/>
      <c r="ADT72" s="94"/>
      <c r="ADU72" s="94"/>
      <c r="ADV72" s="94"/>
      <c r="ADW72" s="94"/>
      <c r="ADX72" s="94"/>
      <c r="ADY72" s="94"/>
      <c r="ADZ72" s="94"/>
      <c r="AEA72" s="94"/>
      <c r="AEB72" s="94"/>
      <c r="AEC72" s="94"/>
      <c r="AED72" s="94"/>
      <c r="AEE72" s="94"/>
      <c r="AEF72" s="94"/>
      <c r="AEG72" s="94"/>
      <c r="AEH72" s="94"/>
      <c r="AEI72" s="94"/>
      <c r="AEJ72" s="94"/>
      <c r="AEK72" s="94"/>
      <c r="AEL72" s="94"/>
      <c r="AEM72" s="94"/>
      <c r="AEN72" s="94"/>
      <c r="AEO72" s="94"/>
      <c r="AEP72" s="94"/>
      <c r="AEQ72" s="94"/>
      <c r="AER72" s="94"/>
      <c r="AES72" s="94"/>
      <c r="AET72" s="94"/>
      <c r="AEU72" s="94"/>
      <c r="AEV72" s="94"/>
      <c r="AEW72" s="94"/>
      <c r="AEX72" s="94"/>
      <c r="AEY72" s="94"/>
      <c r="AEZ72" s="94"/>
      <c r="AFA72" s="94"/>
      <c r="AFB72" s="94"/>
      <c r="AFC72" s="94"/>
      <c r="AFD72" s="94"/>
      <c r="AFE72" s="94"/>
      <c r="AFF72" s="94"/>
      <c r="AFG72" s="94"/>
      <c r="AFH72" s="94"/>
      <c r="AFI72" s="94"/>
      <c r="AFJ72" s="94"/>
      <c r="AFK72" s="94"/>
      <c r="AFL72" s="94"/>
      <c r="AFM72" s="94"/>
      <c r="AFN72" s="94"/>
      <c r="AFO72" s="94"/>
      <c r="AFP72" s="94"/>
      <c r="AFQ72" s="94"/>
      <c r="AFR72" s="94"/>
      <c r="AFS72" s="94"/>
      <c r="AFT72" s="94"/>
      <c r="AFU72" s="94"/>
      <c r="AFV72" s="94"/>
      <c r="AFW72" s="94"/>
      <c r="AFX72" s="94"/>
      <c r="AFY72" s="94"/>
      <c r="AFZ72" s="94"/>
      <c r="AGA72" s="94"/>
      <c r="AGB72" s="94"/>
      <c r="AGC72" s="94"/>
      <c r="AGD72" s="94"/>
      <c r="AGE72" s="94"/>
      <c r="AGF72" s="94"/>
      <c r="AGG72" s="94"/>
      <c r="AGH72" s="94"/>
      <c r="AGI72" s="94"/>
      <c r="AGJ72" s="94"/>
      <c r="AGK72" s="94"/>
      <c r="AGL72" s="94"/>
      <c r="AGM72" s="94"/>
      <c r="AGN72" s="94"/>
      <c r="AGO72" s="94"/>
      <c r="AGP72" s="94"/>
      <c r="AGQ72" s="94"/>
      <c r="AGR72" s="94"/>
      <c r="AGS72" s="94"/>
      <c r="AGT72" s="94"/>
      <c r="AGU72" s="94"/>
      <c r="AGV72" s="94"/>
      <c r="AGW72" s="94"/>
      <c r="AGX72" s="94"/>
      <c r="AGY72" s="94"/>
      <c r="AGZ72" s="94"/>
      <c r="AHA72" s="94"/>
      <c r="AHB72" s="94"/>
      <c r="AHC72" s="94"/>
      <c r="AHD72" s="94"/>
      <c r="AHE72" s="94"/>
      <c r="AHF72" s="94"/>
      <c r="AHG72" s="94"/>
      <c r="AHH72" s="94"/>
      <c r="AHI72" s="94"/>
      <c r="AHJ72" s="94"/>
      <c r="AHK72" s="94"/>
      <c r="AHL72" s="94"/>
      <c r="AHM72" s="94"/>
      <c r="AHN72" s="94"/>
      <c r="AHO72" s="94"/>
      <c r="AHP72" s="94"/>
      <c r="AHQ72" s="94"/>
      <c r="AHR72" s="94"/>
      <c r="AHS72" s="94"/>
      <c r="AHT72" s="94"/>
      <c r="AHU72" s="94"/>
      <c r="AHV72" s="94"/>
      <c r="AHW72" s="94"/>
      <c r="AHX72" s="94"/>
      <c r="AHY72" s="94"/>
      <c r="AHZ72" s="94"/>
      <c r="AIA72" s="94"/>
      <c r="AIB72" s="94"/>
      <c r="AIC72" s="94"/>
      <c r="AID72" s="94"/>
      <c r="AIE72" s="94"/>
      <c r="AIF72" s="94"/>
      <c r="AIG72" s="94"/>
      <c r="AIH72" s="94"/>
      <c r="AII72" s="94"/>
      <c r="AIJ72" s="94"/>
      <c r="AIK72" s="94"/>
      <c r="AIL72" s="94"/>
      <c r="AIM72" s="94"/>
      <c r="AIN72" s="94"/>
      <c r="AIO72" s="94"/>
      <c r="AIP72" s="94"/>
      <c r="AIQ72" s="94"/>
      <c r="AIR72" s="94"/>
      <c r="AIS72" s="94"/>
      <c r="AIT72" s="94"/>
      <c r="AIU72" s="94"/>
      <c r="AIV72" s="94"/>
      <c r="AIW72" s="94"/>
      <c r="AIX72" s="94"/>
      <c r="AIY72" s="94"/>
      <c r="AIZ72" s="94"/>
      <c r="AJA72" s="94"/>
      <c r="AJB72" s="94"/>
      <c r="AJC72" s="94"/>
      <c r="AJD72" s="94"/>
      <c r="AJE72" s="94"/>
      <c r="AJF72" s="94"/>
      <c r="AJG72" s="94"/>
      <c r="AJH72" s="94"/>
      <c r="AJI72" s="94"/>
      <c r="AJJ72" s="94"/>
      <c r="AJK72" s="94"/>
      <c r="AJL72" s="94"/>
      <c r="AJM72" s="94"/>
      <c r="AJN72" s="94"/>
      <c r="AJO72" s="94"/>
      <c r="AJP72" s="94"/>
      <c r="AJQ72" s="94"/>
      <c r="AJR72" s="94"/>
      <c r="AJS72" s="94"/>
      <c r="AJT72" s="94"/>
      <c r="AJU72" s="94"/>
      <c r="AJV72" s="94"/>
      <c r="AJW72" s="94"/>
      <c r="AJX72" s="94"/>
      <c r="AJY72" s="94"/>
      <c r="AJZ72" s="94"/>
      <c r="AKA72" s="94"/>
      <c r="AKB72" s="94"/>
      <c r="AKC72" s="94"/>
      <c r="AKD72" s="94"/>
      <c r="AKE72" s="94"/>
      <c r="AKF72" s="94"/>
      <c r="AKG72" s="94"/>
      <c r="AKH72" s="94"/>
      <c r="AKI72" s="94"/>
      <c r="AKJ72" s="94"/>
      <c r="AKK72" s="94"/>
      <c r="AKL72" s="94"/>
      <c r="AKM72" s="94"/>
      <c r="AKN72" s="94"/>
      <c r="AKO72" s="94"/>
      <c r="AKP72" s="94"/>
      <c r="AKQ72" s="94"/>
      <c r="AKR72" s="94"/>
      <c r="AKS72" s="94"/>
      <c r="AKT72" s="94"/>
      <c r="AKU72" s="94"/>
      <c r="AKV72" s="94"/>
      <c r="AKW72" s="94"/>
      <c r="AKX72" s="94"/>
      <c r="AKY72" s="94"/>
      <c r="AKZ72" s="94"/>
      <c r="ALA72" s="94"/>
      <c r="ALB72" s="94"/>
      <c r="ALC72" s="94"/>
      <c r="ALD72" s="94"/>
      <c r="ALE72" s="94"/>
      <c r="ALF72" s="94"/>
      <c r="ALG72" s="94"/>
      <c r="ALH72" s="94"/>
      <c r="ALI72" s="94"/>
      <c r="ALJ72" s="94"/>
      <c r="ALK72" s="94"/>
      <c r="ALL72" s="94"/>
      <c r="ALM72" s="94"/>
      <c r="ALN72" s="94"/>
      <c r="ALO72" s="94"/>
      <c r="ALP72" s="94"/>
      <c r="ALQ72" s="94"/>
      <c r="ALR72" s="94"/>
      <c r="ALS72" s="94"/>
      <c r="ALT72" s="94"/>
      <c r="ALU72" s="94"/>
      <c r="ALV72" s="94"/>
      <c r="ALW72" s="94"/>
      <c r="ALX72" s="94"/>
      <c r="ALY72" s="94"/>
      <c r="ALZ72" s="94"/>
      <c r="AMA72" s="94"/>
      <c r="AMB72" s="94"/>
      <c r="AMC72" s="94"/>
      <c r="AMD72" s="94"/>
      <c r="AME72" s="94"/>
      <c r="AMF72" s="94"/>
      <c r="AMG72" s="94"/>
      <c r="AMH72" s="94"/>
      <c r="AMI72" s="94"/>
      <c r="AMJ72" s="94"/>
      <c r="AMK72" s="94"/>
      <c r="AML72" s="94"/>
      <c r="AMM72" s="94"/>
      <c r="AMN72" s="94"/>
      <c r="AMO72" s="94"/>
      <c r="AMP72" s="94"/>
      <c r="AMQ72" s="94"/>
      <c r="AMR72" s="94"/>
      <c r="AMS72" s="94"/>
      <c r="AMT72" s="94"/>
      <c r="AMU72" s="94"/>
      <c r="AMV72" s="94"/>
      <c r="AMW72" s="94"/>
      <c r="AMX72" s="94"/>
      <c r="AMY72" s="94"/>
      <c r="AMZ72" s="94"/>
      <c r="ANA72" s="94"/>
      <c r="ANB72" s="94"/>
      <c r="ANC72" s="94"/>
      <c r="AND72" s="94"/>
      <c r="ANE72" s="94"/>
      <c r="ANF72" s="94"/>
      <c r="ANG72" s="94"/>
      <c r="ANH72" s="94"/>
      <c r="ANI72" s="94"/>
      <c r="ANJ72" s="94"/>
      <c r="ANK72" s="94"/>
      <c r="ANL72" s="94"/>
      <c r="ANM72" s="94"/>
      <c r="ANN72" s="94"/>
      <c r="ANO72" s="94"/>
      <c r="ANP72" s="94"/>
      <c r="ANQ72" s="94"/>
      <c r="ANR72" s="94"/>
      <c r="ANS72" s="94"/>
      <c r="ANT72" s="94"/>
      <c r="ANU72" s="94"/>
      <c r="ANV72" s="94"/>
      <c r="ANW72" s="94"/>
      <c r="ANX72" s="94"/>
      <c r="ANY72" s="94"/>
      <c r="ANZ72" s="94"/>
      <c r="AOA72" s="94"/>
      <c r="AOB72" s="94"/>
      <c r="AOC72" s="94"/>
      <c r="AOD72" s="94"/>
      <c r="AOE72" s="94"/>
      <c r="AOF72" s="94"/>
      <c r="AOG72" s="94"/>
      <c r="AOH72" s="94"/>
      <c r="AOI72" s="94"/>
      <c r="AOJ72" s="94"/>
      <c r="AOK72" s="94"/>
      <c r="AOL72" s="94"/>
      <c r="AOM72" s="94"/>
      <c r="AON72" s="94"/>
      <c r="AOO72" s="94"/>
      <c r="AOP72" s="94"/>
      <c r="AOQ72" s="94"/>
      <c r="AOR72" s="94"/>
      <c r="AOS72" s="94"/>
      <c r="AOT72" s="94"/>
      <c r="AOU72" s="94"/>
      <c r="AOV72" s="94"/>
      <c r="AOW72" s="94"/>
      <c r="AOX72" s="94"/>
      <c r="AOY72" s="94"/>
      <c r="AOZ72" s="94"/>
      <c r="APA72" s="94"/>
      <c r="APB72" s="94"/>
      <c r="APC72" s="94"/>
      <c r="APD72" s="94"/>
      <c r="APE72" s="94"/>
      <c r="APF72" s="94"/>
      <c r="APG72" s="94"/>
      <c r="APH72" s="94"/>
      <c r="API72" s="94"/>
      <c r="APJ72" s="94"/>
      <c r="APK72" s="94"/>
      <c r="APL72" s="94"/>
      <c r="APM72" s="94"/>
      <c r="APN72" s="94"/>
      <c r="APO72" s="94"/>
      <c r="APP72" s="94"/>
      <c r="APQ72" s="94"/>
      <c r="APR72" s="94"/>
      <c r="APS72" s="94"/>
      <c r="APT72" s="94"/>
      <c r="APU72" s="94"/>
      <c r="APV72" s="94"/>
      <c r="APW72" s="94"/>
      <c r="APX72" s="94"/>
      <c r="APY72" s="94"/>
      <c r="APZ72" s="94"/>
      <c r="AQA72" s="94"/>
      <c r="AQB72" s="94"/>
      <c r="AQC72" s="94"/>
      <c r="AQD72" s="94"/>
      <c r="AQE72" s="94"/>
      <c r="AQF72" s="94"/>
      <c r="AQG72" s="94"/>
      <c r="AQH72" s="94"/>
      <c r="AQI72" s="94"/>
      <c r="AQJ72" s="94"/>
      <c r="AQK72" s="94"/>
      <c r="AQL72" s="94"/>
      <c r="AQM72" s="94"/>
      <c r="AQN72" s="94"/>
      <c r="AQO72" s="94"/>
      <c r="AQP72" s="94"/>
      <c r="AQQ72" s="94"/>
      <c r="AQR72" s="94"/>
      <c r="AQS72" s="94"/>
      <c r="AQT72" s="94"/>
      <c r="AQU72" s="94"/>
      <c r="AQV72" s="94"/>
      <c r="AQW72" s="94"/>
      <c r="AQX72" s="94"/>
      <c r="AQY72" s="94"/>
      <c r="AQZ72" s="94"/>
      <c r="ARA72" s="94"/>
      <c r="ARB72" s="94"/>
      <c r="ARC72" s="94"/>
      <c r="ARD72" s="94"/>
      <c r="ARE72" s="94"/>
      <c r="ARF72" s="94"/>
      <c r="ARG72" s="94"/>
      <c r="ARH72" s="94"/>
      <c r="ARI72" s="94"/>
      <c r="ARJ72" s="94"/>
      <c r="ARK72" s="94"/>
      <c r="ARL72" s="94"/>
      <c r="ARM72" s="94"/>
      <c r="ARN72" s="94"/>
      <c r="ARO72" s="94"/>
      <c r="ARP72" s="94"/>
      <c r="ARQ72" s="94"/>
      <c r="ARR72" s="94"/>
      <c r="ARS72" s="94"/>
      <c r="ART72" s="94"/>
      <c r="ARU72" s="94"/>
      <c r="ARV72" s="94"/>
      <c r="ARW72" s="94"/>
      <c r="ARX72" s="94"/>
      <c r="ARY72" s="94"/>
      <c r="ARZ72" s="94"/>
      <c r="ASA72" s="94"/>
      <c r="ASB72" s="94"/>
      <c r="ASC72" s="94"/>
      <c r="ASD72" s="94"/>
      <c r="ASE72" s="94"/>
      <c r="ASF72" s="94"/>
      <c r="ASG72" s="94"/>
      <c r="ASH72" s="94"/>
      <c r="ASI72" s="94"/>
      <c r="ASJ72" s="94"/>
      <c r="ASK72" s="94"/>
      <c r="ASL72" s="94"/>
      <c r="ASM72" s="94"/>
      <c r="ASN72" s="94"/>
      <c r="ASO72" s="94"/>
      <c r="ASP72" s="94"/>
      <c r="ASQ72" s="94"/>
      <c r="ASR72" s="94"/>
      <c r="ASS72" s="94"/>
      <c r="AST72" s="94"/>
      <c r="ASU72" s="94"/>
      <c r="ASV72" s="94"/>
      <c r="ASW72" s="94"/>
      <c r="ASX72" s="94"/>
      <c r="ASY72" s="94"/>
      <c r="ASZ72" s="94"/>
      <c r="ATA72" s="94"/>
      <c r="ATB72" s="94"/>
      <c r="ATC72" s="94"/>
      <c r="ATD72" s="94"/>
      <c r="ATE72" s="94"/>
      <c r="ATF72" s="94"/>
      <c r="ATG72" s="94"/>
      <c r="ATH72" s="94"/>
      <c r="ATI72" s="94"/>
      <c r="ATJ72" s="94"/>
      <c r="ATK72" s="94"/>
      <c r="ATL72" s="94"/>
      <c r="ATM72" s="94"/>
      <c r="ATN72" s="94"/>
      <c r="ATO72" s="94"/>
      <c r="ATP72" s="94"/>
      <c r="ATQ72" s="94"/>
      <c r="ATR72" s="94"/>
      <c r="ATS72" s="94"/>
      <c r="ATT72" s="94"/>
      <c r="ATU72" s="94"/>
      <c r="ATV72" s="94"/>
      <c r="ATW72" s="94"/>
      <c r="ATX72" s="94"/>
      <c r="ATY72" s="94"/>
      <c r="ATZ72" s="94"/>
      <c r="AUA72" s="94"/>
      <c r="AUB72" s="94"/>
      <c r="AUC72" s="94"/>
      <c r="AUD72" s="94"/>
      <c r="AUE72" s="94"/>
      <c r="AUF72" s="94"/>
      <c r="AUG72" s="94"/>
      <c r="AUH72" s="94"/>
      <c r="AUI72" s="94"/>
      <c r="AUJ72" s="94"/>
      <c r="AUK72" s="94"/>
      <c r="AUL72" s="94"/>
      <c r="AUM72" s="94"/>
      <c r="AUN72" s="94"/>
      <c r="AUO72" s="94"/>
      <c r="AUP72" s="94"/>
      <c r="AUQ72" s="94"/>
      <c r="AUR72" s="94"/>
      <c r="AUS72" s="94"/>
      <c r="AUT72" s="94"/>
      <c r="AUU72" s="94"/>
      <c r="AUV72" s="94"/>
      <c r="AUW72" s="94"/>
      <c r="AUX72" s="94"/>
      <c r="AUY72" s="94"/>
      <c r="AUZ72" s="94"/>
      <c r="AVA72" s="94"/>
      <c r="AVB72" s="94"/>
      <c r="AVC72" s="94"/>
      <c r="AVD72" s="94"/>
      <c r="AVE72" s="94"/>
      <c r="AVF72" s="94"/>
      <c r="AVG72" s="94"/>
      <c r="AVH72" s="94"/>
      <c r="AVI72" s="94"/>
      <c r="AVJ72" s="94"/>
      <c r="AVK72" s="94"/>
      <c r="AVL72" s="94"/>
      <c r="AVM72" s="94"/>
      <c r="AVN72" s="94"/>
      <c r="AVO72" s="94"/>
      <c r="AVP72" s="94"/>
      <c r="AVQ72" s="94"/>
      <c r="AVR72" s="94"/>
      <c r="AVS72" s="94"/>
      <c r="AVT72" s="94"/>
      <c r="AVU72" s="94"/>
      <c r="AVV72" s="94"/>
      <c r="AVW72" s="94"/>
      <c r="AVX72" s="94"/>
      <c r="AVY72" s="94"/>
      <c r="AVZ72" s="94"/>
      <c r="AWA72" s="94"/>
      <c r="AWB72" s="94"/>
      <c r="AWC72" s="94"/>
      <c r="AWD72" s="94"/>
      <c r="AWE72" s="94"/>
      <c r="AWF72" s="94"/>
      <c r="AWG72" s="94"/>
      <c r="AWH72" s="94"/>
      <c r="AWI72" s="94"/>
      <c r="AWJ72" s="94"/>
      <c r="AWK72" s="94"/>
      <c r="AWL72" s="94"/>
      <c r="AWM72" s="94"/>
      <c r="AWN72" s="94"/>
      <c r="AWO72" s="94"/>
      <c r="AWP72" s="94"/>
      <c r="AWQ72" s="94"/>
      <c r="AWR72" s="94"/>
      <c r="AWS72" s="94"/>
      <c r="AWT72" s="94"/>
      <c r="AWU72" s="94"/>
      <c r="AWV72" s="94"/>
      <c r="AWW72" s="94"/>
      <c r="AWX72" s="94"/>
      <c r="AWY72" s="94"/>
      <c r="AWZ72" s="94"/>
      <c r="AXA72" s="94"/>
      <c r="AXB72" s="94"/>
      <c r="AXC72" s="94"/>
      <c r="AXD72" s="94"/>
      <c r="AXE72" s="94"/>
      <c r="AXF72" s="94"/>
      <c r="AXG72" s="94"/>
      <c r="AXH72" s="94"/>
      <c r="AXI72" s="94"/>
      <c r="AXJ72" s="94"/>
      <c r="AXK72" s="94"/>
      <c r="AXL72" s="94"/>
      <c r="AXM72" s="94"/>
      <c r="AXN72" s="94"/>
      <c r="AXO72" s="94"/>
      <c r="AXP72" s="94"/>
      <c r="AXQ72" s="94"/>
      <c r="AXR72" s="94"/>
      <c r="AXS72" s="94"/>
      <c r="AXT72" s="94"/>
      <c r="AXU72" s="94"/>
      <c r="AXV72" s="94"/>
      <c r="AXW72" s="94"/>
      <c r="AXX72" s="94"/>
      <c r="AXY72" s="94"/>
      <c r="AXZ72" s="94"/>
      <c r="AYA72" s="94"/>
      <c r="AYB72" s="94"/>
      <c r="AYC72" s="94"/>
      <c r="AYD72" s="94"/>
      <c r="AYE72" s="94"/>
      <c r="AYF72" s="94"/>
      <c r="AYG72" s="94"/>
      <c r="AYH72" s="94"/>
      <c r="AYI72" s="94"/>
      <c r="AYJ72" s="94"/>
      <c r="AYK72" s="94"/>
      <c r="AYL72" s="94"/>
      <c r="AYM72" s="94"/>
      <c r="AYN72" s="94"/>
      <c r="AYO72" s="94"/>
      <c r="AYP72" s="94"/>
      <c r="AYQ72" s="94"/>
      <c r="AYR72" s="94"/>
      <c r="AYS72" s="94"/>
      <c r="AYT72" s="94"/>
      <c r="AYU72" s="94"/>
      <c r="AYV72" s="94"/>
      <c r="AYW72" s="94"/>
      <c r="AYX72" s="94"/>
      <c r="AYY72" s="94"/>
      <c r="AYZ72" s="94"/>
      <c r="AZA72" s="94"/>
      <c r="AZB72" s="94"/>
      <c r="AZC72" s="94"/>
      <c r="AZD72" s="94"/>
      <c r="AZE72" s="94"/>
      <c r="AZF72" s="94"/>
      <c r="AZG72" s="94"/>
      <c r="AZH72" s="94"/>
      <c r="AZI72" s="94"/>
      <c r="AZJ72" s="94"/>
      <c r="AZK72" s="94"/>
      <c r="AZL72" s="94"/>
      <c r="AZM72" s="94"/>
      <c r="AZN72" s="94"/>
      <c r="AZO72" s="94"/>
      <c r="AZP72" s="94"/>
      <c r="AZQ72" s="94"/>
      <c r="AZR72" s="94"/>
      <c r="AZS72" s="94"/>
      <c r="AZT72" s="94"/>
      <c r="AZU72" s="94"/>
      <c r="AZV72" s="94"/>
      <c r="AZW72" s="94"/>
      <c r="AZX72" s="94"/>
      <c r="AZY72" s="94"/>
      <c r="AZZ72" s="94"/>
      <c r="BAA72" s="94"/>
      <c r="BAB72" s="94"/>
      <c r="BAC72" s="94"/>
      <c r="BAD72" s="94"/>
      <c r="BAE72" s="94"/>
      <c r="BAF72" s="94"/>
      <c r="BAG72" s="94"/>
      <c r="BAH72" s="94"/>
      <c r="BAI72" s="94"/>
      <c r="BAJ72" s="94"/>
      <c r="BAK72" s="94"/>
      <c r="BAL72" s="94"/>
      <c r="BAM72" s="94"/>
      <c r="BAN72" s="94"/>
      <c r="BAO72" s="94"/>
      <c r="BAP72" s="94"/>
      <c r="BAQ72" s="94"/>
      <c r="BAR72" s="94"/>
      <c r="BAS72" s="94"/>
      <c r="BAT72" s="94"/>
      <c r="BAU72" s="94"/>
      <c r="BAV72" s="94"/>
      <c r="BAW72" s="94"/>
      <c r="BAX72" s="94"/>
      <c r="BAY72" s="94"/>
      <c r="BAZ72" s="94"/>
      <c r="BBA72" s="94"/>
      <c r="BBB72" s="94"/>
      <c r="BBC72" s="94"/>
      <c r="BBD72" s="94"/>
      <c r="BBE72" s="94"/>
      <c r="BBF72" s="94"/>
      <c r="BBG72" s="94"/>
      <c r="BBH72" s="94"/>
      <c r="BBI72" s="94"/>
      <c r="BBJ72" s="94"/>
      <c r="BBK72" s="94"/>
      <c r="BBL72" s="94"/>
      <c r="BBM72" s="94"/>
      <c r="BBN72" s="94"/>
      <c r="BBO72" s="94"/>
      <c r="BBP72" s="94"/>
      <c r="BBQ72" s="94"/>
      <c r="BBR72" s="94"/>
      <c r="BBS72" s="94"/>
      <c r="BBT72" s="94"/>
      <c r="BBU72" s="94"/>
      <c r="BBV72" s="94"/>
      <c r="BBW72" s="94"/>
      <c r="BBX72" s="94"/>
      <c r="BBY72" s="94"/>
      <c r="BBZ72" s="94"/>
      <c r="BCA72" s="94"/>
      <c r="BCB72" s="94"/>
      <c r="BCC72" s="94"/>
      <c r="BCD72" s="94"/>
      <c r="BCE72" s="94"/>
      <c r="BCF72" s="94"/>
      <c r="BCG72" s="94"/>
      <c r="BCH72" s="94"/>
      <c r="BCI72" s="94"/>
      <c r="BCJ72" s="94"/>
      <c r="BCK72" s="94"/>
      <c r="BCL72" s="94"/>
      <c r="BCM72" s="94"/>
      <c r="BCN72" s="94"/>
      <c r="BCO72" s="94"/>
      <c r="BCP72" s="94"/>
      <c r="BCQ72" s="94"/>
      <c r="BCR72" s="94"/>
      <c r="BCS72" s="94"/>
      <c r="BCT72" s="94"/>
      <c r="BCU72" s="94"/>
      <c r="BCV72" s="94"/>
      <c r="BCW72" s="94"/>
      <c r="BCX72" s="94"/>
      <c r="BCY72" s="94"/>
      <c r="BCZ72" s="94"/>
      <c r="BDA72" s="94"/>
      <c r="BDB72" s="94"/>
      <c r="BDC72" s="94"/>
      <c r="BDD72" s="94"/>
      <c r="BDE72" s="94"/>
      <c r="BDF72" s="94"/>
      <c r="BDG72" s="94"/>
      <c r="BDH72" s="94"/>
      <c r="BDI72" s="94"/>
      <c r="BDJ72" s="94"/>
      <c r="BDK72" s="94"/>
      <c r="BDL72" s="94"/>
      <c r="BDM72" s="94"/>
      <c r="BDN72" s="94"/>
      <c r="BDO72" s="94"/>
      <c r="BDP72" s="94"/>
      <c r="BDQ72" s="94"/>
      <c r="BDR72" s="94"/>
      <c r="BDS72" s="94"/>
      <c r="BDT72" s="94"/>
      <c r="BDU72" s="94"/>
      <c r="BDV72" s="94"/>
      <c r="BDW72" s="94"/>
      <c r="BDX72" s="94"/>
      <c r="BDY72" s="94"/>
      <c r="BDZ72" s="94"/>
      <c r="BEA72" s="94"/>
      <c r="BEB72" s="94"/>
      <c r="BEC72" s="94"/>
      <c r="BED72" s="94"/>
      <c r="BEE72" s="94"/>
      <c r="BEF72" s="94"/>
      <c r="BEG72" s="94"/>
      <c r="BEH72" s="94"/>
      <c r="BEI72" s="94"/>
      <c r="BEJ72" s="94"/>
      <c r="BEK72" s="94"/>
      <c r="BEL72" s="94"/>
      <c r="BEM72" s="94"/>
      <c r="BEN72" s="94"/>
      <c r="BEO72" s="94"/>
      <c r="BEP72" s="94"/>
      <c r="BEQ72" s="94"/>
      <c r="BER72" s="94"/>
      <c r="BES72" s="94"/>
      <c r="BET72" s="94"/>
      <c r="BEU72" s="94"/>
      <c r="BEV72" s="94"/>
      <c r="BEW72" s="94"/>
      <c r="BEX72" s="94"/>
      <c r="BEY72" s="94"/>
      <c r="BEZ72" s="94"/>
      <c r="BFA72" s="94"/>
      <c r="BFB72" s="94"/>
      <c r="BFC72" s="94"/>
      <c r="BFD72" s="94"/>
      <c r="BFE72" s="94"/>
      <c r="BFF72" s="94"/>
      <c r="BFG72" s="94"/>
      <c r="BFH72" s="94"/>
      <c r="BFI72" s="94"/>
      <c r="BFJ72" s="94"/>
      <c r="BFK72" s="94"/>
      <c r="BFL72" s="94"/>
      <c r="BFM72" s="94"/>
      <c r="BFN72" s="94"/>
      <c r="BFO72" s="94"/>
      <c r="BFP72" s="94"/>
      <c r="BFQ72" s="94"/>
      <c r="BFR72" s="94"/>
      <c r="BFS72" s="94"/>
      <c r="BFT72" s="94"/>
      <c r="BFU72" s="94"/>
      <c r="BFV72" s="94"/>
      <c r="BFW72" s="94"/>
      <c r="BFX72" s="94"/>
      <c r="BFY72" s="94"/>
      <c r="BFZ72" s="94"/>
      <c r="BGA72" s="94"/>
      <c r="BGB72" s="94"/>
      <c r="BGC72" s="94"/>
      <c r="BGD72" s="94"/>
      <c r="BGE72" s="94"/>
      <c r="BGF72" s="94"/>
      <c r="BGG72" s="94"/>
      <c r="BGH72" s="94"/>
      <c r="BGI72" s="94"/>
      <c r="BGJ72" s="94"/>
      <c r="BGK72" s="94"/>
      <c r="BGL72" s="94"/>
      <c r="BGM72" s="94"/>
      <c r="BGN72" s="94"/>
      <c r="BGO72" s="94"/>
      <c r="BGP72" s="94"/>
      <c r="BGQ72" s="94"/>
      <c r="BGR72" s="94"/>
      <c r="BGS72" s="94"/>
      <c r="BGT72" s="94"/>
      <c r="BGU72" s="94"/>
      <c r="BGV72" s="94"/>
      <c r="BGW72" s="94"/>
      <c r="BGX72" s="94"/>
      <c r="BGY72" s="94"/>
      <c r="BGZ72" s="94"/>
      <c r="BHA72" s="94"/>
      <c r="BHB72" s="94"/>
      <c r="BHC72" s="94"/>
      <c r="BHD72" s="94"/>
      <c r="BHE72" s="94"/>
      <c r="BHF72" s="94"/>
      <c r="BHG72" s="94"/>
      <c r="BHH72" s="94"/>
      <c r="BHI72" s="94"/>
      <c r="BHJ72" s="94"/>
      <c r="BHK72" s="94"/>
      <c r="BHL72" s="94"/>
      <c r="BHM72" s="94"/>
      <c r="BHN72" s="94"/>
      <c r="BHO72" s="94"/>
      <c r="BHP72" s="94"/>
      <c r="BHQ72" s="94"/>
      <c r="BHR72" s="94"/>
      <c r="BHS72" s="94"/>
      <c r="BHT72" s="94"/>
      <c r="BHU72" s="94"/>
      <c r="BHV72" s="94"/>
      <c r="BHW72" s="94"/>
      <c r="BHX72" s="94"/>
      <c r="BHY72" s="94"/>
      <c r="BHZ72" s="94"/>
      <c r="BIA72" s="94"/>
      <c r="BIB72" s="94"/>
      <c r="BIC72" s="94"/>
      <c r="BID72" s="94"/>
      <c r="BIE72" s="94"/>
      <c r="BIF72" s="94"/>
      <c r="BIG72" s="94"/>
      <c r="BIH72" s="94"/>
      <c r="BII72" s="94"/>
      <c r="BIJ72" s="94"/>
      <c r="BIK72" s="94"/>
      <c r="BIL72" s="94"/>
      <c r="BIM72" s="94"/>
      <c r="BIN72" s="94"/>
      <c r="BIO72" s="94"/>
      <c r="BIP72" s="94"/>
      <c r="BIQ72" s="94"/>
      <c r="BIR72" s="94"/>
      <c r="BIS72" s="94"/>
      <c r="BIT72" s="94"/>
      <c r="BIU72" s="94"/>
      <c r="BIV72" s="94"/>
      <c r="BIW72" s="94"/>
      <c r="BIX72" s="94"/>
      <c r="BIY72" s="94"/>
      <c r="BIZ72" s="94"/>
      <c r="BJA72" s="94"/>
      <c r="BJB72" s="94"/>
      <c r="BJC72" s="94"/>
      <c r="BJD72" s="94"/>
      <c r="BJE72" s="94"/>
      <c r="BJF72" s="94"/>
      <c r="BJG72" s="94"/>
      <c r="BJH72" s="94"/>
      <c r="BJI72" s="94"/>
      <c r="BJJ72" s="94"/>
      <c r="BJK72" s="94"/>
      <c r="BJL72" s="94"/>
      <c r="BJM72" s="94"/>
      <c r="BJN72" s="94"/>
      <c r="BJO72" s="94"/>
      <c r="BJP72" s="94"/>
      <c r="BJQ72" s="94"/>
      <c r="BJR72" s="94"/>
      <c r="BJS72" s="94"/>
      <c r="BJT72" s="94"/>
      <c r="BJU72" s="94"/>
      <c r="BJV72" s="94"/>
      <c r="BJW72" s="94"/>
      <c r="BJX72" s="94"/>
      <c r="BJY72" s="94"/>
      <c r="BJZ72" s="94"/>
      <c r="BKA72" s="94"/>
      <c r="BKB72" s="94"/>
      <c r="BKC72" s="94"/>
      <c r="BKD72" s="94"/>
      <c r="BKE72" s="94"/>
      <c r="BKF72" s="94"/>
      <c r="BKG72" s="94"/>
      <c r="BKH72" s="94"/>
      <c r="BKI72" s="94"/>
      <c r="BKJ72" s="94"/>
      <c r="BKK72" s="94"/>
      <c r="BKL72" s="94"/>
      <c r="BKM72" s="94"/>
      <c r="BKN72" s="94"/>
      <c r="BKO72" s="94"/>
      <c r="BKP72" s="94"/>
      <c r="BKQ72" s="94"/>
      <c r="BKR72" s="94"/>
      <c r="BKS72" s="94"/>
      <c r="BKT72" s="94"/>
      <c r="BKU72" s="94"/>
      <c r="BKV72" s="94"/>
      <c r="BKW72" s="94"/>
      <c r="BKX72" s="94"/>
      <c r="BKY72" s="94"/>
      <c r="BKZ72" s="94"/>
      <c r="BLA72" s="94"/>
      <c r="BLB72" s="94"/>
      <c r="BLC72" s="94"/>
      <c r="BLD72" s="94"/>
      <c r="BLE72" s="94"/>
      <c r="BLF72" s="94"/>
      <c r="BLG72" s="94"/>
      <c r="BLH72" s="94"/>
      <c r="BLI72" s="94"/>
      <c r="BLJ72" s="94"/>
      <c r="BLK72" s="94"/>
      <c r="BLL72" s="94"/>
      <c r="BLM72" s="94"/>
      <c r="BLN72" s="94"/>
      <c r="BLO72" s="94"/>
      <c r="BLP72" s="94"/>
      <c r="BLQ72" s="94"/>
      <c r="BLR72" s="94"/>
      <c r="BLS72" s="94"/>
      <c r="BLT72" s="94"/>
      <c r="BLU72" s="94"/>
      <c r="BLV72" s="94"/>
      <c r="BLW72" s="94"/>
      <c r="BLX72" s="94"/>
      <c r="BLY72" s="94"/>
      <c r="BLZ72" s="94"/>
      <c r="BMA72" s="94"/>
      <c r="BMB72" s="94"/>
      <c r="BMC72" s="94"/>
      <c r="BMD72" s="94"/>
      <c r="BME72" s="94"/>
      <c r="BMF72" s="94"/>
      <c r="BMG72" s="94"/>
      <c r="BMH72" s="94"/>
      <c r="BMI72" s="94"/>
      <c r="BMJ72" s="94"/>
      <c r="BMK72" s="94"/>
      <c r="BML72" s="94"/>
      <c r="BMM72" s="94"/>
      <c r="BMN72" s="94"/>
      <c r="BMO72" s="94"/>
      <c r="BMP72" s="94"/>
      <c r="BMQ72" s="94"/>
      <c r="BMR72" s="94"/>
      <c r="BMS72" s="94"/>
      <c r="BMT72" s="94"/>
      <c r="BMU72" s="94"/>
      <c r="BMV72" s="94"/>
      <c r="BMW72" s="94"/>
      <c r="BMX72" s="94"/>
      <c r="BMY72" s="94"/>
      <c r="BMZ72" s="94"/>
      <c r="BNA72" s="94"/>
      <c r="BNB72" s="94"/>
      <c r="BNC72" s="94"/>
      <c r="BND72" s="94"/>
      <c r="BNE72" s="94"/>
      <c r="BNF72" s="94"/>
      <c r="BNG72" s="94"/>
      <c r="BNH72" s="94"/>
      <c r="BNI72" s="94"/>
      <c r="BNJ72" s="94"/>
      <c r="BNK72" s="94"/>
      <c r="BNL72" s="94"/>
      <c r="BNM72" s="94"/>
      <c r="BNN72" s="94"/>
      <c r="BNO72" s="94"/>
      <c r="BNP72" s="94"/>
      <c r="BNQ72" s="94"/>
      <c r="BNR72" s="94"/>
      <c r="BNS72" s="94"/>
      <c r="BNT72" s="94"/>
      <c r="BNU72" s="94"/>
      <c r="BNV72" s="94"/>
      <c r="BNW72" s="94"/>
      <c r="BNX72" s="94"/>
      <c r="BNY72" s="94"/>
      <c r="BNZ72" s="94"/>
      <c r="BOA72" s="94"/>
      <c r="BOB72" s="94"/>
      <c r="BOC72" s="94"/>
      <c r="BOD72" s="94"/>
      <c r="BOE72" s="94"/>
      <c r="BOF72" s="94"/>
      <c r="BOG72" s="94"/>
      <c r="BOH72" s="94"/>
      <c r="BOI72" s="94"/>
      <c r="BOJ72" s="94"/>
      <c r="BOK72" s="94"/>
      <c r="BOL72" s="94"/>
      <c r="BOM72" s="94"/>
      <c r="BON72" s="94"/>
      <c r="BOO72" s="94"/>
      <c r="BOP72" s="94"/>
      <c r="BOQ72" s="94"/>
      <c r="BOR72" s="94"/>
      <c r="BOS72" s="94"/>
      <c r="BOT72" s="94"/>
      <c r="BOU72" s="94"/>
      <c r="BOV72" s="94"/>
      <c r="BOW72" s="94"/>
      <c r="BOX72" s="94"/>
      <c r="BOY72" s="94"/>
      <c r="BOZ72" s="94"/>
      <c r="BPA72" s="94"/>
      <c r="BPB72" s="94"/>
      <c r="BPC72" s="94"/>
      <c r="BPD72" s="94"/>
      <c r="BPE72" s="94"/>
      <c r="BPF72" s="94"/>
      <c r="BPG72" s="94"/>
      <c r="BPH72" s="94"/>
      <c r="BPI72" s="94"/>
      <c r="BPJ72" s="94"/>
      <c r="BPK72" s="94"/>
      <c r="BPL72" s="94"/>
      <c r="BPM72" s="94"/>
      <c r="BPN72" s="94"/>
      <c r="BPO72" s="94"/>
      <c r="BPP72" s="94"/>
      <c r="BPQ72" s="94"/>
      <c r="BPR72" s="94"/>
      <c r="BPS72" s="94"/>
      <c r="BPT72" s="94"/>
      <c r="BPU72" s="94"/>
      <c r="BPV72" s="94"/>
      <c r="BPW72" s="94"/>
      <c r="BPX72" s="94"/>
      <c r="BPY72" s="94"/>
      <c r="BPZ72" s="94"/>
      <c r="BQA72" s="94"/>
      <c r="BQB72" s="94"/>
      <c r="BQC72" s="94"/>
      <c r="BQD72" s="94"/>
      <c r="BQE72" s="94"/>
      <c r="BQF72" s="94"/>
      <c r="BQG72" s="94"/>
      <c r="BQH72" s="94"/>
      <c r="BQI72" s="94"/>
      <c r="BQJ72" s="94"/>
      <c r="BQK72" s="94"/>
      <c r="BQL72" s="94"/>
      <c r="BQM72" s="94"/>
      <c r="BQN72" s="94"/>
      <c r="BQO72" s="94"/>
      <c r="BQP72" s="94"/>
      <c r="BQQ72" s="94"/>
      <c r="BQR72" s="94"/>
      <c r="BQS72" s="94"/>
      <c r="BQT72" s="94"/>
      <c r="BQU72" s="94"/>
      <c r="BQV72" s="94"/>
      <c r="BQW72" s="94"/>
      <c r="BQX72" s="94"/>
      <c r="BQY72" s="94"/>
      <c r="BQZ72" s="94"/>
      <c r="BRA72" s="94"/>
      <c r="BRB72" s="94"/>
      <c r="BRC72" s="94"/>
      <c r="BRD72" s="94"/>
      <c r="BRE72" s="94"/>
      <c r="BRF72" s="94"/>
      <c r="BRG72" s="94"/>
      <c r="BRH72" s="94"/>
      <c r="BRI72" s="94"/>
      <c r="BRJ72" s="94"/>
      <c r="BRK72" s="94"/>
      <c r="BRL72" s="94"/>
      <c r="BRM72" s="94"/>
      <c r="BRN72" s="94"/>
      <c r="BRO72" s="94"/>
      <c r="BRP72" s="94"/>
      <c r="BRQ72" s="94"/>
      <c r="BRR72" s="94"/>
      <c r="BRS72" s="94"/>
      <c r="BRT72" s="94"/>
      <c r="BRU72" s="94"/>
      <c r="BRV72" s="94"/>
      <c r="BRW72" s="94"/>
      <c r="BRX72" s="94"/>
      <c r="BRY72" s="94"/>
      <c r="BRZ72" s="94"/>
      <c r="BSA72" s="94"/>
      <c r="BSB72" s="94"/>
      <c r="BSC72" s="94"/>
      <c r="BSD72" s="94"/>
      <c r="BSE72" s="94"/>
      <c r="BSF72" s="94"/>
      <c r="BSG72" s="94"/>
      <c r="BSH72" s="94"/>
      <c r="BSI72" s="94"/>
      <c r="BSJ72" s="94"/>
      <c r="BSK72" s="94"/>
      <c r="BSL72" s="94"/>
      <c r="BSM72" s="94"/>
      <c r="BSN72" s="94"/>
      <c r="BSO72" s="94"/>
      <c r="BSP72" s="94"/>
      <c r="BSQ72" s="94"/>
      <c r="BSR72" s="94"/>
      <c r="BSS72" s="94"/>
      <c r="BST72" s="94"/>
      <c r="BSU72" s="94"/>
      <c r="BSV72" s="94"/>
      <c r="BSW72" s="94"/>
      <c r="BSX72" s="94"/>
      <c r="BSY72" s="94"/>
      <c r="BSZ72" s="94"/>
      <c r="BTA72" s="94"/>
      <c r="BTB72" s="94"/>
      <c r="BTC72" s="94"/>
      <c r="BTD72" s="94"/>
      <c r="BTE72" s="94"/>
      <c r="BTF72" s="94"/>
      <c r="BTG72" s="94"/>
      <c r="BTH72" s="94"/>
      <c r="BTI72" s="94"/>
      <c r="BTJ72" s="94"/>
      <c r="BTK72" s="94"/>
      <c r="BTL72" s="94"/>
      <c r="BTM72" s="94"/>
      <c r="BTN72" s="94"/>
      <c r="BTO72" s="94"/>
      <c r="BTP72" s="94"/>
      <c r="BTQ72" s="94"/>
      <c r="BTR72" s="94"/>
      <c r="BTS72" s="94"/>
      <c r="BTT72" s="94"/>
      <c r="BTU72" s="94"/>
      <c r="BTV72" s="94"/>
      <c r="BTW72" s="94"/>
      <c r="BTX72" s="94"/>
      <c r="BTY72" s="94"/>
      <c r="BTZ72" s="94"/>
      <c r="BUA72" s="94"/>
      <c r="BUB72" s="94"/>
      <c r="BUC72" s="94"/>
      <c r="BUD72" s="94"/>
      <c r="BUE72" s="94"/>
      <c r="BUF72" s="94"/>
      <c r="BUG72" s="94"/>
      <c r="BUH72" s="94"/>
      <c r="BUI72" s="94"/>
      <c r="BUJ72" s="94"/>
      <c r="BUK72" s="94"/>
      <c r="BUL72" s="94"/>
      <c r="BUM72" s="94"/>
      <c r="BUN72" s="94"/>
      <c r="BUO72" s="94"/>
      <c r="BUP72" s="94"/>
      <c r="BUQ72" s="94"/>
      <c r="BUR72" s="94"/>
      <c r="BUS72" s="94"/>
      <c r="BUT72" s="94"/>
      <c r="BUU72" s="94"/>
      <c r="BUV72" s="94"/>
      <c r="BUW72" s="94"/>
      <c r="BUX72" s="94"/>
      <c r="BUY72" s="94"/>
      <c r="BUZ72" s="94"/>
      <c r="BVA72" s="94"/>
      <c r="BVB72" s="94"/>
      <c r="BVC72" s="94"/>
      <c r="BVD72" s="94"/>
      <c r="BVE72" s="94"/>
      <c r="BVF72" s="94"/>
      <c r="BVG72" s="94"/>
      <c r="BVH72" s="94"/>
      <c r="BVI72" s="94"/>
      <c r="BVJ72" s="94"/>
      <c r="BVK72" s="94"/>
      <c r="BVL72" s="94"/>
      <c r="BVM72" s="94"/>
      <c r="BVN72" s="94"/>
      <c r="BVO72" s="94"/>
      <c r="BVP72" s="94"/>
      <c r="BVQ72" s="94"/>
      <c r="BVR72" s="94"/>
      <c r="BVS72" s="94"/>
      <c r="BVT72" s="94"/>
      <c r="BVU72" s="94"/>
      <c r="BVV72" s="94"/>
      <c r="BVW72" s="94"/>
      <c r="BVX72" s="94"/>
      <c r="BVY72" s="94"/>
      <c r="BVZ72" s="94"/>
      <c r="BWA72" s="94"/>
      <c r="BWB72" s="94"/>
      <c r="BWC72" s="94"/>
      <c r="BWD72" s="94"/>
      <c r="BWE72" s="94"/>
      <c r="BWF72" s="94"/>
      <c r="BWG72" s="94"/>
      <c r="BWH72" s="94"/>
      <c r="BWI72" s="94"/>
      <c r="BWJ72" s="94"/>
      <c r="BWK72" s="94"/>
      <c r="BWL72" s="94"/>
      <c r="BWM72" s="94"/>
      <c r="BWN72" s="94"/>
      <c r="BWO72" s="94"/>
      <c r="BWP72" s="94"/>
      <c r="BWQ72" s="94"/>
      <c r="BWR72" s="94"/>
      <c r="BWS72" s="94"/>
      <c r="BWT72" s="94"/>
      <c r="BWU72" s="94"/>
      <c r="BWV72" s="94"/>
      <c r="BWW72" s="94"/>
      <c r="BWX72" s="94"/>
      <c r="BWY72" s="94"/>
      <c r="BWZ72" s="94"/>
      <c r="BXA72" s="94"/>
      <c r="BXB72" s="94"/>
      <c r="BXC72" s="94"/>
      <c r="BXD72" s="94"/>
      <c r="BXE72" s="94"/>
      <c r="BXF72" s="94"/>
      <c r="BXG72" s="94"/>
      <c r="BXH72" s="94"/>
      <c r="BXI72" s="94"/>
      <c r="BXJ72" s="94"/>
      <c r="BXK72" s="94"/>
      <c r="BXL72" s="94"/>
      <c r="BXM72" s="94"/>
      <c r="BXN72" s="94"/>
      <c r="BXO72" s="94"/>
      <c r="BXP72" s="94"/>
      <c r="BXQ72" s="94"/>
      <c r="BXR72" s="94"/>
      <c r="BXS72" s="94"/>
      <c r="BXT72" s="94"/>
      <c r="BXU72" s="94"/>
      <c r="BXV72" s="94"/>
      <c r="BXW72" s="94"/>
      <c r="BXX72" s="94"/>
      <c r="BXY72" s="94"/>
      <c r="BXZ72" s="94"/>
      <c r="BYA72" s="94"/>
      <c r="BYB72" s="94"/>
      <c r="BYC72" s="94"/>
      <c r="BYD72" s="94"/>
      <c r="BYE72" s="94"/>
      <c r="BYF72" s="94"/>
      <c r="BYG72" s="94"/>
    </row>
    <row r="73" spans="1:2009" s="226" customFormat="1" ht="24.95" customHeight="1" thickBot="1" x14ac:dyDescent="0.3">
      <c r="A73" s="225"/>
      <c r="B73" s="455" t="s">
        <v>596</v>
      </c>
      <c r="C73" s="278">
        <f>SUM(C8+C14+C23+C27+C32+C44+C56)+C36+C51+C60+C62+C58+C67+C65+C71</f>
        <v>153846.26000000004</v>
      </c>
      <c r="D73" s="278">
        <f>SUM(D8+D14+D23+D27+D32+D44+D56)+D36+D51+D60+D62+D58+D67+D65+D71+D64</f>
        <v>87806.46</v>
      </c>
      <c r="E73" s="278">
        <f>SUM(E8+E14+E23+E27+E32+E44+E56)+E36+E51+E60+E62+E65+E71+E64</f>
        <v>67826.01999999999</v>
      </c>
      <c r="F73" s="278">
        <f>SUM(F8+F14+F23+F27+F32+F44+F56)+F36+F51+F60+F65+F71+F62</f>
        <v>89001.57</v>
      </c>
      <c r="G73" s="657">
        <f>SUM(G8+G14+G23+G27+G32+G44+G56)+G36+G51+G60+G62+G58+G67+G65+G71+G64</f>
        <v>398480.31</v>
      </c>
      <c r="H73" s="195"/>
      <c r="I73" s="544"/>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6"/>
      <c r="BK73" s="196"/>
      <c r="BL73" s="196"/>
      <c r="BM73" s="196"/>
      <c r="BN73" s="196"/>
      <c r="BO73" s="196"/>
      <c r="BP73" s="196"/>
      <c r="BQ73" s="196"/>
      <c r="BR73" s="196"/>
      <c r="BS73" s="196"/>
      <c r="BT73" s="196"/>
      <c r="BU73" s="196"/>
      <c r="BV73" s="196"/>
      <c r="BW73" s="196"/>
      <c r="BX73" s="196"/>
      <c r="BY73" s="196"/>
      <c r="BZ73" s="196"/>
      <c r="CA73" s="196"/>
      <c r="CB73" s="196"/>
      <c r="CC73" s="196"/>
      <c r="CD73" s="196"/>
      <c r="CE73" s="196"/>
      <c r="CF73" s="196"/>
      <c r="CG73" s="196"/>
      <c r="CH73" s="196"/>
      <c r="CI73" s="196"/>
      <c r="CJ73" s="196"/>
      <c r="CK73" s="196"/>
      <c r="CL73" s="196"/>
      <c r="CM73" s="196"/>
      <c r="CN73" s="196"/>
      <c r="CO73" s="196"/>
      <c r="CP73" s="196"/>
      <c r="CQ73" s="196"/>
      <c r="CR73" s="196"/>
      <c r="CS73" s="196"/>
      <c r="CT73" s="196"/>
      <c r="CU73" s="196"/>
      <c r="CV73" s="196"/>
      <c r="CW73" s="196"/>
      <c r="CX73" s="196"/>
      <c r="CY73" s="196"/>
      <c r="CZ73" s="196"/>
      <c r="DA73" s="196"/>
      <c r="DB73" s="196"/>
      <c r="DC73" s="196"/>
      <c r="DD73" s="196"/>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196"/>
      <c r="EZ73" s="196"/>
      <c r="FA73" s="196"/>
      <c r="FB73" s="196"/>
      <c r="FC73" s="196"/>
      <c r="FD73" s="196"/>
      <c r="FE73" s="196"/>
      <c r="FF73" s="196"/>
      <c r="FG73" s="196"/>
      <c r="FH73" s="196"/>
      <c r="FI73" s="196"/>
      <c r="FJ73" s="196"/>
      <c r="FK73" s="196"/>
      <c r="FL73" s="196"/>
      <c r="FM73" s="196"/>
      <c r="FN73" s="196"/>
      <c r="FO73" s="196"/>
      <c r="FP73" s="196"/>
      <c r="FQ73" s="196"/>
      <c r="FR73" s="196"/>
      <c r="FS73" s="196"/>
      <c r="FT73" s="196"/>
      <c r="FU73" s="196"/>
      <c r="FV73" s="196"/>
      <c r="FW73" s="196"/>
      <c r="FX73" s="196"/>
      <c r="FY73" s="196"/>
      <c r="FZ73" s="196"/>
      <c r="GA73" s="196"/>
      <c r="GB73" s="196"/>
      <c r="GC73" s="196"/>
      <c r="GD73" s="196"/>
      <c r="GE73" s="196"/>
      <c r="GF73" s="196"/>
      <c r="GG73" s="196"/>
      <c r="GH73" s="196"/>
      <c r="GI73" s="196"/>
      <c r="GJ73" s="196"/>
      <c r="GK73" s="196"/>
      <c r="GL73" s="196"/>
      <c r="GM73" s="196"/>
      <c r="GN73" s="196"/>
      <c r="GO73" s="196"/>
      <c r="GP73" s="196"/>
      <c r="GQ73" s="196"/>
      <c r="GR73" s="196"/>
      <c r="GS73" s="196"/>
      <c r="GT73" s="196"/>
      <c r="GU73" s="196"/>
      <c r="GV73" s="196"/>
      <c r="GW73" s="196"/>
      <c r="GX73" s="196"/>
      <c r="GY73" s="196"/>
      <c r="GZ73" s="196"/>
      <c r="HA73" s="196"/>
      <c r="HB73" s="196"/>
      <c r="HC73" s="196"/>
      <c r="HD73" s="196"/>
      <c r="HE73" s="196"/>
      <c r="HF73" s="196"/>
      <c r="HG73" s="196"/>
      <c r="HH73" s="196"/>
      <c r="HI73" s="196"/>
      <c r="HJ73" s="196"/>
      <c r="HK73" s="196"/>
      <c r="HL73" s="196"/>
      <c r="HM73" s="196"/>
      <c r="HN73" s="196"/>
      <c r="HO73" s="196"/>
      <c r="HP73" s="196"/>
      <c r="HQ73" s="196"/>
      <c r="HR73" s="196"/>
      <c r="HS73" s="196"/>
      <c r="HT73" s="196"/>
      <c r="HU73" s="196"/>
      <c r="HV73" s="196"/>
      <c r="HW73" s="196"/>
      <c r="HX73" s="196"/>
      <c r="HY73" s="196"/>
      <c r="HZ73" s="196"/>
      <c r="IA73" s="196"/>
      <c r="IB73" s="196"/>
      <c r="IC73" s="196"/>
      <c r="ID73" s="196"/>
      <c r="IE73" s="196"/>
      <c r="IF73" s="196"/>
      <c r="IG73" s="196"/>
      <c r="IH73" s="196"/>
      <c r="II73" s="196"/>
      <c r="IJ73" s="196"/>
      <c r="IK73" s="196"/>
      <c r="IL73" s="196"/>
      <c r="IM73" s="196"/>
      <c r="IN73" s="196"/>
      <c r="IO73" s="196"/>
      <c r="IP73" s="196"/>
      <c r="IQ73" s="196"/>
      <c r="IR73" s="196"/>
      <c r="IS73" s="196"/>
      <c r="IT73" s="196"/>
      <c r="IU73" s="196"/>
      <c r="IV73" s="196"/>
      <c r="IW73" s="196"/>
      <c r="IX73" s="196"/>
      <c r="IY73" s="196"/>
      <c r="IZ73" s="196"/>
      <c r="JA73" s="196"/>
      <c r="JB73" s="196"/>
      <c r="JC73" s="196"/>
      <c r="JD73" s="196"/>
      <c r="JE73" s="196"/>
      <c r="JF73" s="196"/>
      <c r="JG73" s="196"/>
      <c r="JH73" s="196"/>
      <c r="JI73" s="196"/>
      <c r="JJ73" s="196"/>
      <c r="JK73" s="196"/>
      <c r="JL73" s="196"/>
      <c r="JM73" s="196"/>
      <c r="JN73" s="196"/>
      <c r="JO73" s="196"/>
      <c r="JP73" s="196"/>
      <c r="JQ73" s="196"/>
      <c r="JR73" s="196"/>
      <c r="JS73" s="196"/>
      <c r="JT73" s="196"/>
      <c r="JU73" s="196"/>
      <c r="JV73" s="196"/>
      <c r="JW73" s="196"/>
      <c r="JX73" s="196"/>
      <c r="JY73" s="196"/>
      <c r="JZ73" s="196"/>
      <c r="KA73" s="196"/>
      <c r="KB73" s="196"/>
      <c r="KC73" s="196"/>
      <c r="KD73" s="196"/>
      <c r="KE73" s="196"/>
      <c r="KF73" s="196"/>
      <c r="KG73" s="196"/>
      <c r="KH73" s="196"/>
      <c r="KI73" s="196"/>
      <c r="KJ73" s="196"/>
      <c r="KK73" s="196"/>
      <c r="KL73" s="196"/>
      <c r="KM73" s="196"/>
      <c r="KN73" s="196"/>
      <c r="KO73" s="196"/>
      <c r="KP73" s="196"/>
      <c r="KQ73" s="196"/>
      <c r="KR73" s="196"/>
      <c r="KS73" s="196"/>
      <c r="KT73" s="196"/>
      <c r="KU73" s="196"/>
      <c r="KV73" s="196"/>
      <c r="KW73" s="196"/>
      <c r="KX73" s="196"/>
      <c r="KY73" s="196"/>
      <c r="KZ73" s="196"/>
      <c r="LA73" s="196"/>
      <c r="LB73" s="196"/>
      <c r="LC73" s="196"/>
      <c r="LD73" s="196"/>
      <c r="LE73" s="196"/>
      <c r="LF73" s="196"/>
      <c r="LG73" s="196"/>
      <c r="LH73" s="196"/>
      <c r="LI73" s="196"/>
      <c r="LJ73" s="196"/>
      <c r="LK73" s="196"/>
      <c r="LL73" s="196"/>
      <c r="LM73" s="196"/>
      <c r="LN73" s="196"/>
      <c r="LO73" s="196"/>
      <c r="LP73" s="196"/>
      <c r="LQ73" s="196"/>
      <c r="LR73" s="196"/>
      <c r="LS73" s="196"/>
      <c r="LT73" s="196"/>
      <c r="LU73" s="196"/>
      <c r="LV73" s="196"/>
      <c r="LW73" s="196"/>
      <c r="LX73" s="196"/>
      <c r="LY73" s="196"/>
      <c r="LZ73" s="196"/>
      <c r="MA73" s="196"/>
      <c r="MB73" s="196"/>
      <c r="MC73" s="196"/>
      <c r="MD73" s="196"/>
      <c r="ME73" s="196"/>
      <c r="MF73" s="196"/>
      <c r="MG73" s="196"/>
      <c r="MH73" s="196"/>
      <c r="MI73" s="196"/>
      <c r="MJ73" s="196"/>
      <c r="MK73" s="196"/>
      <c r="ML73" s="196"/>
      <c r="MM73" s="196"/>
      <c r="MN73" s="196"/>
      <c r="MO73" s="196"/>
      <c r="MP73" s="196"/>
      <c r="MQ73" s="196"/>
      <c r="MR73" s="196"/>
      <c r="MS73" s="196"/>
      <c r="MT73" s="196"/>
      <c r="MU73" s="196"/>
      <c r="MV73" s="196"/>
      <c r="MW73" s="196"/>
      <c r="MX73" s="196"/>
      <c r="MY73" s="196"/>
      <c r="MZ73" s="196"/>
      <c r="NA73" s="196"/>
      <c r="NB73" s="196"/>
      <c r="NC73" s="196"/>
      <c r="ND73" s="196"/>
      <c r="NE73" s="196"/>
      <c r="NF73" s="196"/>
      <c r="NG73" s="196"/>
      <c r="NH73" s="196"/>
      <c r="NI73" s="196"/>
      <c r="NJ73" s="196"/>
      <c r="NK73" s="196"/>
      <c r="NL73" s="196"/>
      <c r="NM73" s="196"/>
      <c r="NN73" s="196"/>
      <c r="NO73" s="196"/>
      <c r="NP73" s="196"/>
      <c r="NQ73" s="196"/>
      <c r="NR73" s="196"/>
      <c r="NS73" s="196"/>
      <c r="NT73" s="196"/>
      <c r="NU73" s="196"/>
      <c r="NV73" s="196"/>
      <c r="NW73" s="196"/>
      <c r="NX73" s="196"/>
      <c r="NY73" s="196"/>
      <c r="NZ73" s="196"/>
      <c r="OA73" s="196"/>
      <c r="OB73" s="196"/>
      <c r="OC73" s="196"/>
      <c r="OD73" s="196"/>
      <c r="OE73" s="196"/>
      <c r="OF73" s="196"/>
      <c r="OG73" s="196"/>
      <c r="OH73" s="196"/>
      <c r="OI73" s="196"/>
      <c r="OJ73" s="196"/>
      <c r="OK73" s="196"/>
      <c r="OL73" s="196"/>
      <c r="OM73" s="196"/>
      <c r="ON73" s="196"/>
      <c r="OO73" s="196"/>
      <c r="OP73" s="196"/>
      <c r="OQ73" s="196"/>
      <c r="OR73" s="196"/>
      <c r="OS73" s="196"/>
      <c r="OT73" s="196"/>
      <c r="OU73" s="196"/>
      <c r="OV73" s="196"/>
      <c r="OW73" s="196"/>
      <c r="OX73" s="196"/>
      <c r="OY73" s="196"/>
      <c r="OZ73" s="196"/>
      <c r="PA73" s="196"/>
      <c r="PB73" s="196"/>
      <c r="PC73" s="196"/>
      <c r="PD73" s="196"/>
      <c r="PE73" s="196"/>
      <c r="PF73" s="196"/>
      <c r="PG73" s="196"/>
      <c r="PH73" s="196"/>
      <c r="PI73" s="196"/>
      <c r="PJ73" s="196"/>
      <c r="PK73" s="196"/>
      <c r="PL73" s="196"/>
      <c r="PM73" s="196"/>
      <c r="PN73" s="196"/>
      <c r="PO73" s="196"/>
      <c r="PP73" s="196"/>
      <c r="PQ73" s="196"/>
      <c r="PR73" s="196"/>
      <c r="PS73" s="196"/>
      <c r="PT73" s="196"/>
      <c r="PU73" s="196"/>
      <c r="PV73" s="196"/>
      <c r="PW73" s="196"/>
      <c r="PX73" s="196"/>
      <c r="PY73" s="196"/>
      <c r="PZ73" s="196"/>
      <c r="QA73" s="196"/>
      <c r="QB73" s="196"/>
      <c r="QC73" s="196"/>
      <c r="QD73" s="196"/>
      <c r="QE73" s="196"/>
      <c r="QF73" s="196"/>
      <c r="QG73" s="196"/>
      <c r="QH73" s="196"/>
      <c r="QI73" s="196"/>
      <c r="QJ73" s="196"/>
      <c r="QK73" s="196"/>
      <c r="QL73" s="196"/>
      <c r="QM73" s="196"/>
      <c r="QN73" s="196"/>
      <c r="QO73" s="196"/>
      <c r="QP73" s="196"/>
      <c r="QQ73" s="196"/>
      <c r="QR73" s="196"/>
      <c r="QS73" s="196"/>
      <c r="QT73" s="196"/>
      <c r="QU73" s="196"/>
      <c r="QV73" s="196"/>
      <c r="QW73" s="196"/>
      <c r="QX73" s="196"/>
      <c r="QY73" s="196"/>
      <c r="QZ73" s="196"/>
      <c r="RA73" s="196"/>
      <c r="RB73" s="196"/>
      <c r="RC73" s="196"/>
      <c r="RD73" s="196"/>
      <c r="RE73" s="196"/>
      <c r="RF73" s="196"/>
      <c r="RG73" s="196"/>
      <c r="RH73" s="196"/>
      <c r="RI73" s="196"/>
      <c r="RJ73" s="196"/>
      <c r="RK73" s="196"/>
      <c r="RL73" s="196"/>
      <c r="RM73" s="196"/>
      <c r="RN73" s="196"/>
      <c r="RO73" s="196"/>
      <c r="RP73" s="196"/>
      <c r="RQ73" s="196"/>
      <c r="RR73" s="196"/>
      <c r="RS73" s="196"/>
      <c r="RT73" s="196"/>
      <c r="RU73" s="196"/>
      <c r="RV73" s="196"/>
      <c r="RW73" s="196"/>
      <c r="RX73" s="196"/>
      <c r="RY73" s="196"/>
      <c r="RZ73" s="196"/>
      <c r="SA73" s="196"/>
      <c r="SB73" s="196"/>
      <c r="SC73" s="196"/>
      <c r="SD73" s="196"/>
      <c r="SE73" s="196"/>
      <c r="SF73" s="196"/>
      <c r="SG73" s="196"/>
      <c r="SH73" s="196"/>
      <c r="SI73" s="196"/>
      <c r="SJ73" s="196"/>
      <c r="SK73" s="196"/>
      <c r="SL73" s="196"/>
      <c r="SM73" s="196"/>
      <c r="SN73" s="196"/>
      <c r="SO73" s="196"/>
      <c r="SP73" s="196"/>
      <c r="SQ73" s="196"/>
      <c r="SR73" s="196"/>
      <c r="SS73" s="196"/>
      <c r="ST73" s="196"/>
      <c r="SU73" s="196"/>
      <c r="SV73" s="196"/>
      <c r="SW73" s="196"/>
      <c r="SX73" s="196"/>
      <c r="SY73" s="196"/>
      <c r="SZ73" s="196"/>
      <c r="TA73" s="196"/>
      <c r="TB73" s="196"/>
      <c r="TC73" s="196"/>
      <c r="TD73" s="196"/>
      <c r="TE73" s="196"/>
      <c r="TF73" s="196"/>
      <c r="TG73" s="196"/>
      <c r="TH73" s="196"/>
      <c r="TI73" s="196"/>
      <c r="TJ73" s="196"/>
      <c r="TK73" s="196"/>
      <c r="TL73" s="196"/>
      <c r="TM73" s="196"/>
      <c r="TN73" s="196"/>
      <c r="TO73" s="196"/>
      <c r="TP73" s="196"/>
      <c r="TQ73" s="196"/>
      <c r="TR73" s="196"/>
      <c r="TS73" s="196"/>
      <c r="TT73" s="196"/>
      <c r="TU73" s="196"/>
      <c r="TV73" s="196"/>
      <c r="TW73" s="196"/>
      <c r="TX73" s="196"/>
      <c r="TY73" s="196"/>
      <c r="TZ73" s="196"/>
      <c r="UA73" s="196"/>
      <c r="UB73" s="196"/>
      <c r="UC73" s="196"/>
      <c r="UD73" s="196"/>
      <c r="UE73" s="196"/>
      <c r="UF73" s="196"/>
      <c r="UG73" s="196"/>
      <c r="UH73" s="196"/>
      <c r="UI73" s="196"/>
      <c r="UJ73" s="196"/>
      <c r="UK73" s="196"/>
      <c r="UL73" s="196"/>
      <c r="UM73" s="196"/>
      <c r="UN73" s="196"/>
      <c r="UO73" s="196"/>
      <c r="UP73" s="196"/>
      <c r="UQ73" s="196"/>
      <c r="UR73" s="196"/>
      <c r="US73" s="196"/>
      <c r="UT73" s="196"/>
      <c r="UU73" s="196"/>
      <c r="UV73" s="196"/>
      <c r="UW73" s="196"/>
      <c r="UX73" s="196"/>
      <c r="UY73" s="196"/>
      <c r="UZ73" s="196"/>
      <c r="VA73" s="196"/>
      <c r="VB73" s="196"/>
      <c r="VC73" s="196"/>
      <c r="VD73" s="196"/>
      <c r="VE73" s="196"/>
      <c r="VF73" s="196"/>
      <c r="VG73" s="196"/>
      <c r="VH73" s="196"/>
      <c r="VI73" s="196"/>
      <c r="VJ73" s="196"/>
      <c r="VK73" s="196"/>
      <c r="VL73" s="196"/>
      <c r="VM73" s="196"/>
      <c r="VN73" s="196"/>
      <c r="VO73" s="196"/>
      <c r="VP73" s="196"/>
      <c r="VQ73" s="196"/>
      <c r="VR73" s="196"/>
      <c r="VS73" s="196"/>
      <c r="VT73" s="196"/>
      <c r="VU73" s="196"/>
      <c r="VV73" s="196"/>
      <c r="VW73" s="196"/>
      <c r="VX73" s="196"/>
      <c r="VY73" s="196"/>
      <c r="VZ73" s="196"/>
      <c r="WA73" s="196"/>
      <c r="WB73" s="196"/>
      <c r="WC73" s="196"/>
      <c r="WD73" s="196"/>
      <c r="WE73" s="196"/>
      <c r="WF73" s="196"/>
      <c r="WG73" s="196"/>
      <c r="WH73" s="196"/>
      <c r="WI73" s="196"/>
      <c r="WJ73" s="196"/>
      <c r="WK73" s="196"/>
      <c r="WL73" s="196"/>
      <c r="WM73" s="196"/>
      <c r="WN73" s="196"/>
      <c r="WO73" s="196"/>
      <c r="WP73" s="196"/>
      <c r="WQ73" s="196"/>
      <c r="WR73" s="196"/>
      <c r="WS73" s="196"/>
      <c r="WT73" s="196"/>
      <c r="WU73" s="196"/>
      <c r="WV73" s="196"/>
      <c r="WW73" s="196"/>
      <c r="WX73" s="196"/>
      <c r="WY73" s="196"/>
      <c r="WZ73" s="196"/>
      <c r="XA73" s="196"/>
      <c r="XB73" s="196"/>
      <c r="XC73" s="196"/>
      <c r="XD73" s="196"/>
      <c r="XE73" s="196"/>
      <c r="XF73" s="196"/>
      <c r="XG73" s="196"/>
      <c r="XH73" s="196"/>
      <c r="XI73" s="196"/>
      <c r="XJ73" s="196"/>
      <c r="XK73" s="196"/>
      <c r="XL73" s="196"/>
      <c r="XM73" s="196"/>
      <c r="XN73" s="196"/>
      <c r="XO73" s="196"/>
      <c r="XP73" s="196"/>
      <c r="XQ73" s="196"/>
      <c r="XR73" s="196"/>
      <c r="XS73" s="196"/>
      <c r="XT73" s="196"/>
      <c r="XU73" s="196"/>
      <c r="XV73" s="196"/>
      <c r="XW73" s="196"/>
      <c r="XX73" s="196"/>
      <c r="XY73" s="196"/>
      <c r="XZ73" s="196"/>
      <c r="YA73" s="196"/>
      <c r="YB73" s="196"/>
      <c r="YC73" s="196"/>
      <c r="YD73" s="196"/>
      <c r="YE73" s="196"/>
      <c r="YF73" s="196"/>
      <c r="YG73" s="196"/>
      <c r="YH73" s="196"/>
      <c r="YI73" s="196"/>
      <c r="YJ73" s="196"/>
      <c r="YK73" s="196"/>
      <c r="YL73" s="196"/>
      <c r="YM73" s="196"/>
      <c r="YN73" s="196"/>
      <c r="YO73" s="196"/>
      <c r="YP73" s="196"/>
      <c r="YQ73" s="196"/>
      <c r="YR73" s="196"/>
      <c r="YS73" s="196"/>
      <c r="YT73" s="196"/>
      <c r="YU73" s="196"/>
      <c r="YV73" s="196"/>
      <c r="YW73" s="196"/>
      <c r="YX73" s="196"/>
      <c r="YY73" s="196"/>
      <c r="YZ73" s="196"/>
      <c r="ZA73" s="196"/>
      <c r="ZB73" s="196"/>
      <c r="ZC73" s="196"/>
      <c r="ZD73" s="196"/>
      <c r="ZE73" s="196"/>
      <c r="ZF73" s="196"/>
      <c r="ZG73" s="196"/>
      <c r="ZH73" s="196"/>
      <c r="ZI73" s="196"/>
      <c r="ZJ73" s="196"/>
      <c r="ZK73" s="196"/>
      <c r="ZL73" s="196"/>
      <c r="ZM73" s="196"/>
      <c r="ZN73" s="196"/>
      <c r="ZO73" s="196"/>
      <c r="ZP73" s="196"/>
      <c r="ZQ73" s="196"/>
      <c r="ZR73" s="196"/>
      <c r="ZS73" s="196"/>
      <c r="ZT73" s="196"/>
      <c r="ZU73" s="196"/>
      <c r="ZV73" s="196"/>
      <c r="ZW73" s="196"/>
      <c r="ZX73" s="196"/>
      <c r="ZY73" s="196"/>
      <c r="ZZ73" s="196"/>
      <c r="AAA73" s="196"/>
      <c r="AAB73" s="196"/>
      <c r="AAC73" s="196"/>
      <c r="AAD73" s="196"/>
      <c r="AAE73" s="196"/>
      <c r="AAF73" s="196"/>
      <c r="AAG73" s="196"/>
      <c r="AAH73" s="196"/>
      <c r="AAI73" s="196"/>
      <c r="AAJ73" s="196"/>
      <c r="AAK73" s="196"/>
      <c r="AAL73" s="196"/>
      <c r="AAM73" s="196"/>
      <c r="AAN73" s="196"/>
      <c r="AAO73" s="196"/>
      <c r="AAP73" s="196"/>
      <c r="AAQ73" s="196"/>
      <c r="AAR73" s="196"/>
      <c r="AAS73" s="196"/>
      <c r="AAT73" s="196"/>
      <c r="AAU73" s="196"/>
      <c r="AAV73" s="196"/>
      <c r="AAW73" s="196"/>
      <c r="AAX73" s="196"/>
      <c r="AAY73" s="196"/>
      <c r="AAZ73" s="196"/>
      <c r="ABA73" s="196"/>
      <c r="ABB73" s="196"/>
      <c r="ABC73" s="196"/>
      <c r="ABD73" s="196"/>
      <c r="ABE73" s="196"/>
      <c r="ABF73" s="196"/>
      <c r="ABG73" s="196"/>
      <c r="ABH73" s="196"/>
      <c r="ABI73" s="196"/>
      <c r="ABJ73" s="196"/>
      <c r="ABK73" s="196"/>
      <c r="ABL73" s="196"/>
      <c r="ABM73" s="196"/>
      <c r="ABN73" s="196"/>
      <c r="ABO73" s="196"/>
      <c r="ABP73" s="196"/>
      <c r="ABQ73" s="196"/>
      <c r="ABR73" s="196"/>
      <c r="ABS73" s="196"/>
      <c r="ABT73" s="196"/>
      <c r="ABU73" s="196"/>
      <c r="ABV73" s="196"/>
      <c r="ABW73" s="196"/>
      <c r="ABX73" s="196"/>
      <c r="ABY73" s="196"/>
      <c r="ABZ73" s="196"/>
      <c r="ACA73" s="196"/>
      <c r="ACB73" s="196"/>
      <c r="ACC73" s="196"/>
      <c r="ACD73" s="196"/>
      <c r="ACE73" s="196"/>
      <c r="ACF73" s="196"/>
      <c r="ACG73" s="196"/>
      <c r="ACH73" s="196"/>
      <c r="ACI73" s="196"/>
      <c r="ACJ73" s="196"/>
      <c r="ACK73" s="196"/>
      <c r="ACL73" s="196"/>
      <c r="ACM73" s="196"/>
      <c r="ACN73" s="196"/>
      <c r="ACO73" s="196"/>
      <c r="ACP73" s="196"/>
      <c r="ACQ73" s="196"/>
      <c r="ACR73" s="196"/>
      <c r="ACS73" s="196"/>
      <c r="ACT73" s="196"/>
      <c r="ACU73" s="196"/>
      <c r="ACV73" s="196"/>
      <c r="ACW73" s="196"/>
      <c r="ACX73" s="196"/>
      <c r="ACY73" s="196"/>
      <c r="ACZ73" s="196"/>
      <c r="ADA73" s="196"/>
      <c r="ADB73" s="196"/>
      <c r="ADC73" s="196"/>
      <c r="ADD73" s="196"/>
      <c r="ADE73" s="196"/>
      <c r="ADF73" s="196"/>
      <c r="ADG73" s="196"/>
      <c r="ADH73" s="196"/>
      <c r="ADI73" s="196"/>
      <c r="ADJ73" s="196"/>
      <c r="ADK73" s="196"/>
      <c r="ADL73" s="196"/>
      <c r="ADM73" s="196"/>
      <c r="ADN73" s="196"/>
      <c r="ADO73" s="196"/>
      <c r="ADP73" s="196"/>
      <c r="ADQ73" s="196"/>
      <c r="ADR73" s="196"/>
      <c r="ADS73" s="196"/>
      <c r="ADT73" s="196"/>
      <c r="ADU73" s="196"/>
      <c r="ADV73" s="196"/>
      <c r="ADW73" s="196"/>
      <c r="ADX73" s="196"/>
      <c r="ADY73" s="196"/>
      <c r="ADZ73" s="196"/>
      <c r="AEA73" s="196"/>
      <c r="AEB73" s="196"/>
      <c r="AEC73" s="196"/>
      <c r="AED73" s="196"/>
      <c r="AEE73" s="196"/>
      <c r="AEF73" s="196"/>
      <c r="AEG73" s="196"/>
      <c r="AEH73" s="196"/>
      <c r="AEI73" s="196"/>
      <c r="AEJ73" s="196"/>
      <c r="AEK73" s="196"/>
      <c r="AEL73" s="196"/>
      <c r="AEM73" s="196"/>
      <c r="AEN73" s="196"/>
      <c r="AEO73" s="196"/>
      <c r="AEP73" s="196"/>
      <c r="AEQ73" s="196"/>
      <c r="AER73" s="196"/>
      <c r="AES73" s="196"/>
      <c r="AET73" s="196"/>
      <c r="AEU73" s="196"/>
      <c r="AEV73" s="196"/>
      <c r="AEW73" s="196"/>
      <c r="AEX73" s="196"/>
      <c r="AEY73" s="196"/>
      <c r="AEZ73" s="196"/>
      <c r="AFA73" s="196"/>
      <c r="AFB73" s="196"/>
      <c r="AFC73" s="196"/>
      <c r="AFD73" s="196"/>
      <c r="AFE73" s="196"/>
      <c r="AFF73" s="196"/>
      <c r="AFG73" s="196"/>
      <c r="AFH73" s="196"/>
      <c r="AFI73" s="196"/>
      <c r="AFJ73" s="196"/>
      <c r="AFK73" s="196"/>
      <c r="AFL73" s="196"/>
      <c r="AFM73" s="196"/>
      <c r="AFN73" s="196"/>
      <c r="AFO73" s="196"/>
      <c r="AFP73" s="196"/>
      <c r="AFQ73" s="196"/>
      <c r="AFR73" s="196"/>
      <c r="AFS73" s="196"/>
      <c r="AFT73" s="196"/>
      <c r="AFU73" s="196"/>
      <c r="AFV73" s="196"/>
      <c r="AFW73" s="196"/>
      <c r="AFX73" s="196"/>
      <c r="AFY73" s="196"/>
      <c r="AFZ73" s="196"/>
      <c r="AGA73" s="196"/>
      <c r="AGB73" s="196"/>
      <c r="AGC73" s="196"/>
      <c r="AGD73" s="196"/>
      <c r="AGE73" s="196"/>
      <c r="AGF73" s="196"/>
      <c r="AGG73" s="196"/>
      <c r="AGH73" s="196"/>
      <c r="AGI73" s="196"/>
      <c r="AGJ73" s="196"/>
      <c r="AGK73" s="196"/>
      <c r="AGL73" s="196"/>
      <c r="AGM73" s="196"/>
      <c r="AGN73" s="196"/>
      <c r="AGO73" s="196"/>
      <c r="AGP73" s="196"/>
      <c r="AGQ73" s="196"/>
      <c r="AGR73" s="196"/>
      <c r="AGS73" s="196"/>
      <c r="AGT73" s="196"/>
      <c r="AGU73" s="196"/>
      <c r="AGV73" s="196"/>
      <c r="AGW73" s="196"/>
      <c r="AGX73" s="196"/>
      <c r="AGY73" s="196"/>
      <c r="AGZ73" s="196"/>
      <c r="AHA73" s="196"/>
      <c r="AHB73" s="196"/>
      <c r="AHC73" s="196"/>
      <c r="AHD73" s="196"/>
      <c r="AHE73" s="196"/>
      <c r="AHF73" s="196"/>
      <c r="AHG73" s="196"/>
      <c r="AHH73" s="196"/>
      <c r="AHI73" s="196"/>
      <c r="AHJ73" s="196"/>
      <c r="AHK73" s="196"/>
      <c r="AHL73" s="196"/>
      <c r="AHM73" s="196"/>
      <c r="AHN73" s="196"/>
      <c r="AHO73" s="196"/>
      <c r="AHP73" s="196"/>
      <c r="AHQ73" s="196"/>
      <c r="AHR73" s="196"/>
      <c r="AHS73" s="196"/>
      <c r="AHT73" s="196"/>
      <c r="AHU73" s="196"/>
      <c r="AHV73" s="196"/>
      <c r="AHW73" s="196"/>
      <c r="AHX73" s="196"/>
      <c r="AHY73" s="196"/>
      <c r="AHZ73" s="196"/>
      <c r="AIA73" s="196"/>
      <c r="AIB73" s="196"/>
      <c r="AIC73" s="196"/>
      <c r="AID73" s="196"/>
      <c r="AIE73" s="196"/>
      <c r="AIF73" s="196"/>
      <c r="AIG73" s="196"/>
      <c r="AIH73" s="196"/>
      <c r="AII73" s="196"/>
      <c r="AIJ73" s="196"/>
      <c r="AIK73" s="196"/>
      <c r="AIL73" s="196"/>
      <c r="AIM73" s="196"/>
      <c r="AIN73" s="196"/>
      <c r="AIO73" s="196"/>
      <c r="AIP73" s="196"/>
      <c r="AIQ73" s="196"/>
      <c r="AIR73" s="196"/>
      <c r="AIS73" s="196"/>
      <c r="AIT73" s="196"/>
      <c r="AIU73" s="196"/>
      <c r="AIV73" s="196"/>
      <c r="AIW73" s="196"/>
      <c r="AIX73" s="196"/>
      <c r="AIY73" s="196"/>
      <c r="AIZ73" s="196"/>
      <c r="AJA73" s="196"/>
      <c r="AJB73" s="196"/>
      <c r="AJC73" s="196"/>
      <c r="AJD73" s="196"/>
      <c r="AJE73" s="196"/>
      <c r="AJF73" s="196"/>
      <c r="AJG73" s="196"/>
      <c r="AJH73" s="196"/>
      <c r="AJI73" s="196"/>
      <c r="AJJ73" s="196"/>
      <c r="AJK73" s="196"/>
      <c r="AJL73" s="196"/>
      <c r="AJM73" s="196"/>
      <c r="AJN73" s="196"/>
      <c r="AJO73" s="196"/>
      <c r="AJP73" s="196"/>
      <c r="AJQ73" s="196"/>
      <c r="AJR73" s="196"/>
      <c r="AJS73" s="196"/>
      <c r="AJT73" s="196"/>
      <c r="AJU73" s="196"/>
      <c r="AJV73" s="196"/>
      <c r="AJW73" s="196"/>
      <c r="AJX73" s="196"/>
      <c r="AJY73" s="196"/>
      <c r="AJZ73" s="196"/>
      <c r="AKA73" s="196"/>
      <c r="AKB73" s="196"/>
      <c r="AKC73" s="196"/>
      <c r="AKD73" s="196"/>
      <c r="AKE73" s="196"/>
      <c r="AKF73" s="196"/>
      <c r="AKG73" s="196"/>
      <c r="AKH73" s="196"/>
      <c r="AKI73" s="196"/>
      <c r="AKJ73" s="196"/>
      <c r="AKK73" s="196"/>
      <c r="AKL73" s="196"/>
      <c r="AKM73" s="196"/>
      <c r="AKN73" s="196"/>
      <c r="AKO73" s="196"/>
      <c r="AKP73" s="196"/>
      <c r="AKQ73" s="196"/>
      <c r="AKR73" s="196"/>
      <c r="AKS73" s="196"/>
      <c r="AKT73" s="196"/>
      <c r="AKU73" s="196"/>
      <c r="AKV73" s="196"/>
      <c r="AKW73" s="196"/>
      <c r="AKX73" s="196"/>
      <c r="AKY73" s="196"/>
      <c r="AKZ73" s="196"/>
      <c r="ALA73" s="196"/>
      <c r="ALB73" s="196"/>
      <c r="ALC73" s="196"/>
      <c r="ALD73" s="196"/>
      <c r="ALE73" s="196"/>
      <c r="ALF73" s="196"/>
      <c r="ALG73" s="196"/>
      <c r="ALH73" s="196"/>
      <c r="ALI73" s="196"/>
      <c r="ALJ73" s="196"/>
      <c r="ALK73" s="196"/>
      <c r="ALL73" s="196"/>
      <c r="ALM73" s="196"/>
      <c r="ALN73" s="196"/>
      <c r="ALO73" s="196"/>
      <c r="ALP73" s="196"/>
      <c r="ALQ73" s="196"/>
      <c r="ALR73" s="196"/>
      <c r="ALS73" s="196"/>
      <c r="ALT73" s="196"/>
      <c r="ALU73" s="196"/>
      <c r="ALV73" s="196"/>
      <c r="ALW73" s="196"/>
      <c r="ALX73" s="196"/>
      <c r="ALY73" s="196"/>
      <c r="ALZ73" s="196"/>
      <c r="AMA73" s="196"/>
      <c r="AMB73" s="196"/>
      <c r="AMC73" s="196"/>
      <c r="AMD73" s="196"/>
      <c r="AME73" s="196"/>
      <c r="AMF73" s="196"/>
      <c r="AMG73" s="196"/>
      <c r="AMH73" s="196"/>
      <c r="AMI73" s="196"/>
      <c r="AMJ73" s="196"/>
      <c r="AMK73" s="196"/>
      <c r="AML73" s="196"/>
      <c r="AMM73" s="196"/>
      <c r="AMN73" s="196"/>
      <c r="AMO73" s="196"/>
      <c r="AMP73" s="196"/>
      <c r="AMQ73" s="196"/>
      <c r="AMR73" s="196"/>
      <c r="AMS73" s="196"/>
      <c r="AMT73" s="196"/>
      <c r="AMU73" s="196"/>
      <c r="AMV73" s="196"/>
      <c r="AMW73" s="196"/>
      <c r="AMX73" s="196"/>
      <c r="AMY73" s="196"/>
      <c r="AMZ73" s="196"/>
      <c r="ANA73" s="196"/>
      <c r="ANB73" s="196"/>
      <c r="ANC73" s="196"/>
      <c r="AND73" s="196"/>
      <c r="ANE73" s="196"/>
      <c r="ANF73" s="196"/>
      <c r="ANG73" s="196"/>
      <c r="ANH73" s="196"/>
      <c r="ANI73" s="196"/>
      <c r="ANJ73" s="196"/>
      <c r="ANK73" s="196"/>
      <c r="ANL73" s="196"/>
      <c r="ANM73" s="196"/>
      <c r="ANN73" s="196"/>
      <c r="ANO73" s="196"/>
      <c r="ANP73" s="196"/>
      <c r="ANQ73" s="196"/>
      <c r="ANR73" s="196"/>
      <c r="ANS73" s="196"/>
      <c r="ANT73" s="196"/>
      <c r="ANU73" s="196"/>
      <c r="ANV73" s="196"/>
      <c r="ANW73" s="196"/>
      <c r="ANX73" s="196"/>
      <c r="ANY73" s="196"/>
      <c r="ANZ73" s="196"/>
      <c r="AOA73" s="196"/>
      <c r="AOB73" s="196"/>
      <c r="AOC73" s="196"/>
      <c r="AOD73" s="196"/>
      <c r="AOE73" s="196"/>
      <c r="AOF73" s="196"/>
      <c r="AOG73" s="196"/>
      <c r="AOH73" s="196"/>
      <c r="AOI73" s="196"/>
      <c r="AOJ73" s="196"/>
      <c r="AOK73" s="196"/>
      <c r="AOL73" s="196"/>
      <c r="AOM73" s="196"/>
      <c r="AON73" s="196"/>
      <c r="AOO73" s="196"/>
      <c r="AOP73" s="196"/>
      <c r="AOQ73" s="196"/>
      <c r="AOR73" s="196"/>
      <c r="AOS73" s="196"/>
      <c r="AOT73" s="196"/>
      <c r="AOU73" s="196"/>
      <c r="AOV73" s="196"/>
      <c r="AOW73" s="196"/>
      <c r="AOX73" s="196"/>
      <c r="AOY73" s="196"/>
      <c r="AOZ73" s="196"/>
      <c r="APA73" s="196"/>
      <c r="APB73" s="196"/>
      <c r="APC73" s="196"/>
      <c r="APD73" s="196"/>
      <c r="APE73" s="196"/>
      <c r="APF73" s="196"/>
      <c r="APG73" s="196"/>
      <c r="APH73" s="196"/>
      <c r="API73" s="196"/>
      <c r="APJ73" s="196"/>
      <c r="APK73" s="196"/>
      <c r="APL73" s="196"/>
      <c r="APM73" s="196"/>
      <c r="APN73" s="196"/>
      <c r="APO73" s="196"/>
      <c r="APP73" s="196"/>
      <c r="APQ73" s="196"/>
      <c r="APR73" s="196"/>
      <c r="APS73" s="196"/>
      <c r="APT73" s="196"/>
      <c r="APU73" s="196"/>
      <c r="APV73" s="196"/>
      <c r="APW73" s="196"/>
      <c r="APX73" s="196"/>
      <c r="APY73" s="196"/>
      <c r="APZ73" s="196"/>
      <c r="AQA73" s="196"/>
      <c r="AQB73" s="196"/>
      <c r="AQC73" s="196"/>
      <c r="AQD73" s="196"/>
      <c r="AQE73" s="196"/>
      <c r="AQF73" s="196"/>
      <c r="AQG73" s="196"/>
      <c r="AQH73" s="196"/>
      <c r="AQI73" s="196"/>
      <c r="AQJ73" s="196"/>
      <c r="AQK73" s="196"/>
      <c r="AQL73" s="196"/>
      <c r="AQM73" s="196"/>
      <c r="AQN73" s="196"/>
      <c r="AQO73" s="196"/>
      <c r="AQP73" s="196"/>
      <c r="AQQ73" s="196"/>
      <c r="AQR73" s="196"/>
      <c r="AQS73" s="196"/>
      <c r="AQT73" s="196"/>
      <c r="AQU73" s="196"/>
      <c r="AQV73" s="196"/>
      <c r="AQW73" s="196"/>
      <c r="AQX73" s="196"/>
      <c r="AQY73" s="196"/>
      <c r="AQZ73" s="196"/>
      <c r="ARA73" s="196"/>
      <c r="ARB73" s="196"/>
      <c r="ARC73" s="196"/>
      <c r="ARD73" s="196"/>
      <c r="ARE73" s="196"/>
      <c r="ARF73" s="196"/>
      <c r="ARG73" s="196"/>
      <c r="ARH73" s="196"/>
      <c r="ARI73" s="196"/>
      <c r="ARJ73" s="196"/>
      <c r="ARK73" s="196"/>
      <c r="ARL73" s="196"/>
      <c r="ARM73" s="196"/>
      <c r="ARN73" s="196"/>
      <c r="ARO73" s="196"/>
      <c r="ARP73" s="196"/>
      <c r="ARQ73" s="196"/>
      <c r="ARR73" s="196"/>
      <c r="ARS73" s="196"/>
      <c r="ART73" s="196"/>
      <c r="ARU73" s="196"/>
      <c r="ARV73" s="196"/>
      <c r="ARW73" s="196"/>
      <c r="ARX73" s="196"/>
      <c r="ARY73" s="196"/>
      <c r="ARZ73" s="196"/>
      <c r="ASA73" s="196"/>
      <c r="ASB73" s="196"/>
      <c r="ASC73" s="196"/>
      <c r="ASD73" s="196"/>
      <c r="ASE73" s="196"/>
      <c r="ASF73" s="196"/>
      <c r="ASG73" s="196"/>
      <c r="ASH73" s="196"/>
      <c r="ASI73" s="196"/>
      <c r="ASJ73" s="196"/>
      <c r="ASK73" s="196"/>
      <c r="ASL73" s="196"/>
      <c r="ASM73" s="196"/>
      <c r="ASN73" s="196"/>
      <c r="ASO73" s="196"/>
      <c r="ASP73" s="196"/>
      <c r="ASQ73" s="196"/>
      <c r="ASR73" s="196"/>
      <c r="ASS73" s="196"/>
      <c r="AST73" s="196"/>
      <c r="ASU73" s="196"/>
      <c r="ASV73" s="196"/>
      <c r="ASW73" s="196"/>
      <c r="ASX73" s="196"/>
      <c r="ASY73" s="196"/>
      <c r="ASZ73" s="196"/>
      <c r="ATA73" s="196"/>
      <c r="ATB73" s="196"/>
      <c r="ATC73" s="196"/>
      <c r="ATD73" s="196"/>
      <c r="ATE73" s="196"/>
      <c r="ATF73" s="196"/>
      <c r="ATG73" s="196"/>
      <c r="ATH73" s="196"/>
      <c r="ATI73" s="196"/>
      <c r="ATJ73" s="196"/>
      <c r="ATK73" s="196"/>
      <c r="ATL73" s="196"/>
      <c r="ATM73" s="196"/>
      <c r="ATN73" s="196"/>
      <c r="ATO73" s="196"/>
      <c r="ATP73" s="196"/>
      <c r="ATQ73" s="196"/>
      <c r="ATR73" s="196"/>
      <c r="ATS73" s="196"/>
      <c r="ATT73" s="196"/>
      <c r="ATU73" s="196"/>
      <c r="ATV73" s="196"/>
      <c r="ATW73" s="196"/>
      <c r="ATX73" s="196"/>
      <c r="ATY73" s="196"/>
      <c r="ATZ73" s="196"/>
      <c r="AUA73" s="196"/>
      <c r="AUB73" s="196"/>
      <c r="AUC73" s="196"/>
      <c r="AUD73" s="196"/>
      <c r="AUE73" s="196"/>
      <c r="AUF73" s="196"/>
      <c r="AUG73" s="196"/>
      <c r="AUH73" s="196"/>
      <c r="AUI73" s="196"/>
      <c r="AUJ73" s="196"/>
      <c r="AUK73" s="196"/>
      <c r="AUL73" s="196"/>
      <c r="AUM73" s="196"/>
      <c r="AUN73" s="196"/>
      <c r="AUO73" s="196"/>
      <c r="AUP73" s="196"/>
      <c r="AUQ73" s="196"/>
      <c r="AUR73" s="196"/>
      <c r="AUS73" s="196"/>
      <c r="AUT73" s="196"/>
      <c r="AUU73" s="196"/>
      <c r="AUV73" s="196"/>
      <c r="AUW73" s="196"/>
      <c r="AUX73" s="196"/>
      <c r="AUY73" s="196"/>
      <c r="AUZ73" s="196"/>
      <c r="AVA73" s="196"/>
      <c r="AVB73" s="196"/>
      <c r="AVC73" s="196"/>
      <c r="AVD73" s="196"/>
      <c r="AVE73" s="196"/>
      <c r="AVF73" s="196"/>
      <c r="AVG73" s="196"/>
      <c r="AVH73" s="196"/>
      <c r="AVI73" s="196"/>
      <c r="AVJ73" s="196"/>
      <c r="AVK73" s="196"/>
      <c r="AVL73" s="196"/>
      <c r="AVM73" s="196"/>
      <c r="AVN73" s="196"/>
      <c r="AVO73" s="196"/>
      <c r="AVP73" s="196"/>
      <c r="AVQ73" s="196"/>
      <c r="AVR73" s="196"/>
      <c r="AVS73" s="196"/>
      <c r="AVT73" s="196"/>
      <c r="AVU73" s="196"/>
      <c r="AVV73" s="196"/>
      <c r="AVW73" s="196"/>
      <c r="AVX73" s="196"/>
      <c r="AVY73" s="196"/>
      <c r="AVZ73" s="196"/>
      <c r="AWA73" s="196"/>
      <c r="AWB73" s="196"/>
      <c r="AWC73" s="196"/>
      <c r="AWD73" s="196"/>
      <c r="AWE73" s="196"/>
      <c r="AWF73" s="196"/>
      <c r="AWG73" s="196"/>
      <c r="AWH73" s="196"/>
      <c r="AWI73" s="196"/>
      <c r="AWJ73" s="196"/>
      <c r="AWK73" s="196"/>
      <c r="AWL73" s="196"/>
      <c r="AWM73" s="196"/>
      <c r="AWN73" s="196"/>
      <c r="AWO73" s="196"/>
      <c r="AWP73" s="196"/>
      <c r="AWQ73" s="196"/>
      <c r="AWR73" s="196"/>
      <c r="AWS73" s="196"/>
      <c r="AWT73" s="196"/>
      <c r="AWU73" s="196"/>
      <c r="AWV73" s="196"/>
      <c r="AWW73" s="196"/>
      <c r="AWX73" s="196"/>
      <c r="AWY73" s="196"/>
      <c r="AWZ73" s="196"/>
      <c r="AXA73" s="196"/>
      <c r="AXB73" s="196"/>
      <c r="AXC73" s="196"/>
      <c r="AXD73" s="196"/>
      <c r="AXE73" s="196"/>
      <c r="AXF73" s="196"/>
      <c r="AXG73" s="196"/>
      <c r="AXH73" s="196"/>
      <c r="AXI73" s="196"/>
      <c r="AXJ73" s="196"/>
      <c r="AXK73" s="196"/>
      <c r="AXL73" s="196"/>
      <c r="AXM73" s="196"/>
      <c r="AXN73" s="196"/>
      <c r="AXO73" s="196"/>
      <c r="AXP73" s="196"/>
      <c r="AXQ73" s="196"/>
      <c r="AXR73" s="196"/>
      <c r="AXS73" s="196"/>
      <c r="AXT73" s="196"/>
      <c r="AXU73" s="196"/>
      <c r="AXV73" s="196"/>
      <c r="AXW73" s="196"/>
      <c r="AXX73" s="196"/>
      <c r="AXY73" s="196"/>
      <c r="AXZ73" s="196"/>
      <c r="AYA73" s="196"/>
      <c r="AYB73" s="196"/>
      <c r="AYC73" s="196"/>
      <c r="AYD73" s="196"/>
      <c r="AYE73" s="196"/>
      <c r="AYF73" s="196"/>
      <c r="AYG73" s="196"/>
      <c r="AYH73" s="196"/>
      <c r="AYI73" s="196"/>
      <c r="AYJ73" s="196"/>
      <c r="AYK73" s="196"/>
      <c r="AYL73" s="196"/>
      <c r="AYM73" s="196"/>
      <c r="AYN73" s="196"/>
      <c r="AYO73" s="196"/>
      <c r="AYP73" s="196"/>
      <c r="AYQ73" s="196"/>
      <c r="AYR73" s="196"/>
      <c r="AYS73" s="196"/>
      <c r="AYT73" s="196"/>
      <c r="AYU73" s="196"/>
      <c r="AYV73" s="196"/>
      <c r="AYW73" s="196"/>
      <c r="AYX73" s="196"/>
      <c r="AYY73" s="196"/>
      <c r="AYZ73" s="196"/>
      <c r="AZA73" s="196"/>
      <c r="AZB73" s="196"/>
      <c r="AZC73" s="196"/>
      <c r="AZD73" s="196"/>
      <c r="AZE73" s="196"/>
      <c r="AZF73" s="196"/>
      <c r="AZG73" s="196"/>
      <c r="AZH73" s="196"/>
      <c r="AZI73" s="196"/>
      <c r="AZJ73" s="196"/>
      <c r="AZK73" s="196"/>
      <c r="AZL73" s="196"/>
      <c r="AZM73" s="196"/>
      <c r="AZN73" s="196"/>
      <c r="AZO73" s="196"/>
      <c r="AZP73" s="196"/>
      <c r="AZQ73" s="196"/>
      <c r="AZR73" s="196"/>
      <c r="AZS73" s="196"/>
      <c r="AZT73" s="196"/>
      <c r="AZU73" s="196"/>
      <c r="AZV73" s="196"/>
      <c r="AZW73" s="196"/>
      <c r="AZX73" s="196"/>
      <c r="AZY73" s="196"/>
      <c r="AZZ73" s="196"/>
      <c r="BAA73" s="196"/>
      <c r="BAB73" s="196"/>
      <c r="BAC73" s="196"/>
      <c r="BAD73" s="196"/>
      <c r="BAE73" s="196"/>
      <c r="BAF73" s="196"/>
      <c r="BAG73" s="196"/>
      <c r="BAH73" s="196"/>
      <c r="BAI73" s="196"/>
      <c r="BAJ73" s="196"/>
      <c r="BAK73" s="196"/>
      <c r="BAL73" s="196"/>
      <c r="BAM73" s="196"/>
      <c r="BAN73" s="196"/>
      <c r="BAO73" s="196"/>
      <c r="BAP73" s="196"/>
      <c r="BAQ73" s="196"/>
      <c r="BAR73" s="196"/>
      <c r="BAS73" s="196"/>
      <c r="BAT73" s="196"/>
      <c r="BAU73" s="196"/>
      <c r="BAV73" s="196"/>
      <c r="BAW73" s="196"/>
      <c r="BAX73" s="196"/>
      <c r="BAY73" s="196"/>
      <c r="BAZ73" s="196"/>
      <c r="BBA73" s="196"/>
      <c r="BBB73" s="196"/>
      <c r="BBC73" s="196"/>
      <c r="BBD73" s="196"/>
      <c r="BBE73" s="196"/>
      <c r="BBF73" s="196"/>
      <c r="BBG73" s="196"/>
      <c r="BBH73" s="196"/>
      <c r="BBI73" s="196"/>
      <c r="BBJ73" s="196"/>
      <c r="BBK73" s="196"/>
      <c r="BBL73" s="196"/>
      <c r="BBM73" s="196"/>
      <c r="BBN73" s="196"/>
      <c r="BBO73" s="196"/>
      <c r="BBP73" s="196"/>
      <c r="BBQ73" s="196"/>
      <c r="BBR73" s="196"/>
      <c r="BBS73" s="196"/>
      <c r="BBT73" s="196"/>
      <c r="BBU73" s="196"/>
      <c r="BBV73" s="196"/>
      <c r="BBW73" s="196"/>
      <c r="BBX73" s="196"/>
      <c r="BBY73" s="196"/>
      <c r="BBZ73" s="196"/>
      <c r="BCA73" s="196"/>
      <c r="BCB73" s="196"/>
      <c r="BCC73" s="196"/>
      <c r="BCD73" s="196"/>
      <c r="BCE73" s="196"/>
      <c r="BCF73" s="196"/>
      <c r="BCG73" s="196"/>
      <c r="BCH73" s="196"/>
      <c r="BCI73" s="196"/>
      <c r="BCJ73" s="196"/>
      <c r="BCK73" s="196"/>
      <c r="BCL73" s="196"/>
      <c r="BCM73" s="196"/>
      <c r="BCN73" s="196"/>
      <c r="BCO73" s="196"/>
      <c r="BCP73" s="196"/>
      <c r="BCQ73" s="196"/>
      <c r="BCR73" s="196"/>
      <c r="BCS73" s="196"/>
      <c r="BCT73" s="196"/>
      <c r="BCU73" s="196"/>
      <c r="BCV73" s="196"/>
      <c r="BCW73" s="196"/>
      <c r="BCX73" s="196"/>
      <c r="BCY73" s="196"/>
      <c r="BCZ73" s="196"/>
      <c r="BDA73" s="196"/>
      <c r="BDB73" s="196"/>
      <c r="BDC73" s="196"/>
      <c r="BDD73" s="196"/>
      <c r="BDE73" s="196"/>
      <c r="BDF73" s="196"/>
      <c r="BDG73" s="196"/>
      <c r="BDH73" s="196"/>
      <c r="BDI73" s="196"/>
      <c r="BDJ73" s="196"/>
      <c r="BDK73" s="196"/>
      <c r="BDL73" s="196"/>
      <c r="BDM73" s="196"/>
      <c r="BDN73" s="196"/>
      <c r="BDO73" s="196"/>
      <c r="BDP73" s="196"/>
      <c r="BDQ73" s="196"/>
      <c r="BDR73" s="196"/>
      <c r="BDS73" s="196"/>
      <c r="BDT73" s="196"/>
      <c r="BDU73" s="196"/>
      <c r="BDV73" s="196"/>
      <c r="BDW73" s="196"/>
      <c r="BDX73" s="196"/>
      <c r="BDY73" s="196"/>
      <c r="BDZ73" s="196"/>
      <c r="BEA73" s="196"/>
      <c r="BEB73" s="196"/>
      <c r="BEC73" s="196"/>
      <c r="BED73" s="196"/>
      <c r="BEE73" s="196"/>
      <c r="BEF73" s="196"/>
      <c r="BEG73" s="196"/>
      <c r="BEH73" s="196"/>
      <c r="BEI73" s="196"/>
      <c r="BEJ73" s="196"/>
      <c r="BEK73" s="196"/>
      <c r="BEL73" s="196"/>
      <c r="BEM73" s="196"/>
      <c r="BEN73" s="196"/>
      <c r="BEO73" s="196"/>
      <c r="BEP73" s="196"/>
      <c r="BEQ73" s="196"/>
      <c r="BER73" s="196"/>
      <c r="BES73" s="196"/>
      <c r="BET73" s="196"/>
      <c r="BEU73" s="196"/>
      <c r="BEV73" s="196"/>
      <c r="BEW73" s="196"/>
      <c r="BEX73" s="196"/>
      <c r="BEY73" s="196"/>
      <c r="BEZ73" s="196"/>
      <c r="BFA73" s="196"/>
      <c r="BFB73" s="196"/>
      <c r="BFC73" s="196"/>
      <c r="BFD73" s="196"/>
      <c r="BFE73" s="196"/>
      <c r="BFF73" s="196"/>
      <c r="BFG73" s="196"/>
      <c r="BFH73" s="196"/>
      <c r="BFI73" s="196"/>
      <c r="BFJ73" s="196"/>
      <c r="BFK73" s="196"/>
      <c r="BFL73" s="196"/>
      <c r="BFM73" s="196"/>
      <c r="BFN73" s="196"/>
      <c r="BFO73" s="196"/>
      <c r="BFP73" s="196"/>
      <c r="BFQ73" s="196"/>
      <c r="BFR73" s="196"/>
      <c r="BFS73" s="196"/>
      <c r="BFT73" s="196"/>
      <c r="BFU73" s="196"/>
      <c r="BFV73" s="196"/>
      <c r="BFW73" s="196"/>
      <c r="BFX73" s="196"/>
      <c r="BFY73" s="196"/>
      <c r="BFZ73" s="196"/>
      <c r="BGA73" s="196"/>
      <c r="BGB73" s="196"/>
      <c r="BGC73" s="196"/>
      <c r="BGD73" s="196"/>
      <c r="BGE73" s="196"/>
      <c r="BGF73" s="196"/>
      <c r="BGG73" s="196"/>
      <c r="BGH73" s="196"/>
      <c r="BGI73" s="196"/>
      <c r="BGJ73" s="196"/>
      <c r="BGK73" s="196"/>
      <c r="BGL73" s="196"/>
      <c r="BGM73" s="196"/>
      <c r="BGN73" s="196"/>
      <c r="BGO73" s="196"/>
      <c r="BGP73" s="196"/>
      <c r="BGQ73" s="196"/>
      <c r="BGR73" s="196"/>
      <c r="BGS73" s="196"/>
      <c r="BGT73" s="196"/>
      <c r="BGU73" s="196"/>
      <c r="BGV73" s="196"/>
      <c r="BGW73" s="196"/>
      <c r="BGX73" s="196"/>
      <c r="BGY73" s="196"/>
      <c r="BGZ73" s="196"/>
      <c r="BHA73" s="196"/>
      <c r="BHB73" s="196"/>
      <c r="BHC73" s="196"/>
      <c r="BHD73" s="196"/>
      <c r="BHE73" s="196"/>
      <c r="BHF73" s="196"/>
      <c r="BHG73" s="196"/>
      <c r="BHH73" s="196"/>
      <c r="BHI73" s="196"/>
      <c r="BHJ73" s="196"/>
      <c r="BHK73" s="196"/>
      <c r="BHL73" s="196"/>
      <c r="BHM73" s="196"/>
      <c r="BHN73" s="196"/>
      <c r="BHO73" s="196"/>
      <c r="BHP73" s="196"/>
      <c r="BHQ73" s="196"/>
      <c r="BHR73" s="196"/>
      <c r="BHS73" s="196"/>
      <c r="BHT73" s="196"/>
      <c r="BHU73" s="196"/>
      <c r="BHV73" s="196"/>
      <c r="BHW73" s="196"/>
      <c r="BHX73" s="196"/>
      <c r="BHY73" s="196"/>
      <c r="BHZ73" s="196"/>
      <c r="BIA73" s="196"/>
      <c r="BIB73" s="196"/>
      <c r="BIC73" s="196"/>
      <c r="BID73" s="196"/>
      <c r="BIE73" s="196"/>
      <c r="BIF73" s="196"/>
      <c r="BIG73" s="196"/>
      <c r="BIH73" s="196"/>
      <c r="BII73" s="196"/>
      <c r="BIJ73" s="196"/>
      <c r="BIK73" s="196"/>
      <c r="BIL73" s="196"/>
      <c r="BIM73" s="196"/>
      <c r="BIN73" s="196"/>
      <c r="BIO73" s="196"/>
      <c r="BIP73" s="196"/>
      <c r="BIQ73" s="196"/>
      <c r="BIR73" s="196"/>
      <c r="BIS73" s="196"/>
      <c r="BIT73" s="196"/>
      <c r="BIU73" s="196"/>
      <c r="BIV73" s="196"/>
      <c r="BIW73" s="196"/>
      <c r="BIX73" s="196"/>
      <c r="BIY73" s="196"/>
      <c r="BIZ73" s="196"/>
      <c r="BJA73" s="196"/>
      <c r="BJB73" s="196"/>
      <c r="BJC73" s="196"/>
      <c r="BJD73" s="196"/>
      <c r="BJE73" s="196"/>
      <c r="BJF73" s="196"/>
      <c r="BJG73" s="196"/>
      <c r="BJH73" s="196"/>
      <c r="BJI73" s="196"/>
      <c r="BJJ73" s="196"/>
      <c r="BJK73" s="196"/>
      <c r="BJL73" s="196"/>
      <c r="BJM73" s="196"/>
      <c r="BJN73" s="196"/>
      <c r="BJO73" s="196"/>
      <c r="BJP73" s="196"/>
      <c r="BJQ73" s="196"/>
      <c r="BJR73" s="196"/>
      <c r="BJS73" s="196"/>
      <c r="BJT73" s="196"/>
      <c r="BJU73" s="196"/>
      <c r="BJV73" s="196"/>
      <c r="BJW73" s="196"/>
      <c r="BJX73" s="196"/>
      <c r="BJY73" s="196"/>
      <c r="BJZ73" s="196"/>
      <c r="BKA73" s="196"/>
      <c r="BKB73" s="196"/>
      <c r="BKC73" s="196"/>
      <c r="BKD73" s="196"/>
      <c r="BKE73" s="196"/>
      <c r="BKF73" s="196"/>
      <c r="BKG73" s="196"/>
      <c r="BKH73" s="196"/>
      <c r="BKI73" s="196"/>
      <c r="BKJ73" s="196"/>
      <c r="BKK73" s="196"/>
      <c r="BKL73" s="196"/>
      <c r="BKM73" s="196"/>
      <c r="BKN73" s="196"/>
      <c r="BKO73" s="196"/>
      <c r="BKP73" s="196"/>
      <c r="BKQ73" s="196"/>
      <c r="BKR73" s="196"/>
      <c r="BKS73" s="196"/>
      <c r="BKT73" s="196"/>
      <c r="BKU73" s="196"/>
      <c r="BKV73" s="196"/>
      <c r="BKW73" s="196"/>
      <c r="BKX73" s="196"/>
      <c r="BKY73" s="196"/>
      <c r="BKZ73" s="196"/>
      <c r="BLA73" s="196"/>
      <c r="BLB73" s="196"/>
      <c r="BLC73" s="196"/>
      <c r="BLD73" s="196"/>
      <c r="BLE73" s="196"/>
      <c r="BLF73" s="196"/>
      <c r="BLG73" s="196"/>
      <c r="BLH73" s="196"/>
      <c r="BLI73" s="196"/>
      <c r="BLJ73" s="196"/>
      <c r="BLK73" s="196"/>
      <c r="BLL73" s="196"/>
      <c r="BLM73" s="196"/>
      <c r="BLN73" s="196"/>
      <c r="BLO73" s="196"/>
      <c r="BLP73" s="196"/>
      <c r="BLQ73" s="196"/>
      <c r="BLR73" s="196"/>
      <c r="BLS73" s="196"/>
      <c r="BLT73" s="196"/>
      <c r="BLU73" s="196"/>
      <c r="BLV73" s="196"/>
      <c r="BLW73" s="196"/>
      <c r="BLX73" s="196"/>
      <c r="BLY73" s="196"/>
      <c r="BLZ73" s="196"/>
      <c r="BMA73" s="196"/>
      <c r="BMB73" s="196"/>
      <c r="BMC73" s="196"/>
      <c r="BMD73" s="196"/>
      <c r="BME73" s="196"/>
      <c r="BMF73" s="196"/>
      <c r="BMG73" s="196"/>
      <c r="BMH73" s="196"/>
      <c r="BMI73" s="196"/>
      <c r="BMJ73" s="196"/>
      <c r="BMK73" s="196"/>
      <c r="BML73" s="196"/>
      <c r="BMM73" s="196"/>
      <c r="BMN73" s="196"/>
      <c r="BMO73" s="196"/>
      <c r="BMP73" s="196"/>
      <c r="BMQ73" s="196"/>
      <c r="BMR73" s="196"/>
      <c r="BMS73" s="196"/>
      <c r="BMT73" s="196"/>
      <c r="BMU73" s="196"/>
      <c r="BMV73" s="196"/>
      <c r="BMW73" s="196"/>
      <c r="BMX73" s="196"/>
      <c r="BMY73" s="196"/>
      <c r="BMZ73" s="196"/>
      <c r="BNA73" s="196"/>
      <c r="BNB73" s="196"/>
      <c r="BNC73" s="196"/>
      <c r="BND73" s="196"/>
      <c r="BNE73" s="196"/>
      <c r="BNF73" s="196"/>
      <c r="BNG73" s="196"/>
      <c r="BNH73" s="196"/>
      <c r="BNI73" s="196"/>
      <c r="BNJ73" s="196"/>
      <c r="BNK73" s="196"/>
      <c r="BNL73" s="196"/>
      <c r="BNM73" s="196"/>
      <c r="BNN73" s="196"/>
      <c r="BNO73" s="196"/>
      <c r="BNP73" s="196"/>
      <c r="BNQ73" s="196"/>
      <c r="BNR73" s="196"/>
      <c r="BNS73" s="196"/>
      <c r="BNT73" s="196"/>
      <c r="BNU73" s="196"/>
      <c r="BNV73" s="196"/>
      <c r="BNW73" s="196"/>
      <c r="BNX73" s="196"/>
      <c r="BNY73" s="196"/>
      <c r="BNZ73" s="196"/>
      <c r="BOA73" s="196"/>
      <c r="BOB73" s="196"/>
      <c r="BOC73" s="196"/>
      <c r="BOD73" s="196"/>
      <c r="BOE73" s="196"/>
      <c r="BOF73" s="196"/>
      <c r="BOG73" s="196"/>
      <c r="BOH73" s="196"/>
      <c r="BOI73" s="196"/>
      <c r="BOJ73" s="196"/>
      <c r="BOK73" s="196"/>
      <c r="BOL73" s="196"/>
      <c r="BOM73" s="196"/>
      <c r="BON73" s="196"/>
      <c r="BOO73" s="196"/>
      <c r="BOP73" s="196"/>
      <c r="BOQ73" s="196"/>
      <c r="BOR73" s="196"/>
      <c r="BOS73" s="196"/>
      <c r="BOT73" s="196"/>
      <c r="BOU73" s="196"/>
      <c r="BOV73" s="196"/>
      <c r="BOW73" s="196"/>
      <c r="BOX73" s="196"/>
      <c r="BOY73" s="196"/>
      <c r="BOZ73" s="196"/>
      <c r="BPA73" s="196"/>
      <c r="BPB73" s="196"/>
      <c r="BPC73" s="196"/>
      <c r="BPD73" s="196"/>
      <c r="BPE73" s="196"/>
      <c r="BPF73" s="196"/>
      <c r="BPG73" s="196"/>
      <c r="BPH73" s="196"/>
      <c r="BPI73" s="196"/>
      <c r="BPJ73" s="196"/>
      <c r="BPK73" s="196"/>
      <c r="BPL73" s="196"/>
      <c r="BPM73" s="196"/>
      <c r="BPN73" s="196"/>
      <c r="BPO73" s="196"/>
      <c r="BPP73" s="196"/>
      <c r="BPQ73" s="196"/>
      <c r="BPR73" s="196"/>
      <c r="BPS73" s="196"/>
      <c r="BPT73" s="196"/>
      <c r="BPU73" s="196"/>
      <c r="BPV73" s="196"/>
      <c r="BPW73" s="196"/>
      <c r="BPX73" s="196"/>
      <c r="BPY73" s="196"/>
      <c r="BPZ73" s="196"/>
      <c r="BQA73" s="196"/>
      <c r="BQB73" s="196"/>
      <c r="BQC73" s="196"/>
      <c r="BQD73" s="196"/>
      <c r="BQE73" s="196"/>
      <c r="BQF73" s="196"/>
      <c r="BQG73" s="196"/>
      <c r="BQH73" s="196"/>
      <c r="BQI73" s="196"/>
      <c r="BQJ73" s="196"/>
      <c r="BQK73" s="196"/>
      <c r="BQL73" s="196"/>
      <c r="BQM73" s="196"/>
      <c r="BQN73" s="196"/>
      <c r="BQO73" s="196"/>
      <c r="BQP73" s="196"/>
      <c r="BQQ73" s="196"/>
      <c r="BQR73" s="196"/>
      <c r="BQS73" s="196"/>
      <c r="BQT73" s="196"/>
      <c r="BQU73" s="196"/>
      <c r="BQV73" s="196"/>
      <c r="BQW73" s="196"/>
      <c r="BQX73" s="196"/>
      <c r="BQY73" s="196"/>
      <c r="BQZ73" s="196"/>
      <c r="BRA73" s="196"/>
      <c r="BRB73" s="196"/>
      <c r="BRC73" s="196"/>
      <c r="BRD73" s="196"/>
      <c r="BRE73" s="196"/>
      <c r="BRF73" s="196"/>
      <c r="BRG73" s="196"/>
      <c r="BRH73" s="196"/>
      <c r="BRI73" s="196"/>
      <c r="BRJ73" s="196"/>
      <c r="BRK73" s="196"/>
      <c r="BRL73" s="196"/>
      <c r="BRM73" s="196"/>
      <c r="BRN73" s="196"/>
      <c r="BRO73" s="196"/>
      <c r="BRP73" s="196"/>
      <c r="BRQ73" s="196"/>
      <c r="BRR73" s="196"/>
      <c r="BRS73" s="196"/>
      <c r="BRT73" s="196"/>
      <c r="BRU73" s="196"/>
      <c r="BRV73" s="196"/>
      <c r="BRW73" s="196"/>
      <c r="BRX73" s="196"/>
      <c r="BRY73" s="196"/>
      <c r="BRZ73" s="196"/>
      <c r="BSA73" s="196"/>
      <c r="BSB73" s="196"/>
      <c r="BSC73" s="196"/>
      <c r="BSD73" s="196"/>
      <c r="BSE73" s="196"/>
      <c r="BSF73" s="196"/>
      <c r="BSG73" s="196"/>
      <c r="BSH73" s="196"/>
      <c r="BSI73" s="196"/>
      <c r="BSJ73" s="196"/>
      <c r="BSK73" s="196"/>
      <c r="BSL73" s="196"/>
      <c r="BSM73" s="196"/>
      <c r="BSN73" s="196"/>
      <c r="BSO73" s="196"/>
      <c r="BSP73" s="196"/>
      <c r="BSQ73" s="196"/>
      <c r="BSR73" s="196"/>
      <c r="BSS73" s="196"/>
      <c r="BST73" s="196"/>
      <c r="BSU73" s="196"/>
      <c r="BSV73" s="196"/>
      <c r="BSW73" s="196"/>
      <c r="BSX73" s="196"/>
      <c r="BSY73" s="196"/>
      <c r="BSZ73" s="196"/>
      <c r="BTA73" s="196"/>
      <c r="BTB73" s="196"/>
      <c r="BTC73" s="196"/>
      <c r="BTD73" s="196"/>
      <c r="BTE73" s="196"/>
      <c r="BTF73" s="196"/>
      <c r="BTG73" s="196"/>
      <c r="BTH73" s="196"/>
      <c r="BTI73" s="196"/>
      <c r="BTJ73" s="196"/>
      <c r="BTK73" s="196"/>
      <c r="BTL73" s="196"/>
      <c r="BTM73" s="196"/>
      <c r="BTN73" s="196"/>
      <c r="BTO73" s="196"/>
      <c r="BTP73" s="196"/>
      <c r="BTQ73" s="196"/>
      <c r="BTR73" s="196"/>
      <c r="BTS73" s="196"/>
      <c r="BTT73" s="196"/>
      <c r="BTU73" s="196"/>
      <c r="BTV73" s="196"/>
      <c r="BTW73" s="196"/>
      <c r="BTX73" s="196"/>
      <c r="BTY73" s="196"/>
      <c r="BTZ73" s="196"/>
      <c r="BUA73" s="196"/>
      <c r="BUB73" s="196"/>
      <c r="BUC73" s="196"/>
      <c r="BUD73" s="196"/>
      <c r="BUE73" s="196"/>
      <c r="BUF73" s="196"/>
      <c r="BUG73" s="196"/>
      <c r="BUH73" s="196"/>
      <c r="BUI73" s="196"/>
      <c r="BUJ73" s="196"/>
      <c r="BUK73" s="196"/>
      <c r="BUL73" s="196"/>
      <c r="BUM73" s="196"/>
      <c r="BUN73" s="196"/>
      <c r="BUO73" s="196"/>
      <c r="BUP73" s="196"/>
      <c r="BUQ73" s="196"/>
      <c r="BUR73" s="196"/>
      <c r="BUS73" s="196"/>
      <c r="BUT73" s="196"/>
      <c r="BUU73" s="196"/>
      <c r="BUV73" s="196"/>
      <c r="BUW73" s="196"/>
      <c r="BUX73" s="196"/>
      <c r="BUY73" s="196"/>
      <c r="BUZ73" s="196"/>
      <c r="BVA73" s="196"/>
      <c r="BVB73" s="196"/>
      <c r="BVC73" s="196"/>
      <c r="BVD73" s="196"/>
      <c r="BVE73" s="196"/>
      <c r="BVF73" s="196"/>
      <c r="BVG73" s="196"/>
      <c r="BVH73" s="196"/>
      <c r="BVI73" s="196"/>
      <c r="BVJ73" s="196"/>
      <c r="BVK73" s="196"/>
      <c r="BVL73" s="196"/>
      <c r="BVM73" s="196"/>
      <c r="BVN73" s="196"/>
      <c r="BVO73" s="196"/>
      <c r="BVP73" s="196"/>
      <c r="BVQ73" s="196"/>
      <c r="BVR73" s="196"/>
      <c r="BVS73" s="196"/>
      <c r="BVT73" s="196"/>
      <c r="BVU73" s="196"/>
      <c r="BVV73" s="196"/>
      <c r="BVW73" s="196"/>
      <c r="BVX73" s="196"/>
      <c r="BVY73" s="196"/>
      <c r="BVZ73" s="196"/>
      <c r="BWA73" s="196"/>
      <c r="BWB73" s="196"/>
      <c r="BWC73" s="196"/>
      <c r="BWD73" s="196"/>
      <c r="BWE73" s="196"/>
      <c r="BWF73" s="196"/>
      <c r="BWG73" s="196"/>
      <c r="BWH73" s="196"/>
      <c r="BWI73" s="196"/>
      <c r="BWJ73" s="196"/>
      <c r="BWK73" s="196"/>
      <c r="BWL73" s="196"/>
      <c r="BWM73" s="196"/>
      <c r="BWN73" s="196"/>
      <c r="BWO73" s="196"/>
      <c r="BWP73" s="196"/>
      <c r="BWQ73" s="196"/>
      <c r="BWR73" s="196"/>
      <c r="BWS73" s="196"/>
      <c r="BWT73" s="196"/>
      <c r="BWU73" s="196"/>
      <c r="BWV73" s="196"/>
      <c r="BWW73" s="196"/>
      <c r="BWX73" s="196"/>
      <c r="BWY73" s="196"/>
      <c r="BWZ73" s="196"/>
      <c r="BXA73" s="196"/>
      <c r="BXB73" s="196"/>
      <c r="BXC73" s="196"/>
      <c r="BXD73" s="196"/>
      <c r="BXE73" s="196"/>
      <c r="BXF73" s="196"/>
      <c r="BXG73" s="196"/>
      <c r="BXH73" s="196"/>
      <c r="BXI73" s="196"/>
      <c r="BXJ73" s="196"/>
      <c r="BXK73" s="196"/>
      <c r="BXL73" s="196"/>
      <c r="BXM73" s="196"/>
      <c r="BXN73" s="196"/>
      <c r="BXO73" s="196"/>
      <c r="BXP73" s="196"/>
      <c r="BXQ73" s="196"/>
      <c r="BXR73" s="196"/>
      <c r="BXS73" s="196"/>
      <c r="BXT73" s="196"/>
      <c r="BXU73" s="196"/>
      <c r="BXV73" s="196"/>
      <c r="BXW73" s="196"/>
      <c r="BXX73" s="196"/>
      <c r="BXY73" s="196"/>
      <c r="BXZ73" s="196"/>
      <c r="BYA73" s="196"/>
      <c r="BYB73" s="196"/>
      <c r="BYC73" s="196"/>
      <c r="BYD73" s="196"/>
      <c r="BYE73" s="196"/>
      <c r="BYF73" s="196"/>
      <c r="BYG73" s="196"/>
    </row>
    <row r="74" spans="1:2009" s="196" customFormat="1" ht="9" customHeight="1" x14ac:dyDescent="0.25">
      <c r="A74" s="675"/>
      <c r="B74" s="676"/>
      <c r="C74" s="677"/>
      <c r="D74" s="677"/>
      <c r="E74" s="677"/>
      <c r="F74" s="677"/>
      <c r="G74" s="678"/>
      <c r="H74" s="195"/>
      <c r="I74" s="544"/>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row>
    <row r="75" spans="1:2009" s="95" customFormat="1" ht="22.5" customHeight="1" x14ac:dyDescent="0.25">
      <c r="A75" s="121"/>
      <c r="B75" s="673" t="s">
        <v>359</v>
      </c>
      <c r="C75" s="674">
        <f>C73/G$73</f>
        <v>0.38608246414985986</v>
      </c>
      <c r="D75" s="674">
        <f>D73/$G73</f>
        <v>0.22035332184920256</v>
      </c>
      <c r="E75" s="674">
        <f t="shared" ref="E75:G75" si="4">E73/$G73</f>
        <v>0.17021172263191622</v>
      </c>
      <c r="F75" s="674">
        <f t="shared" si="4"/>
        <v>0.22335249136902149</v>
      </c>
      <c r="G75" s="674">
        <f t="shared" si="4"/>
        <v>1</v>
      </c>
      <c r="H75" s="93"/>
      <c r="I75" s="544"/>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c r="BB75" s="93"/>
      <c r="BC75" s="93"/>
      <c r="BD75" s="93"/>
      <c r="BE75" s="93"/>
      <c r="BF75" s="93"/>
      <c r="BG75" s="93"/>
      <c r="BH75" s="93"/>
      <c r="BI75" s="93"/>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c r="FY75" s="94"/>
      <c r="FZ75" s="94"/>
      <c r="GA75" s="94"/>
      <c r="GB75" s="94"/>
      <c r="GC75" s="94"/>
      <c r="GD75" s="94"/>
      <c r="GE75" s="94"/>
      <c r="GF75" s="94"/>
      <c r="GG75" s="94"/>
      <c r="GH75" s="94"/>
      <c r="GI75" s="94"/>
      <c r="GJ75" s="94"/>
      <c r="GK75" s="94"/>
      <c r="GL75" s="94"/>
      <c r="GM75" s="94"/>
      <c r="GN75" s="94"/>
      <c r="GO75" s="94"/>
      <c r="GP75" s="94"/>
      <c r="GQ75" s="94"/>
      <c r="GR75" s="94"/>
      <c r="GS75" s="94"/>
      <c r="GT75" s="94"/>
      <c r="GU75" s="94"/>
      <c r="GV75" s="94"/>
      <c r="GW75" s="94"/>
      <c r="GX75" s="94"/>
      <c r="GY75" s="94"/>
      <c r="GZ75" s="94"/>
      <c r="HA75" s="94"/>
      <c r="HB75" s="94"/>
      <c r="HC75" s="94"/>
      <c r="HD75" s="94"/>
      <c r="HE75" s="94"/>
      <c r="HF75" s="94"/>
      <c r="HG75" s="94"/>
      <c r="HH75" s="94"/>
      <c r="HI75" s="94"/>
      <c r="HJ75" s="94"/>
      <c r="HK75" s="94"/>
      <c r="HL75" s="94"/>
      <c r="HM75" s="94"/>
      <c r="HN75" s="94"/>
      <c r="HO75" s="94"/>
      <c r="HP75" s="94"/>
      <c r="HQ75" s="94"/>
      <c r="HR75" s="94"/>
      <c r="HS75" s="94"/>
      <c r="HT75" s="94"/>
      <c r="HU75" s="94"/>
      <c r="HV75" s="94"/>
      <c r="HW75" s="94"/>
      <c r="HX75" s="94"/>
      <c r="HY75" s="94"/>
      <c r="HZ75" s="94"/>
      <c r="IA75" s="94"/>
      <c r="IB75" s="94"/>
      <c r="IC75" s="94"/>
      <c r="ID75" s="94"/>
      <c r="IE75" s="94"/>
      <c r="IF75" s="94"/>
      <c r="IG75" s="94"/>
      <c r="IH75" s="94"/>
      <c r="II75" s="94"/>
      <c r="IJ75" s="94"/>
      <c r="IK75" s="94"/>
      <c r="IL75" s="94"/>
      <c r="IM75" s="94"/>
      <c r="IN75" s="94"/>
      <c r="IO75" s="94"/>
      <c r="IP75" s="94"/>
      <c r="IQ75" s="94"/>
      <c r="IR75" s="94"/>
      <c r="IS75" s="94"/>
      <c r="IT75" s="94"/>
      <c r="IU75" s="94"/>
      <c r="IV75" s="94"/>
      <c r="IW75" s="94"/>
      <c r="IX75" s="94"/>
      <c r="IY75" s="94"/>
      <c r="IZ75" s="94"/>
      <c r="JA75" s="94"/>
      <c r="JB75" s="94"/>
      <c r="JC75" s="94"/>
      <c r="JD75" s="94"/>
      <c r="JE75" s="94"/>
      <c r="JF75" s="94"/>
      <c r="JG75" s="94"/>
      <c r="JH75" s="94"/>
      <c r="JI75" s="94"/>
      <c r="JJ75" s="94"/>
      <c r="JK75" s="94"/>
      <c r="JL75" s="94"/>
      <c r="JM75" s="94"/>
      <c r="JN75" s="94"/>
      <c r="JO75" s="94"/>
      <c r="JP75" s="94"/>
      <c r="JQ75" s="94"/>
      <c r="JR75" s="94"/>
      <c r="JS75" s="94"/>
      <c r="JT75" s="94"/>
      <c r="JU75" s="94"/>
      <c r="JV75" s="94"/>
      <c r="JW75" s="94"/>
      <c r="JX75" s="94"/>
      <c r="JY75" s="94"/>
      <c r="JZ75" s="94"/>
      <c r="KA75" s="94"/>
      <c r="KB75" s="94"/>
      <c r="KC75" s="94"/>
      <c r="KD75" s="94"/>
      <c r="KE75" s="94"/>
      <c r="KF75" s="94"/>
      <c r="KG75" s="94"/>
      <c r="KH75" s="94"/>
      <c r="KI75" s="94"/>
      <c r="KJ75" s="94"/>
      <c r="KK75" s="94"/>
      <c r="KL75" s="94"/>
      <c r="KM75" s="94"/>
      <c r="KN75" s="94"/>
      <c r="KO75" s="94"/>
      <c r="KP75" s="94"/>
      <c r="KQ75" s="94"/>
      <c r="KR75" s="94"/>
      <c r="KS75" s="94"/>
      <c r="KT75" s="94"/>
      <c r="KU75" s="94"/>
      <c r="KV75" s="94"/>
      <c r="KW75" s="94"/>
      <c r="KX75" s="94"/>
      <c r="KY75" s="94"/>
      <c r="KZ75" s="94"/>
      <c r="LA75" s="94"/>
      <c r="LB75" s="94"/>
      <c r="LC75" s="94"/>
      <c r="LD75" s="94"/>
      <c r="LE75" s="94"/>
      <c r="LF75" s="94"/>
      <c r="LG75" s="94"/>
      <c r="LH75" s="94"/>
      <c r="LI75" s="94"/>
      <c r="LJ75" s="94"/>
      <c r="LK75" s="94"/>
      <c r="LL75" s="94"/>
      <c r="LM75" s="94"/>
      <c r="LN75" s="94"/>
      <c r="LO75" s="94"/>
      <c r="LP75" s="94"/>
      <c r="LQ75" s="94"/>
      <c r="LR75" s="94"/>
      <c r="LS75" s="94"/>
      <c r="LT75" s="94"/>
      <c r="LU75" s="94"/>
      <c r="LV75" s="94"/>
      <c r="LW75" s="94"/>
      <c r="LX75" s="94"/>
      <c r="LY75" s="94"/>
      <c r="LZ75" s="94"/>
      <c r="MA75" s="94"/>
      <c r="MB75" s="94"/>
      <c r="MC75" s="94"/>
      <c r="MD75" s="94"/>
      <c r="ME75" s="94"/>
      <c r="MF75" s="94"/>
      <c r="MG75" s="94"/>
      <c r="MH75" s="94"/>
      <c r="MI75" s="94"/>
      <c r="MJ75" s="94"/>
      <c r="MK75" s="94"/>
      <c r="ML75" s="94"/>
      <c r="MM75" s="94"/>
      <c r="MN75" s="94"/>
      <c r="MO75" s="94"/>
      <c r="MP75" s="94"/>
      <c r="MQ75" s="94"/>
      <c r="MR75" s="94"/>
      <c r="MS75" s="94"/>
      <c r="MT75" s="94"/>
      <c r="MU75" s="94"/>
      <c r="MV75" s="94"/>
      <c r="MW75" s="94"/>
      <c r="MX75" s="94"/>
      <c r="MY75" s="94"/>
      <c r="MZ75" s="94"/>
      <c r="NA75" s="94"/>
      <c r="NB75" s="94"/>
      <c r="NC75" s="94"/>
      <c r="ND75" s="94"/>
      <c r="NE75" s="94"/>
      <c r="NF75" s="94"/>
      <c r="NG75" s="94"/>
      <c r="NH75" s="94"/>
      <c r="NI75" s="94"/>
      <c r="NJ75" s="94"/>
      <c r="NK75" s="94"/>
      <c r="NL75" s="94"/>
      <c r="NM75" s="94"/>
      <c r="NN75" s="94"/>
      <c r="NO75" s="94"/>
      <c r="NP75" s="94"/>
      <c r="NQ75" s="94"/>
      <c r="NR75" s="94"/>
      <c r="NS75" s="94"/>
      <c r="NT75" s="94"/>
      <c r="NU75" s="94"/>
      <c r="NV75" s="94"/>
      <c r="NW75" s="94"/>
      <c r="NX75" s="94"/>
      <c r="NY75" s="94"/>
      <c r="NZ75" s="94"/>
      <c r="OA75" s="94"/>
      <c r="OB75" s="94"/>
      <c r="OC75" s="94"/>
      <c r="OD75" s="94"/>
      <c r="OE75" s="94"/>
      <c r="OF75" s="94"/>
      <c r="OG75" s="94"/>
      <c r="OH75" s="94"/>
      <c r="OI75" s="94"/>
      <c r="OJ75" s="94"/>
      <c r="OK75" s="94"/>
      <c r="OL75" s="94"/>
      <c r="OM75" s="94"/>
      <c r="ON75" s="94"/>
      <c r="OO75" s="94"/>
      <c r="OP75" s="94"/>
      <c r="OQ75" s="94"/>
      <c r="OR75" s="94"/>
      <c r="OS75" s="94"/>
      <c r="OT75" s="94"/>
      <c r="OU75" s="94"/>
      <c r="OV75" s="94"/>
      <c r="OW75" s="94"/>
      <c r="OX75" s="94"/>
      <c r="OY75" s="94"/>
      <c r="OZ75" s="94"/>
      <c r="PA75" s="94"/>
      <c r="PB75" s="94"/>
      <c r="PC75" s="94"/>
      <c r="PD75" s="94"/>
      <c r="PE75" s="94"/>
      <c r="PF75" s="94"/>
      <c r="PG75" s="94"/>
      <c r="PH75" s="94"/>
      <c r="PI75" s="94"/>
      <c r="PJ75" s="94"/>
      <c r="PK75" s="94"/>
      <c r="PL75" s="94"/>
      <c r="PM75" s="94"/>
      <c r="PN75" s="94"/>
      <c r="PO75" s="94"/>
      <c r="PP75" s="94"/>
      <c r="PQ75" s="94"/>
      <c r="PR75" s="94"/>
      <c r="PS75" s="94"/>
      <c r="PT75" s="94"/>
      <c r="PU75" s="94"/>
      <c r="PV75" s="94"/>
      <c r="PW75" s="94"/>
      <c r="PX75" s="94"/>
      <c r="PY75" s="94"/>
      <c r="PZ75" s="94"/>
      <c r="QA75" s="94"/>
      <c r="QB75" s="94"/>
      <c r="QC75" s="94"/>
      <c r="QD75" s="94"/>
      <c r="QE75" s="94"/>
      <c r="QF75" s="94"/>
      <c r="QG75" s="94"/>
      <c r="QH75" s="94"/>
      <c r="QI75" s="94"/>
      <c r="QJ75" s="94"/>
      <c r="QK75" s="94"/>
      <c r="QL75" s="94"/>
      <c r="QM75" s="94"/>
      <c r="QN75" s="94"/>
      <c r="QO75" s="94"/>
      <c r="QP75" s="94"/>
      <c r="QQ75" s="94"/>
      <c r="QR75" s="94"/>
      <c r="QS75" s="94"/>
      <c r="QT75" s="94"/>
      <c r="QU75" s="94"/>
      <c r="QV75" s="94"/>
      <c r="QW75" s="94"/>
      <c r="QX75" s="94"/>
      <c r="QY75" s="94"/>
      <c r="QZ75" s="94"/>
      <c r="RA75" s="94"/>
      <c r="RB75" s="94"/>
      <c r="RC75" s="94"/>
      <c r="RD75" s="94"/>
      <c r="RE75" s="94"/>
      <c r="RF75" s="94"/>
      <c r="RG75" s="94"/>
      <c r="RH75" s="94"/>
      <c r="RI75" s="94"/>
      <c r="RJ75" s="94"/>
      <c r="RK75" s="94"/>
      <c r="RL75" s="94"/>
      <c r="RM75" s="94"/>
      <c r="RN75" s="94"/>
      <c r="RO75" s="94"/>
      <c r="RP75" s="94"/>
      <c r="RQ75" s="94"/>
      <c r="RR75" s="94"/>
      <c r="RS75" s="94"/>
      <c r="RT75" s="94"/>
      <c r="RU75" s="94"/>
      <c r="RV75" s="94"/>
      <c r="RW75" s="94"/>
      <c r="RX75" s="94"/>
      <c r="RY75" s="94"/>
      <c r="RZ75" s="94"/>
      <c r="SA75" s="94"/>
      <c r="SB75" s="94"/>
      <c r="SC75" s="94"/>
      <c r="SD75" s="94"/>
      <c r="SE75" s="94"/>
      <c r="SF75" s="94"/>
      <c r="SG75" s="94"/>
      <c r="SH75" s="94"/>
      <c r="SI75" s="94"/>
      <c r="SJ75" s="94"/>
      <c r="SK75" s="94"/>
      <c r="SL75" s="94"/>
      <c r="SM75" s="94"/>
      <c r="SN75" s="94"/>
      <c r="SO75" s="94"/>
      <c r="SP75" s="94"/>
      <c r="SQ75" s="94"/>
      <c r="SR75" s="94"/>
      <c r="SS75" s="94"/>
      <c r="ST75" s="94"/>
      <c r="SU75" s="94"/>
      <c r="SV75" s="94"/>
      <c r="SW75" s="94"/>
      <c r="SX75" s="94"/>
      <c r="SY75" s="94"/>
      <c r="SZ75" s="94"/>
      <c r="TA75" s="94"/>
      <c r="TB75" s="94"/>
      <c r="TC75" s="94"/>
      <c r="TD75" s="94"/>
      <c r="TE75" s="94"/>
      <c r="TF75" s="94"/>
      <c r="TG75" s="94"/>
      <c r="TH75" s="94"/>
      <c r="TI75" s="94"/>
      <c r="TJ75" s="94"/>
      <c r="TK75" s="94"/>
      <c r="TL75" s="94"/>
      <c r="TM75" s="94"/>
      <c r="TN75" s="94"/>
      <c r="TO75" s="94"/>
      <c r="TP75" s="94"/>
      <c r="TQ75" s="94"/>
      <c r="TR75" s="94"/>
      <c r="TS75" s="94"/>
      <c r="TT75" s="94"/>
      <c r="TU75" s="94"/>
      <c r="TV75" s="94"/>
      <c r="TW75" s="94"/>
      <c r="TX75" s="94"/>
      <c r="TY75" s="94"/>
      <c r="TZ75" s="94"/>
      <c r="UA75" s="94"/>
      <c r="UB75" s="94"/>
      <c r="UC75" s="94"/>
      <c r="UD75" s="94"/>
      <c r="UE75" s="94"/>
      <c r="UF75" s="94"/>
      <c r="UG75" s="94"/>
      <c r="UH75" s="94"/>
      <c r="UI75" s="94"/>
      <c r="UJ75" s="94"/>
      <c r="UK75" s="94"/>
      <c r="UL75" s="94"/>
      <c r="UM75" s="94"/>
      <c r="UN75" s="94"/>
      <c r="UO75" s="94"/>
      <c r="UP75" s="94"/>
      <c r="UQ75" s="94"/>
      <c r="UR75" s="94"/>
      <c r="US75" s="94"/>
      <c r="UT75" s="94"/>
      <c r="UU75" s="94"/>
      <c r="UV75" s="94"/>
      <c r="UW75" s="94"/>
      <c r="UX75" s="94"/>
      <c r="UY75" s="94"/>
      <c r="UZ75" s="94"/>
      <c r="VA75" s="94"/>
      <c r="VB75" s="94"/>
      <c r="VC75" s="94"/>
      <c r="VD75" s="94"/>
      <c r="VE75" s="94"/>
      <c r="VF75" s="94"/>
      <c r="VG75" s="94"/>
      <c r="VH75" s="94"/>
      <c r="VI75" s="94"/>
      <c r="VJ75" s="94"/>
      <c r="VK75" s="94"/>
      <c r="VL75" s="94"/>
      <c r="VM75" s="94"/>
      <c r="VN75" s="94"/>
      <c r="VO75" s="94"/>
      <c r="VP75" s="94"/>
      <c r="VQ75" s="94"/>
      <c r="VR75" s="94"/>
      <c r="VS75" s="94"/>
      <c r="VT75" s="94"/>
      <c r="VU75" s="94"/>
      <c r="VV75" s="94"/>
      <c r="VW75" s="94"/>
      <c r="VX75" s="94"/>
      <c r="VY75" s="94"/>
      <c r="VZ75" s="94"/>
      <c r="WA75" s="94"/>
      <c r="WB75" s="94"/>
      <c r="WC75" s="94"/>
      <c r="WD75" s="94"/>
      <c r="WE75" s="94"/>
      <c r="WF75" s="94"/>
      <c r="WG75" s="94"/>
      <c r="WH75" s="94"/>
      <c r="WI75" s="94"/>
      <c r="WJ75" s="94"/>
      <c r="WK75" s="94"/>
      <c r="WL75" s="94"/>
      <c r="WM75" s="94"/>
      <c r="WN75" s="94"/>
      <c r="WO75" s="94"/>
      <c r="WP75" s="94"/>
      <c r="WQ75" s="94"/>
      <c r="WR75" s="94"/>
      <c r="WS75" s="94"/>
      <c r="WT75" s="94"/>
      <c r="WU75" s="94"/>
      <c r="WV75" s="94"/>
      <c r="WW75" s="94"/>
      <c r="WX75" s="94"/>
      <c r="WY75" s="94"/>
      <c r="WZ75" s="94"/>
      <c r="XA75" s="94"/>
      <c r="XB75" s="94"/>
      <c r="XC75" s="94"/>
      <c r="XD75" s="94"/>
      <c r="XE75" s="94"/>
      <c r="XF75" s="94"/>
      <c r="XG75" s="94"/>
      <c r="XH75" s="94"/>
      <c r="XI75" s="94"/>
      <c r="XJ75" s="94"/>
      <c r="XK75" s="94"/>
      <c r="XL75" s="94"/>
      <c r="XM75" s="94"/>
      <c r="XN75" s="94"/>
      <c r="XO75" s="94"/>
      <c r="XP75" s="94"/>
      <c r="XQ75" s="94"/>
      <c r="XR75" s="94"/>
      <c r="XS75" s="94"/>
      <c r="XT75" s="94"/>
      <c r="XU75" s="94"/>
      <c r="XV75" s="94"/>
      <c r="XW75" s="94"/>
      <c r="XX75" s="94"/>
      <c r="XY75" s="94"/>
      <c r="XZ75" s="94"/>
      <c r="YA75" s="94"/>
      <c r="YB75" s="94"/>
      <c r="YC75" s="94"/>
      <c r="YD75" s="94"/>
      <c r="YE75" s="94"/>
      <c r="YF75" s="94"/>
      <c r="YG75" s="94"/>
      <c r="YH75" s="94"/>
      <c r="YI75" s="94"/>
      <c r="YJ75" s="94"/>
      <c r="YK75" s="94"/>
      <c r="YL75" s="94"/>
      <c r="YM75" s="94"/>
      <c r="YN75" s="94"/>
      <c r="YO75" s="94"/>
      <c r="YP75" s="94"/>
      <c r="YQ75" s="94"/>
      <c r="YR75" s="94"/>
      <c r="YS75" s="94"/>
      <c r="YT75" s="94"/>
      <c r="YU75" s="94"/>
      <c r="YV75" s="94"/>
      <c r="YW75" s="94"/>
      <c r="YX75" s="94"/>
      <c r="YY75" s="94"/>
      <c r="YZ75" s="94"/>
      <c r="ZA75" s="94"/>
      <c r="ZB75" s="94"/>
      <c r="ZC75" s="94"/>
      <c r="ZD75" s="94"/>
      <c r="ZE75" s="94"/>
      <c r="ZF75" s="94"/>
      <c r="ZG75" s="94"/>
      <c r="ZH75" s="94"/>
      <c r="ZI75" s="94"/>
      <c r="ZJ75" s="94"/>
      <c r="ZK75" s="94"/>
      <c r="ZL75" s="94"/>
      <c r="ZM75" s="94"/>
      <c r="ZN75" s="94"/>
      <c r="ZO75" s="94"/>
      <c r="ZP75" s="94"/>
      <c r="ZQ75" s="94"/>
      <c r="ZR75" s="94"/>
      <c r="ZS75" s="94"/>
      <c r="ZT75" s="94"/>
      <c r="ZU75" s="94"/>
      <c r="ZV75" s="94"/>
      <c r="ZW75" s="94"/>
      <c r="ZX75" s="94"/>
      <c r="ZY75" s="94"/>
      <c r="ZZ75" s="94"/>
      <c r="AAA75" s="94"/>
      <c r="AAB75" s="94"/>
      <c r="AAC75" s="94"/>
      <c r="AAD75" s="94"/>
      <c r="AAE75" s="94"/>
      <c r="AAF75" s="94"/>
      <c r="AAG75" s="94"/>
      <c r="AAH75" s="94"/>
      <c r="AAI75" s="94"/>
      <c r="AAJ75" s="94"/>
      <c r="AAK75" s="94"/>
      <c r="AAL75" s="94"/>
      <c r="AAM75" s="94"/>
      <c r="AAN75" s="94"/>
      <c r="AAO75" s="94"/>
      <c r="AAP75" s="94"/>
      <c r="AAQ75" s="94"/>
      <c r="AAR75" s="94"/>
      <c r="AAS75" s="94"/>
      <c r="AAT75" s="94"/>
      <c r="AAU75" s="94"/>
      <c r="AAV75" s="94"/>
      <c r="AAW75" s="94"/>
      <c r="AAX75" s="94"/>
      <c r="AAY75" s="94"/>
      <c r="AAZ75" s="94"/>
      <c r="ABA75" s="94"/>
      <c r="ABB75" s="94"/>
      <c r="ABC75" s="94"/>
      <c r="ABD75" s="94"/>
      <c r="ABE75" s="94"/>
      <c r="ABF75" s="94"/>
      <c r="ABG75" s="94"/>
      <c r="ABH75" s="94"/>
      <c r="ABI75" s="94"/>
      <c r="ABJ75" s="94"/>
      <c r="ABK75" s="94"/>
      <c r="ABL75" s="94"/>
      <c r="ABM75" s="94"/>
      <c r="ABN75" s="94"/>
      <c r="ABO75" s="94"/>
      <c r="ABP75" s="94"/>
      <c r="ABQ75" s="94"/>
      <c r="ABR75" s="94"/>
      <c r="ABS75" s="94"/>
      <c r="ABT75" s="94"/>
      <c r="ABU75" s="94"/>
      <c r="ABV75" s="94"/>
      <c r="ABW75" s="94"/>
      <c r="ABX75" s="94"/>
      <c r="ABY75" s="94"/>
      <c r="ABZ75" s="94"/>
      <c r="ACA75" s="94"/>
      <c r="ACB75" s="94"/>
      <c r="ACC75" s="94"/>
      <c r="ACD75" s="94"/>
      <c r="ACE75" s="94"/>
      <c r="ACF75" s="94"/>
      <c r="ACG75" s="94"/>
      <c r="ACH75" s="94"/>
      <c r="ACI75" s="94"/>
      <c r="ACJ75" s="94"/>
      <c r="ACK75" s="94"/>
      <c r="ACL75" s="94"/>
      <c r="ACM75" s="94"/>
      <c r="ACN75" s="94"/>
      <c r="ACO75" s="94"/>
      <c r="ACP75" s="94"/>
      <c r="ACQ75" s="94"/>
      <c r="ACR75" s="94"/>
      <c r="ACS75" s="94"/>
      <c r="ACT75" s="94"/>
      <c r="ACU75" s="94"/>
      <c r="ACV75" s="94"/>
      <c r="ACW75" s="94"/>
      <c r="ACX75" s="94"/>
      <c r="ACY75" s="94"/>
      <c r="ACZ75" s="94"/>
      <c r="ADA75" s="94"/>
      <c r="ADB75" s="94"/>
      <c r="ADC75" s="94"/>
      <c r="ADD75" s="94"/>
      <c r="ADE75" s="94"/>
      <c r="ADF75" s="94"/>
      <c r="ADG75" s="94"/>
      <c r="ADH75" s="94"/>
      <c r="ADI75" s="94"/>
      <c r="ADJ75" s="94"/>
      <c r="ADK75" s="94"/>
      <c r="ADL75" s="94"/>
      <c r="ADM75" s="94"/>
      <c r="ADN75" s="94"/>
      <c r="ADO75" s="94"/>
      <c r="ADP75" s="94"/>
      <c r="ADQ75" s="94"/>
      <c r="ADR75" s="94"/>
      <c r="ADS75" s="94"/>
      <c r="ADT75" s="94"/>
      <c r="ADU75" s="94"/>
      <c r="ADV75" s="94"/>
      <c r="ADW75" s="94"/>
      <c r="ADX75" s="94"/>
      <c r="ADY75" s="94"/>
      <c r="ADZ75" s="94"/>
      <c r="AEA75" s="94"/>
      <c r="AEB75" s="94"/>
      <c r="AEC75" s="94"/>
      <c r="AED75" s="94"/>
      <c r="AEE75" s="94"/>
      <c r="AEF75" s="94"/>
      <c r="AEG75" s="94"/>
      <c r="AEH75" s="94"/>
      <c r="AEI75" s="94"/>
      <c r="AEJ75" s="94"/>
      <c r="AEK75" s="94"/>
      <c r="AEL75" s="94"/>
      <c r="AEM75" s="94"/>
      <c r="AEN75" s="94"/>
      <c r="AEO75" s="94"/>
      <c r="AEP75" s="94"/>
      <c r="AEQ75" s="94"/>
      <c r="AER75" s="94"/>
      <c r="AES75" s="94"/>
      <c r="AET75" s="94"/>
      <c r="AEU75" s="94"/>
      <c r="AEV75" s="94"/>
      <c r="AEW75" s="94"/>
      <c r="AEX75" s="94"/>
      <c r="AEY75" s="94"/>
      <c r="AEZ75" s="94"/>
      <c r="AFA75" s="94"/>
      <c r="AFB75" s="94"/>
      <c r="AFC75" s="94"/>
      <c r="AFD75" s="94"/>
      <c r="AFE75" s="94"/>
      <c r="AFF75" s="94"/>
      <c r="AFG75" s="94"/>
      <c r="AFH75" s="94"/>
      <c r="AFI75" s="94"/>
      <c r="AFJ75" s="94"/>
      <c r="AFK75" s="94"/>
      <c r="AFL75" s="94"/>
      <c r="AFM75" s="94"/>
      <c r="AFN75" s="94"/>
      <c r="AFO75" s="94"/>
      <c r="AFP75" s="94"/>
      <c r="AFQ75" s="94"/>
      <c r="AFR75" s="94"/>
      <c r="AFS75" s="94"/>
      <c r="AFT75" s="94"/>
      <c r="AFU75" s="94"/>
      <c r="AFV75" s="94"/>
      <c r="AFW75" s="94"/>
      <c r="AFX75" s="94"/>
      <c r="AFY75" s="94"/>
      <c r="AFZ75" s="94"/>
      <c r="AGA75" s="94"/>
      <c r="AGB75" s="94"/>
      <c r="AGC75" s="94"/>
      <c r="AGD75" s="94"/>
      <c r="AGE75" s="94"/>
      <c r="AGF75" s="94"/>
      <c r="AGG75" s="94"/>
      <c r="AGH75" s="94"/>
      <c r="AGI75" s="94"/>
      <c r="AGJ75" s="94"/>
      <c r="AGK75" s="94"/>
      <c r="AGL75" s="94"/>
      <c r="AGM75" s="94"/>
      <c r="AGN75" s="94"/>
      <c r="AGO75" s="94"/>
      <c r="AGP75" s="94"/>
      <c r="AGQ75" s="94"/>
      <c r="AGR75" s="94"/>
      <c r="AGS75" s="94"/>
      <c r="AGT75" s="94"/>
      <c r="AGU75" s="94"/>
      <c r="AGV75" s="94"/>
      <c r="AGW75" s="94"/>
      <c r="AGX75" s="94"/>
      <c r="AGY75" s="94"/>
      <c r="AGZ75" s="94"/>
      <c r="AHA75" s="94"/>
      <c r="AHB75" s="94"/>
      <c r="AHC75" s="94"/>
      <c r="AHD75" s="94"/>
      <c r="AHE75" s="94"/>
      <c r="AHF75" s="94"/>
      <c r="AHG75" s="94"/>
      <c r="AHH75" s="94"/>
      <c r="AHI75" s="94"/>
      <c r="AHJ75" s="94"/>
      <c r="AHK75" s="94"/>
      <c r="AHL75" s="94"/>
      <c r="AHM75" s="94"/>
      <c r="AHN75" s="94"/>
      <c r="AHO75" s="94"/>
      <c r="AHP75" s="94"/>
      <c r="AHQ75" s="94"/>
      <c r="AHR75" s="94"/>
      <c r="AHS75" s="94"/>
      <c r="AHT75" s="94"/>
      <c r="AHU75" s="94"/>
      <c r="AHV75" s="94"/>
      <c r="AHW75" s="94"/>
      <c r="AHX75" s="94"/>
      <c r="AHY75" s="94"/>
      <c r="AHZ75" s="94"/>
      <c r="AIA75" s="94"/>
      <c r="AIB75" s="94"/>
      <c r="AIC75" s="94"/>
      <c r="AID75" s="94"/>
      <c r="AIE75" s="94"/>
      <c r="AIF75" s="94"/>
      <c r="AIG75" s="94"/>
      <c r="AIH75" s="94"/>
      <c r="AII75" s="94"/>
      <c r="AIJ75" s="94"/>
      <c r="AIK75" s="94"/>
      <c r="AIL75" s="94"/>
      <c r="AIM75" s="94"/>
      <c r="AIN75" s="94"/>
      <c r="AIO75" s="94"/>
      <c r="AIP75" s="94"/>
      <c r="AIQ75" s="94"/>
      <c r="AIR75" s="94"/>
      <c r="AIS75" s="94"/>
      <c r="AIT75" s="94"/>
      <c r="AIU75" s="94"/>
      <c r="AIV75" s="94"/>
      <c r="AIW75" s="94"/>
      <c r="AIX75" s="94"/>
      <c r="AIY75" s="94"/>
      <c r="AIZ75" s="94"/>
      <c r="AJA75" s="94"/>
      <c r="AJB75" s="94"/>
      <c r="AJC75" s="94"/>
      <c r="AJD75" s="94"/>
      <c r="AJE75" s="94"/>
      <c r="AJF75" s="94"/>
      <c r="AJG75" s="94"/>
      <c r="AJH75" s="94"/>
      <c r="AJI75" s="94"/>
      <c r="AJJ75" s="94"/>
      <c r="AJK75" s="94"/>
      <c r="AJL75" s="94"/>
      <c r="AJM75" s="94"/>
      <c r="AJN75" s="94"/>
      <c r="AJO75" s="94"/>
      <c r="AJP75" s="94"/>
      <c r="AJQ75" s="94"/>
      <c r="AJR75" s="94"/>
      <c r="AJS75" s="94"/>
      <c r="AJT75" s="94"/>
      <c r="AJU75" s="94"/>
      <c r="AJV75" s="94"/>
      <c r="AJW75" s="94"/>
      <c r="AJX75" s="94"/>
      <c r="AJY75" s="94"/>
      <c r="AJZ75" s="94"/>
      <c r="AKA75" s="94"/>
      <c r="AKB75" s="94"/>
      <c r="AKC75" s="94"/>
      <c r="AKD75" s="94"/>
      <c r="AKE75" s="94"/>
      <c r="AKF75" s="94"/>
      <c r="AKG75" s="94"/>
      <c r="AKH75" s="94"/>
      <c r="AKI75" s="94"/>
      <c r="AKJ75" s="94"/>
      <c r="AKK75" s="94"/>
      <c r="AKL75" s="94"/>
      <c r="AKM75" s="94"/>
      <c r="AKN75" s="94"/>
      <c r="AKO75" s="94"/>
      <c r="AKP75" s="94"/>
      <c r="AKQ75" s="94"/>
      <c r="AKR75" s="94"/>
      <c r="AKS75" s="94"/>
      <c r="AKT75" s="94"/>
      <c r="AKU75" s="94"/>
      <c r="AKV75" s="94"/>
      <c r="AKW75" s="94"/>
      <c r="AKX75" s="94"/>
      <c r="AKY75" s="94"/>
      <c r="AKZ75" s="94"/>
      <c r="ALA75" s="94"/>
      <c r="ALB75" s="94"/>
      <c r="ALC75" s="94"/>
      <c r="ALD75" s="94"/>
      <c r="ALE75" s="94"/>
      <c r="ALF75" s="94"/>
      <c r="ALG75" s="94"/>
      <c r="ALH75" s="94"/>
      <c r="ALI75" s="94"/>
      <c r="ALJ75" s="94"/>
      <c r="ALK75" s="94"/>
      <c r="ALL75" s="94"/>
      <c r="ALM75" s="94"/>
      <c r="ALN75" s="94"/>
      <c r="ALO75" s="94"/>
      <c r="ALP75" s="94"/>
      <c r="ALQ75" s="94"/>
      <c r="ALR75" s="94"/>
      <c r="ALS75" s="94"/>
      <c r="ALT75" s="94"/>
      <c r="ALU75" s="94"/>
      <c r="ALV75" s="94"/>
      <c r="ALW75" s="94"/>
      <c r="ALX75" s="94"/>
      <c r="ALY75" s="94"/>
      <c r="ALZ75" s="94"/>
      <c r="AMA75" s="94"/>
      <c r="AMB75" s="94"/>
      <c r="AMC75" s="94"/>
      <c r="AMD75" s="94"/>
      <c r="AME75" s="94"/>
      <c r="AMF75" s="94"/>
      <c r="AMG75" s="94"/>
      <c r="AMH75" s="94"/>
      <c r="AMI75" s="94"/>
      <c r="AMJ75" s="94"/>
      <c r="AMK75" s="94"/>
      <c r="AML75" s="94"/>
      <c r="AMM75" s="94"/>
      <c r="AMN75" s="94"/>
      <c r="AMO75" s="94"/>
      <c r="AMP75" s="94"/>
      <c r="AMQ75" s="94"/>
      <c r="AMR75" s="94"/>
      <c r="AMS75" s="94"/>
      <c r="AMT75" s="94"/>
      <c r="AMU75" s="94"/>
      <c r="AMV75" s="94"/>
      <c r="AMW75" s="94"/>
      <c r="AMX75" s="94"/>
      <c r="AMY75" s="94"/>
      <c r="AMZ75" s="94"/>
      <c r="ANA75" s="94"/>
      <c r="ANB75" s="94"/>
      <c r="ANC75" s="94"/>
      <c r="AND75" s="94"/>
      <c r="ANE75" s="94"/>
      <c r="ANF75" s="94"/>
      <c r="ANG75" s="94"/>
      <c r="ANH75" s="94"/>
      <c r="ANI75" s="94"/>
      <c r="ANJ75" s="94"/>
      <c r="ANK75" s="94"/>
      <c r="ANL75" s="94"/>
      <c r="ANM75" s="94"/>
      <c r="ANN75" s="94"/>
      <c r="ANO75" s="94"/>
      <c r="ANP75" s="94"/>
      <c r="ANQ75" s="94"/>
      <c r="ANR75" s="94"/>
      <c r="ANS75" s="94"/>
      <c r="ANT75" s="94"/>
      <c r="ANU75" s="94"/>
      <c r="ANV75" s="94"/>
      <c r="ANW75" s="94"/>
      <c r="ANX75" s="94"/>
      <c r="ANY75" s="94"/>
      <c r="ANZ75" s="94"/>
      <c r="AOA75" s="94"/>
      <c r="AOB75" s="94"/>
      <c r="AOC75" s="94"/>
      <c r="AOD75" s="94"/>
      <c r="AOE75" s="94"/>
      <c r="AOF75" s="94"/>
      <c r="AOG75" s="94"/>
      <c r="AOH75" s="94"/>
      <c r="AOI75" s="94"/>
      <c r="AOJ75" s="94"/>
      <c r="AOK75" s="94"/>
      <c r="AOL75" s="94"/>
      <c r="AOM75" s="94"/>
      <c r="AON75" s="94"/>
      <c r="AOO75" s="94"/>
      <c r="AOP75" s="94"/>
      <c r="AOQ75" s="94"/>
      <c r="AOR75" s="94"/>
      <c r="AOS75" s="94"/>
      <c r="AOT75" s="94"/>
      <c r="AOU75" s="94"/>
      <c r="AOV75" s="94"/>
      <c r="AOW75" s="94"/>
      <c r="AOX75" s="94"/>
      <c r="AOY75" s="94"/>
      <c r="AOZ75" s="94"/>
      <c r="APA75" s="94"/>
      <c r="APB75" s="94"/>
      <c r="APC75" s="94"/>
      <c r="APD75" s="94"/>
      <c r="APE75" s="94"/>
      <c r="APF75" s="94"/>
      <c r="APG75" s="94"/>
      <c r="APH75" s="94"/>
      <c r="API75" s="94"/>
      <c r="APJ75" s="94"/>
      <c r="APK75" s="94"/>
      <c r="APL75" s="94"/>
      <c r="APM75" s="94"/>
      <c r="APN75" s="94"/>
      <c r="APO75" s="94"/>
      <c r="APP75" s="94"/>
      <c r="APQ75" s="94"/>
      <c r="APR75" s="94"/>
      <c r="APS75" s="94"/>
      <c r="APT75" s="94"/>
      <c r="APU75" s="94"/>
      <c r="APV75" s="94"/>
      <c r="APW75" s="94"/>
      <c r="APX75" s="94"/>
      <c r="APY75" s="94"/>
      <c r="APZ75" s="94"/>
      <c r="AQA75" s="94"/>
      <c r="AQB75" s="94"/>
      <c r="AQC75" s="94"/>
      <c r="AQD75" s="94"/>
      <c r="AQE75" s="94"/>
      <c r="AQF75" s="94"/>
      <c r="AQG75" s="94"/>
      <c r="AQH75" s="94"/>
      <c r="AQI75" s="94"/>
      <c r="AQJ75" s="94"/>
      <c r="AQK75" s="94"/>
      <c r="AQL75" s="94"/>
      <c r="AQM75" s="94"/>
      <c r="AQN75" s="94"/>
      <c r="AQO75" s="94"/>
      <c r="AQP75" s="94"/>
      <c r="AQQ75" s="94"/>
      <c r="AQR75" s="94"/>
      <c r="AQS75" s="94"/>
      <c r="AQT75" s="94"/>
      <c r="AQU75" s="94"/>
      <c r="AQV75" s="94"/>
      <c r="AQW75" s="94"/>
      <c r="AQX75" s="94"/>
      <c r="AQY75" s="94"/>
      <c r="AQZ75" s="94"/>
      <c r="ARA75" s="94"/>
      <c r="ARB75" s="94"/>
      <c r="ARC75" s="94"/>
      <c r="ARD75" s="94"/>
      <c r="ARE75" s="94"/>
      <c r="ARF75" s="94"/>
      <c r="ARG75" s="94"/>
      <c r="ARH75" s="94"/>
      <c r="ARI75" s="94"/>
      <c r="ARJ75" s="94"/>
      <c r="ARK75" s="94"/>
      <c r="ARL75" s="94"/>
      <c r="ARM75" s="94"/>
      <c r="ARN75" s="94"/>
      <c r="ARO75" s="94"/>
      <c r="ARP75" s="94"/>
      <c r="ARQ75" s="94"/>
      <c r="ARR75" s="94"/>
      <c r="ARS75" s="94"/>
      <c r="ART75" s="94"/>
      <c r="ARU75" s="94"/>
      <c r="ARV75" s="94"/>
      <c r="ARW75" s="94"/>
      <c r="ARX75" s="94"/>
      <c r="ARY75" s="94"/>
      <c r="ARZ75" s="94"/>
      <c r="ASA75" s="94"/>
      <c r="ASB75" s="94"/>
      <c r="ASC75" s="94"/>
      <c r="ASD75" s="94"/>
      <c r="ASE75" s="94"/>
      <c r="ASF75" s="94"/>
      <c r="ASG75" s="94"/>
      <c r="ASH75" s="94"/>
      <c r="ASI75" s="94"/>
      <c r="ASJ75" s="94"/>
      <c r="ASK75" s="94"/>
      <c r="ASL75" s="94"/>
      <c r="ASM75" s="94"/>
      <c r="ASN75" s="94"/>
      <c r="ASO75" s="94"/>
      <c r="ASP75" s="94"/>
      <c r="ASQ75" s="94"/>
      <c r="ASR75" s="94"/>
      <c r="ASS75" s="94"/>
      <c r="AST75" s="94"/>
      <c r="ASU75" s="94"/>
      <c r="ASV75" s="94"/>
      <c r="ASW75" s="94"/>
      <c r="ASX75" s="94"/>
      <c r="ASY75" s="94"/>
      <c r="ASZ75" s="94"/>
      <c r="ATA75" s="94"/>
      <c r="ATB75" s="94"/>
      <c r="ATC75" s="94"/>
      <c r="ATD75" s="94"/>
      <c r="ATE75" s="94"/>
      <c r="ATF75" s="94"/>
      <c r="ATG75" s="94"/>
      <c r="ATH75" s="94"/>
      <c r="ATI75" s="94"/>
      <c r="ATJ75" s="94"/>
      <c r="ATK75" s="94"/>
      <c r="ATL75" s="94"/>
      <c r="ATM75" s="94"/>
      <c r="ATN75" s="94"/>
      <c r="ATO75" s="94"/>
      <c r="ATP75" s="94"/>
      <c r="ATQ75" s="94"/>
      <c r="ATR75" s="94"/>
      <c r="ATS75" s="94"/>
      <c r="ATT75" s="94"/>
      <c r="ATU75" s="94"/>
      <c r="ATV75" s="94"/>
      <c r="ATW75" s="94"/>
      <c r="ATX75" s="94"/>
      <c r="ATY75" s="94"/>
      <c r="ATZ75" s="94"/>
      <c r="AUA75" s="94"/>
      <c r="AUB75" s="94"/>
      <c r="AUC75" s="94"/>
      <c r="AUD75" s="94"/>
      <c r="AUE75" s="94"/>
      <c r="AUF75" s="94"/>
      <c r="AUG75" s="94"/>
      <c r="AUH75" s="94"/>
      <c r="AUI75" s="94"/>
      <c r="AUJ75" s="94"/>
      <c r="AUK75" s="94"/>
      <c r="AUL75" s="94"/>
      <c r="AUM75" s="94"/>
      <c r="AUN75" s="94"/>
      <c r="AUO75" s="94"/>
      <c r="AUP75" s="94"/>
      <c r="AUQ75" s="94"/>
      <c r="AUR75" s="94"/>
      <c r="AUS75" s="94"/>
      <c r="AUT75" s="94"/>
      <c r="AUU75" s="94"/>
      <c r="AUV75" s="94"/>
      <c r="AUW75" s="94"/>
      <c r="AUX75" s="94"/>
      <c r="AUY75" s="94"/>
      <c r="AUZ75" s="94"/>
      <c r="AVA75" s="94"/>
      <c r="AVB75" s="94"/>
      <c r="AVC75" s="94"/>
      <c r="AVD75" s="94"/>
      <c r="AVE75" s="94"/>
      <c r="AVF75" s="94"/>
      <c r="AVG75" s="94"/>
      <c r="AVH75" s="94"/>
      <c r="AVI75" s="94"/>
      <c r="AVJ75" s="94"/>
      <c r="AVK75" s="94"/>
      <c r="AVL75" s="94"/>
      <c r="AVM75" s="94"/>
      <c r="AVN75" s="94"/>
      <c r="AVO75" s="94"/>
      <c r="AVP75" s="94"/>
      <c r="AVQ75" s="94"/>
      <c r="AVR75" s="94"/>
      <c r="AVS75" s="94"/>
      <c r="AVT75" s="94"/>
      <c r="AVU75" s="94"/>
      <c r="AVV75" s="94"/>
      <c r="AVW75" s="94"/>
      <c r="AVX75" s="94"/>
      <c r="AVY75" s="94"/>
      <c r="AVZ75" s="94"/>
      <c r="AWA75" s="94"/>
      <c r="AWB75" s="94"/>
      <c r="AWC75" s="94"/>
      <c r="AWD75" s="94"/>
      <c r="AWE75" s="94"/>
      <c r="AWF75" s="94"/>
      <c r="AWG75" s="94"/>
      <c r="AWH75" s="94"/>
      <c r="AWI75" s="94"/>
      <c r="AWJ75" s="94"/>
      <c r="AWK75" s="94"/>
      <c r="AWL75" s="94"/>
      <c r="AWM75" s="94"/>
      <c r="AWN75" s="94"/>
      <c r="AWO75" s="94"/>
      <c r="AWP75" s="94"/>
      <c r="AWQ75" s="94"/>
      <c r="AWR75" s="94"/>
      <c r="AWS75" s="94"/>
      <c r="AWT75" s="94"/>
      <c r="AWU75" s="94"/>
      <c r="AWV75" s="94"/>
      <c r="AWW75" s="94"/>
      <c r="AWX75" s="94"/>
      <c r="AWY75" s="94"/>
      <c r="AWZ75" s="94"/>
      <c r="AXA75" s="94"/>
      <c r="AXB75" s="94"/>
      <c r="AXC75" s="94"/>
      <c r="AXD75" s="94"/>
      <c r="AXE75" s="94"/>
      <c r="AXF75" s="94"/>
      <c r="AXG75" s="94"/>
      <c r="AXH75" s="94"/>
      <c r="AXI75" s="94"/>
      <c r="AXJ75" s="94"/>
      <c r="AXK75" s="94"/>
      <c r="AXL75" s="94"/>
      <c r="AXM75" s="94"/>
      <c r="AXN75" s="94"/>
      <c r="AXO75" s="94"/>
      <c r="AXP75" s="94"/>
      <c r="AXQ75" s="94"/>
      <c r="AXR75" s="94"/>
      <c r="AXS75" s="94"/>
      <c r="AXT75" s="94"/>
      <c r="AXU75" s="94"/>
      <c r="AXV75" s="94"/>
      <c r="AXW75" s="94"/>
      <c r="AXX75" s="94"/>
      <c r="AXY75" s="94"/>
      <c r="AXZ75" s="94"/>
      <c r="AYA75" s="94"/>
      <c r="AYB75" s="94"/>
      <c r="AYC75" s="94"/>
      <c r="AYD75" s="94"/>
      <c r="AYE75" s="94"/>
      <c r="AYF75" s="94"/>
      <c r="AYG75" s="94"/>
      <c r="AYH75" s="94"/>
      <c r="AYI75" s="94"/>
      <c r="AYJ75" s="94"/>
      <c r="AYK75" s="94"/>
      <c r="AYL75" s="94"/>
      <c r="AYM75" s="94"/>
      <c r="AYN75" s="94"/>
      <c r="AYO75" s="94"/>
      <c r="AYP75" s="94"/>
      <c r="AYQ75" s="94"/>
      <c r="AYR75" s="94"/>
      <c r="AYS75" s="94"/>
      <c r="AYT75" s="94"/>
      <c r="AYU75" s="94"/>
      <c r="AYV75" s="94"/>
      <c r="AYW75" s="94"/>
      <c r="AYX75" s="94"/>
      <c r="AYY75" s="94"/>
      <c r="AYZ75" s="94"/>
      <c r="AZA75" s="94"/>
      <c r="AZB75" s="94"/>
      <c r="AZC75" s="94"/>
      <c r="AZD75" s="94"/>
      <c r="AZE75" s="94"/>
      <c r="AZF75" s="94"/>
      <c r="AZG75" s="94"/>
      <c r="AZH75" s="94"/>
      <c r="AZI75" s="94"/>
      <c r="AZJ75" s="94"/>
      <c r="AZK75" s="94"/>
      <c r="AZL75" s="94"/>
      <c r="AZM75" s="94"/>
      <c r="AZN75" s="94"/>
      <c r="AZO75" s="94"/>
      <c r="AZP75" s="94"/>
      <c r="AZQ75" s="94"/>
      <c r="AZR75" s="94"/>
      <c r="AZS75" s="94"/>
      <c r="AZT75" s="94"/>
      <c r="AZU75" s="94"/>
      <c r="AZV75" s="94"/>
      <c r="AZW75" s="94"/>
      <c r="AZX75" s="94"/>
      <c r="AZY75" s="94"/>
      <c r="AZZ75" s="94"/>
      <c r="BAA75" s="94"/>
      <c r="BAB75" s="94"/>
      <c r="BAC75" s="94"/>
      <c r="BAD75" s="94"/>
      <c r="BAE75" s="94"/>
      <c r="BAF75" s="94"/>
      <c r="BAG75" s="94"/>
      <c r="BAH75" s="94"/>
      <c r="BAI75" s="94"/>
      <c r="BAJ75" s="94"/>
      <c r="BAK75" s="94"/>
      <c r="BAL75" s="94"/>
      <c r="BAM75" s="94"/>
      <c r="BAN75" s="94"/>
      <c r="BAO75" s="94"/>
      <c r="BAP75" s="94"/>
      <c r="BAQ75" s="94"/>
      <c r="BAR75" s="94"/>
      <c r="BAS75" s="94"/>
      <c r="BAT75" s="94"/>
      <c r="BAU75" s="94"/>
      <c r="BAV75" s="94"/>
      <c r="BAW75" s="94"/>
      <c r="BAX75" s="94"/>
      <c r="BAY75" s="94"/>
      <c r="BAZ75" s="94"/>
      <c r="BBA75" s="94"/>
      <c r="BBB75" s="94"/>
      <c r="BBC75" s="94"/>
      <c r="BBD75" s="94"/>
      <c r="BBE75" s="94"/>
      <c r="BBF75" s="94"/>
      <c r="BBG75" s="94"/>
      <c r="BBH75" s="94"/>
      <c r="BBI75" s="94"/>
      <c r="BBJ75" s="94"/>
      <c r="BBK75" s="94"/>
      <c r="BBL75" s="94"/>
      <c r="BBM75" s="94"/>
      <c r="BBN75" s="94"/>
      <c r="BBO75" s="94"/>
      <c r="BBP75" s="94"/>
      <c r="BBQ75" s="94"/>
      <c r="BBR75" s="94"/>
      <c r="BBS75" s="94"/>
      <c r="BBT75" s="94"/>
      <c r="BBU75" s="94"/>
      <c r="BBV75" s="94"/>
      <c r="BBW75" s="94"/>
      <c r="BBX75" s="94"/>
      <c r="BBY75" s="94"/>
      <c r="BBZ75" s="94"/>
      <c r="BCA75" s="94"/>
      <c r="BCB75" s="94"/>
      <c r="BCC75" s="94"/>
      <c r="BCD75" s="94"/>
      <c r="BCE75" s="94"/>
      <c r="BCF75" s="94"/>
      <c r="BCG75" s="94"/>
      <c r="BCH75" s="94"/>
      <c r="BCI75" s="94"/>
      <c r="BCJ75" s="94"/>
      <c r="BCK75" s="94"/>
      <c r="BCL75" s="94"/>
      <c r="BCM75" s="94"/>
      <c r="BCN75" s="94"/>
      <c r="BCO75" s="94"/>
      <c r="BCP75" s="94"/>
      <c r="BCQ75" s="94"/>
      <c r="BCR75" s="94"/>
      <c r="BCS75" s="94"/>
      <c r="BCT75" s="94"/>
      <c r="BCU75" s="94"/>
      <c r="BCV75" s="94"/>
      <c r="BCW75" s="94"/>
      <c r="BCX75" s="94"/>
      <c r="BCY75" s="94"/>
      <c r="BCZ75" s="94"/>
      <c r="BDA75" s="94"/>
      <c r="BDB75" s="94"/>
      <c r="BDC75" s="94"/>
      <c r="BDD75" s="94"/>
      <c r="BDE75" s="94"/>
      <c r="BDF75" s="94"/>
      <c r="BDG75" s="94"/>
      <c r="BDH75" s="94"/>
      <c r="BDI75" s="94"/>
      <c r="BDJ75" s="94"/>
      <c r="BDK75" s="94"/>
      <c r="BDL75" s="94"/>
      <c r="BDM75" s="94"/>
      <c r="BDN75" s="94"/>
      <c r="BDO75" s="94"/>
      <c r="BDP75" s="94"/>
      <c r="BDQ75" s="94"/>
      <c r="BDR75" s="94"/>
      <c r="BDS75" s="94"/>
      <c r="BDT75" s="94"/>
      <c r="BDU75" s="94"/>
      <c r="BDV75" s="94"/>
      <c r="BDW75" s="94"/>
      <c r="BDX75" s="94"/>
      <c r="BDY75" s="94"/>
      <c r="BDZ75" s="94"/>
      <c r="BEA75" s="94"/>
      <c r="BEB75" s="94"/>
      <c r="BEC75" s="94"/>
      <c r="BED75" s="94"/>
      <c r="BEE75" s="94"/>
      <c r="BEF75" s="94"/>
      <c r="BEG75" s="94"/>
      <c r="BEH75" s="94"/>
      <c r="BEI75" s="94"/>
      <c r="BEJ75" s="94"/>
      <c r="BEK75" s="94"/>
      <c r="BEL75" s="94"/>
      <c r="BEM75" s="94"/>
      <c r="BEN75" s="94"/>
      <c r="BEO75" s="94"/>
      <c r="BEP75" s="94"/>
      <c r="BEQ75" s="94"/>
      <c r="BER75" s="94"/>
      <c r="BES75" s="94"/>
      <c r="BET75" s="94"/>
      <c r="BEU75" s="94"/>
      <c r="BEV75" s="94"/>
      <c r="BEW75" s="94"/>
      <c r="BEX75" s="94"/>
      <c r="BEY75" s="94"/>
      <c r="BEZ75" s="94"/>
      <c r="BFA75" s="94"/>
      <c r="BFB75" s="94"/>
      <c r="BFC75" s="94"/>
      <c r="BFD75" s="94"/>
      <c r="BFE75" s="94"/>
      <c r="BFF75" s="94"/>
      <c r="BFG75" s="94"/>
      <c r="BFH75" s="94"/>
      <c r="BFI75" s="94"/>
      <c r="BFJ75" s="94"/>
      <c r="BFK75" s="94"/>
      <c r="BFL75" s="94"/>
      <c r="BFM75" s="94"/>
      <c r="BFN75" s="94"/>
      <c r="BFO75" s="94"/>
      <c r="BFP75" s="94"/>
      <c r="BFQ75" s="94"/>
      <c r="BFR75" s="94"/>
      <c r="BFS75" s="94"/>
      <c r="BFT75" s="94"/>
      <c r="BFU75" s="94"/>
      <c r="BFV75" s="94"/>
      <c r="BFW75" s="94"/>
      <c r="BFX75" s="94"/>
      <c r="BFY75" s="94"/>
      <c r="BFZ75" s="94"/>
      <c r="BGA75" s="94"/>
      <c r="BGB75" s="94"/>
      <c r="BGC75" s="94"/>
      <c r="BGD75" s="94"/>
      <c r="BGE75" s="94"/>
      <c r="BGF75" s="94"/>
      <c r="BGG75" s="94"/>
      <c r="BGH75" s="94"/>
      <c r="BGI75" s="94"/>
      <c r="BGJ75" s="94"/>
      <c r="BGK75" s="94"/>
      <c r="BGL75" s="94"/>
      <c r="BGM75" s="94"/>
      <c r="BGN75" s="94"/>
      <c r="BGO75" s="94"/>
      <c r="BGP75" s="94"/>
      <c r="BGQ75" s="94"/>
      <c r="BGR75" s="94"/>
      <c r="BGS75" s="94"/>
      <c r="BGT75" s="94"/>
      <c r="BGU75" s="94"/>
      <c r="BGV75" s="94"/>
      <c r="BGW75" s="94"/>
      <c r="BGX75" s="94"/>
      <c r="BGY75" s="94"/>
      <c r="BGZ75" s="94"/>
      <c r="BHA75" s="94"/>
      <c r="BHB75" s="94"/>
      <c r="BHC75" s="94"/>
      <c r="BHD75" s="94"/>
      <c r="BHE75" s="94"/>
      <c r="BHF75" s="94"/>
      <c r="BHG75" s="94"/>
      <c r="BHH75" s="94"/>
      <c r="BHI75" s="94"/>
      <c r="BHJ75" s="94"/>
      <c r="BHK75" s="94"/>
      <c r="BHL75" s="94"/>
      <c r="BHM75" s="94"/>
      <c r="BHN75" s="94"/>
      <c r="BHO75" s="94"/>
      <c r="BHP75" s="94"/>
      <c r="BHQ75" s="94"/>
      <c r="BHR75" s="94"/>
      <c r="BHS75" s="94"/>
      <c r="BHT75" s="94"/>
      <c r="BHU75" s="94"/>
      <c r="BHV75" s="94"/>
      <c r="BHW75" s="94"/>
      <c r="BHX75" s="94"/>
      <c r="BHY75" s="94"/>
      <c r="BHZ75" s="94"/>
      <c r="BIA75" s="94"/>
      <c r="BIB75" s="94"/>
      <c r="BIC75" s="94"/>
      <c r="BID75" s="94"/>
      <c r="BIE75" s="94"/>
      <c r="BIF75" s="94"/>
      <c r="BIG75" s="94"/>
      <c r="BIH75" s="94"/>
      <c r="BII75" s="94"/>
      <c r="BIJ75" s="94"/>
      <c r="BIK75" s="94"/>
      <c r="BIL75" s="94"/>
      <c r="BIM75" s="94"/>
      <c r="BIN75" s="94"/>
      <c r="BIO75" s="94"/>
      <c r="BIP75" s="94"/>
      <c r="BIQ75" s="94"/>
      <c r="BIR75" s="94"/>
      <c r="BIS75" s="94"/>
      <c r="BIT75" s="94"/>
      <c r="BIU75" s="94"/>
      <c r="BIV75" s="94"/>
      <c r="BIW75" s="94"/>
      <c r="BIX75" s="94"/>
      <c r="BIY75" s="94"/>
      <c r="BIZ75" s="94"/>
      <c r="BJA75" s="94"/>
      <c r="BJB75" s="94"/>
      <c r="BJC75" s="94"/>
      <c r="BJD75" s="94"/>
      <c r="BJE75" s="94"/>
      <c r="BJF75" s="94"/>
      <c r="BJG75" s="94"/>
      <c r="BJH75" s="94"/>
      <c r="BJI75" s="94"/>
      <c r="BJJ75" s="94"/>
      <c r="BJK75" s="94"/>
      <c r="BJL75" s="94"/>
      <c r="BJM75" s="94"/>
      <c r="BJN75" s="94"/>
      <c r="BJO75" s="94"/>
      <c r="BJP75" s="94"/>
      <c r="BJQ75" s="94"/>
      <c r="BJR75" s="94"/>
      <c r="BJS75" s="94"/>
      <c r="BJT75" s="94"/>
      <c r="BJU75" s="94"/>
      <c r="BJV75" s="94"/>
      <c r="BJW75" s="94"/>
      <c r="BJX75" s="94"/>
      <c r="BJY75" s="94"/>
      <c r="BJZ75" s="94"/>
      <c r="BKA75" s="94"/>
      <c r="BKB75" s="94"/>
      <c r="BKC75" s="94"/>
      <c r="BKD75" s="94"/>
      <c r="BKE75" s="94"/>
      <c r="BKF75" s="94"/>
      <c r="BKG75" s="94"/>
      <c r="BKH75" s="94"/>
      <c r="BKI75" s="94"/>
      <c r="BKJ75" s="94"/>
      <c r="BKK75" s="94"/>
      <c r="BKL75" s="94"/>
      <c r="BKM75" s="94"/>
      <c r="BKN75" s="94"/>
      <c r="BKO75" s="94"/>
      <c r="BKP75" s="94"/>
      <c r="BKQ75" s="94"/>
      <c r="BKR75" s="94"/>
      <c r="BKS75" s="94"/>
      <c r="BKT75" s="94"/>
      <c r="BKU75" s="94"/>
      <c r="BKV75" s="94"/>
      <c r="BKW75" s="94"/>
      <c r="BKX75" s="94"/>
      <c r="BKY75" s="94"/>
      <c r="BKZ75" s="94"/>
      <c r="BLA75" s="94"/>
      <c r="BLB75" s="94"/>
      <c r="BLC75" s="94"/>
      <c r="BLD75" s="94"/>
      <c r="BLE75" s="94"/>
      <c r="BLF75" s="94"/>
      <c r="BLG75" s="94"/>
      <c r="BLH75" s="94"/>
      <c r="BLI75" s="94"/>
      <c r="BLJ75" s="94"/>
      <c r="BLK75" s="94"/>
      <c r="BLL75" s="94"/>
      <c r="BLM75" s="94"/>
      <c r="BLN75" s="94"/>
      <c r="BLO75" s="94"/>
      <c r="BLP75" s="94"/>
      <c r="BLQ75" s="94"/>
      <c r="BLR75" s="94"/>
      <c r="BLS75" s="94"/>
      <c r="BLT75" s="94"/>
      <c r="BLU75" s="94"/>
      <c r="BLV75" s="94"/>
      <c r="BLW75" s="94"/>
      <c r="BLX75" s="94"/>
      <c r="BLY75" s="94"/>
      <c r="BLZ75" s="94"/>
      <c r="BMA75" s="94"/>
      <c r="BMB75" s="94"/>
      <c r="BMC75" s="94"/>
      <c r="BMD75" s="94"/>
      <c r="BME75" s="94"/>
      <c r="BMF75" s="94"/>
      <c r="BMG75" s="94"/>
      <c r="BMH75" s="94"/>
      <c r="BMI75" s="94"/>
      <c r="BMJ75" s="94"/>
      <c r="BMK75" s="94"/>
      <c r="BML75" s="94"/>
      <c r="BMM75" s="94"/>
      <c r="BMN75" s="94"/>
      <c r="BMO75" s="94"/>
      <c r="BMP75" s="94"/>
      <c r="BMQ75" s="94"/>
      <c r="BMR75" s="94"/>
      <c r="BMS75" s="94"/>
      <c r="BMT75" s="94"/>
      <c r="BMU75" s="94"/>
      <c r="BMV75" s="94"/>
      <c r="BMW75" s="94"/>
      <c r="BMX75" s="94"/>
      <c r="BMY75" s="94"/>
      <c r="BMZ75" s="94"/>
      <c r="BNA75" s="94"/>
      <c r="BNB75" s="94"/>
      <c r="BNC75" s="94"/>
      <c r="BND75" s="94"/>
      <c r="BNE75" s="94"/>
      <c r="BNF75" s="94"/>
      <c r="BNG75" s="94"/>
      <c r="BNH75" s="94"/>
      <c r="BNI75" s="94"/>
      <c r="BNJ75" s="94"/>
      <c r="BNK75" s="94"/>
      <c r="BNL75" s="94"/>
      <c r="BNM75" s="94"/>
      <c r="BNN75" s="94"/>
      <c r="BNO75" s="94"/>
      <c r="BNP75" s="94"/>
      <c r="BNQ75" s="94"/>
      <c r="BNR75" s="94"/>
      <c r="BNS75" s="94"/>
      <c r="BNT75" s="94"/>
      <c r="BNU75" s="94"/>
      <c r="BNV75" s="94"/>
      <c r="BNW75" s="94"/>
      <c r="BNX75" s="94"/>
      <c r="BNY75" s="94"/>
      <c r="BNZ75" s="94"/>
      <c r="BOA75" s="94"/>
      <c r="BOB75" s="94"/>
      <c r="BOC75" s="94"/>
      <c r="BOD75" s="94"/>
      <c r="BOE75" s="94"/>
      <c r="BOF75" s="94"/>
      <c r="BOG75" s="94"/>
      <c r="BOH75" s="94"/>
      <c r="BOI75" s="94"/>
      <c r="BOJ75" s="94"/>
      <c r="BOK75" s="94"/>
      <c r="BOL75" s="94"/>
      <c r="BOM75" s="94"/>
      <c r="BON75" s="94"/>
      <c r="BOO75" s="94"/>
      <c r="BOP75" s="94"/>
      <c r="BOQ75" s="94"/>
      <c r="BOR75" s="94"/>
      <c r="BOS75" s="94"/>
      <c r="BOT75" s="94"/>
      <c r="BOU75" s="94"/>
      <c r="BOV75" s="94"/>
      <c r="BOW75" s="94"/>
      <c r="BOX75" s="94"/>
      <c r="BOY75" s="94"/>
      <c r="BOZ75" s="94"/>
      <c r="BPA75" s="94"/>
      <c r="BPB75" s="94"/>
      <c r="BPC75" s="94"/>
      <c r="BPD75" s="94"/>
      <c r="BPE75" s="94"/>
      <c r="BPF75" s="94"/>
      <c r="BPG75" s="94"/>
      <c r="BPH75" s="94"/>
      <c r="BPI75" s="94"/>
      <c r="BPJ75" s="94"/>
      <c r="BPK75" s="94"/>
      <c r="BPL75" s="94"/>
      <c r="BPM75" s="94"/>
      <c r="BPN75" s="94"/>
      <c r="BPO75" s="94"/>
      <c r="BPP75" s="94"/>
      <c r="BPQ75" s="94"/>
      <c r="BPR75" s="94"/>
      <c r="BPS75" s="94"/>
      <c r="BPT75" s="94"/>
      <c r="BPU75" s="94"/>
      <c r="BPV75" s="94"/>
      <c r="BPW75" s="94"/>
      <c r="BPX75" s="94"/>
      <c r="BPY75" s="94"/>
      <c r="BPZ75" s="94"/>
      <c r="BQA75" s="94"/>
      <c r="BQB75" s="94"/>
      <c r="BQC75" s="94"/>
      <c r="BQD75" s="94"/>
      <c r="BQE75" s="94"/>
      <c r="BQF75" s="94"/>
      <c r="BQG75" s="94"/>
      <c r="BQH75" s="94"/>
      <c r="BQI75" s="94"/>
      <c r="BQJ75" s="94"/>
      <c r="BQK75" s="94"/>
      <c r="BQL75" s="94"/>
      <c r="BQM75" s="94"/>
      <c r="BQN75" s="94"/>
      <c r="BQO75" s="94"/>
      <c r="BQP75" s="94"/>
      <c r="BQQ75" s="94"/>
      <c r="BQR75" s="94"/>
      <c r="BQS75" s="94"/>
      <c r="BQT75" s="94"/>
      <c r="BQU75" s="94"/>
      <c r="BQV75" s="94"/>
      <c r="BQW75" s="94"/>
      <c r="BQX75" s="94"/>
      <c r="BQY75" s="94"/>
      <c r="BQZ75" s="94"/>
      <c r="BRA75" s="94"/>
      <c r="BRB75" s="94"/>
      <c r="BRC75" s="94"/>
      <c r="BRD75" s="94"/>
      <c r="BRE75" s="94"/>
      <c r="BRF75" s="94"/>
      <c r="BRG75" s="94"/>
      <c r="BRH75" s="94"/>
      <c r="BRI75" s="94"/>
      <c r="BRJ75" s="94"/>
      <c r="BRK75" s="94"/>
      <c r="BRL75" s="94"/>
      <c r="BRM75" s="94"/>
      <c r="BRN75" s="94"/>
      <c r="BRO75" s="94"/>
      <c r="BRP75" s="94"/>
      <c r="BRQ75" s="94"/>
      <c r="BRR75" s="94"/>
      <c r="BRS75" s="94"/>
      <c r="BRT75" s="94"/>
      <c r="BRU75" s="94"/>
      <c r="BRV75" s="94"/>
      <c r="BRW75" s="94"/>
      <c r="BRX75" s="94"/>
      <c r="BRY75" s="94"/>
      <c r="BRZ75" s="94"/>
      <c r="BSA75" s="94"/>
      <c r="BSB75" s="94"/>
      <c r="BSC75" s="94"/>
      <c r="BSD75" s="94"/>
      <c r="BSE75" s="94"/>
      <c r="BSF75" s="94"/>
      <c r="BSG75" s="94"/>
      <c r="BSH75" s="94"/>
      <c r="BSI75" s="94"/>
      <c r="BSJ75" s="94"/>
      <c r="BSK75" s="94"/>
      <c r="BSL75" s="94"/>
      <c r="BSM75" s="94"/>
      <c r="BSN75" s="94"/>
      <c r="BSO75" s="94"/>
      <c r="BSP75" s="94"/>
      <c r="BSQ75" s="94"/>
      <c r="BSR75" s="94"/>
      <c r="BSS75" s="94"/>
      <c r="BST75" s="94"/>
      <c r="BSU75" s="94"/>
      <c r="BSV75" s="94"/>
      <c r="BSW75" s="94"/>
      <c r="BSX75" s="94"/>
      <c r="BSY75" s="94"/>
      <c r="BSZ75" s="94"/>
      <c r="BTA75" s="94"/>
      <c r="BTB75" s="94"/>
      <c r="BTC75" s="94"/>
      <c r="BTD75" s="94"/>
      <c r="BTE75" s="94"/>
      <c r="BTF75" s="94"/>
      <c r="BTG75" s="94"/>
      <c r="BTH75" s="94"/>
      <c r="BTI75" s="94"/>
      <c r="BTJ75" s="94"/>
      <c r="BTK75" s="94"/>
      <c r="BTL75" s="94"/>
      <c r="BTM75" s="94"/>
      <c r="BTN75" s="94"/>
      <c r="BTO75" s="94"/>
      <c r="BTP75" s="94"/>
      <c r="BTQ75" s="94"/>
      <c r="BTR75" s="94"/>
      <c r="BTS75" s="94"/>
      <c r="BTT75" s="94"/>
      <c r="BTU75" s="94"/>
      <c r="BTV75" s="94"/>
      <c r="BTW75" s="94"/>
      <c r="BTX75" s="94"/>
      <c r="BTY75" s="94"/>
      <c r="BTZ75" s="94"/>
      <c r="BUA75" s="94"/>
      <c r="BUB75" s="94"/>
      <c r="BUC75" s="94"/>
      <c r="BUD75" s="94"/>
      <c r="BUE75" s="94"/>
      <c r="BUF75" s="94"/>
      <c r="BUG75" s="94"/>
      <c r="BUH75" s="94"/>
      <c r="BUI75" s="94"/>
      <c r="BUJ75" s="94"/>
      <c r="BUK75" s="94"/>
      <c r="BUL75" s="94"/>
      <c r="BUM75" s="94"/>
      <c r="BUN75" s="94"/>
      <c r="BUO75" s="94"/>
      <c r="BUP75" s="94"/>
      <c r="BUQ75" s="94"/>
      <c r="BUR75" s="94"/>
      <c r="BUS75" s="94"/>
      <c r="BUT75" s="94"/>
      <c r="BUU75" s="94"/>
      <c r="BUV75" s="94"/>
      <c r="BUW75" s="94"/>
      <c r="BUX75" s="94"/>
      <c r="BUY75" s="94"/>
      <c r="BUZ75" s="94"/>
      <c r="BVA75" s="94"/>
      <c r="BVB75" s="94"/>
      <c r="BVC75" s="94"/>
      <c r="BVD75" s="94"/>
      <c r="BVE75" s="94"/>
      <c r="BVF75" s="94"/>
      <c r="BVG75" s="94"/>
      <c r="BVH75" s="94"/>
      <c r="BVI75" s="94"/>
      <c r="BVJ75" s="94"/>
      <c r="BVK75" s="94"/>
      <c r="BVL75" s="94"/>
      <c r="BVM75" s="94"/>
      <c r="BVN75" s="94"/>
      <c r="BVO75" s="94"/>
      <c r="BVP75" s="94"/>
      <c r="BVQ75" s="94"/>
      <c r="BVR75" s="94"/>
      <c r="BVS75" s="94"/>
      <c r="BVT75" s="94"/>
      <c r="BVU75" s="94"/>
      <c r="BVV75" s="94"/>
      <c r="BVW75" s="94"/>
      <c r="BVX75" s="94"/>
      <c r="BVY75" s="94"/>
      <c r="BVZ75" s="94"/>
      <c r="BWA75" s="94"/>
      <c r="BWB75" s="94"/>
      <c r="BWC75" s="94"/>
      <c r="BWD75" s="94"/>
      <c r="BWE75" s="94"/>
      <c r="BWF75" s="94"/>
      <c r="BWG75" s="94"/>
      <c r="BWH75" s="94"/>
      <c r="BWI75" s="94"/>
      <c r="BWJ75" s="94"/>
      <c r="BWK75" s="94"/>
      <c r="BWL75" s="94"/>
      <c r="BWM75" s="94"/>
      <c r="BWN75" s="94"/>
      <c r="BWO75" s="94"/>
      <c r="BWP75" s="94"/>
      <c r="BWQ75" s="94"/>
      <c r="BWR75" s="94"/>
      <c r="BWS75" s="94"/>
      <c r="BWT75" s="94"/>
      <c r="BWU75" s="94"/>
      <c r="BWV75" s="94"/>
      <c r="BWW75" s="94"/>
      <c r="BWX75" s="94"/>
      <c r="BWY75" s="94"/>
      <c r="BWZ75" s="94"/>
      <c r="BXA75" s="94"/>
      <c r="BXB75" s="94"/>
      <c r="BXC75" s="94"/>
      <c r="BXD75" s="94"/>
      <c r="BXE75" s="94"/>
      <c r="BXF75" s="94"/>
      <c r="BXG75" s="94"/>
      <c r="BXH75" s="94"/>
      <c r="BXI75" s="94"/>
      <c r="BXJ75" s="94"/>
      <c r="BXK75" s="94"/>
      <c r="BXL75" s="94"/>
      <c r="BXM75" s="94"/>
      <c r="BXN75" s="94"/>
      <c r="BXO75" s="94"/>
      <c r="BXP75" s="94"/>
      <c r="BXQ75" s="94"/>
      <c r="BXR75" s="94"/>
      <c r="BXS75" s="94"/>
      <c r="BXT75" s="94"/>
      <c r="BXU75" s="94"/>
      <c r="BXV75" s="94"/>
      <c r="BXW75" s="94"/>
      <c r="BXX75" s="94"/>
      <c r="BXY75" s="94"/>
      <c r="BXZ75" s="94"/>
      <c r="BYA75" s="94"/>
      <c r="BYB75" s="94"/>
      <c r="BYC75" s="94"/>
      <c r="BYD75" s="94"/>
      <c r="BYE75" s="94"/>
      <c r="BYF75" s="94"/>
      <c r="BYG75" s="94"/>
    </row>
    <row r="76" spans="1:2009" s="95" customFormat="1" ht="10.5" customHeight="1" x14ac:dyDescent="0.25">
      <c r="A76" s="121"/>
      <c r="B76" s="121"/>
      <c r="C76" s="190"/>
      <c r="D76" s="190"/>
      <c r="E76" s="190"/>
      <c r="F76" s="190"/>
      <c r="G76" s="655"/>
      <c r="H76" s="93"/>
      <c r="I76" s="544"/>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94"/>
      <c r="DO76" s="9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94"/>
      <c r="GD76" s="94"/>
      <c r="GE76" s="94"/>
      <c r="GF76" s="94"/>
      <c r="GG76" s="94"/>
      <c r="GH76" s="94"/>
      <c r="GI76" s="94"/>
      <c r="GJ76" s="94"/>
      <c r="GK76" s="94"/>
      <c r="GL76" s="94"/>
      <c r="GM76" s="94"/>
      <c r="GN76" s="94"/>
      <c r="GO76" s="94"/>
      <c r="GP76" s="94"/>
      <c r="GQ76" s="94"/>
      <c r="GR76" s="94"/>
      <c r="GS76" s="94"/>
      <c r="GT76" s="94"/>
      <c r="GU76" s="94"/>
      <c r="GV76" s="94"/>
      <c r="GW76" s="94"/>
      <c r="GX76" s="94"/>
      <c r="GY76" s="94"/>
      <c r="GZ76" s="94"/>
      <c r="HA76" s="94"/>
      <c r="HB76" s="94"/>
      <c r="HC76" s="94"/>
      <c r="HD76" s="94"/>
      <c r="HE76" s="94"/>
      <c r="HF76" s="94"/>
      <c r="HG76" s="94"/>
      <c r="HH76" s="94"/>
      <c r="HI76" s="94"/>
      <c r="HJ76" s="94"/>
      <c r="HK76" s="94"/>
      <c r="HL76" s="94"/>
      <c r="HM76" s="94"/>
      <c r="HN76" s="94"/>
      <c r="HO76" s="94"/>
      <c r="HP76" s="94"/>
      <c r="HQ76" s="94"/>
      <c r="HR76" s="94"/>
      <c r="HS76" s="94"/>
      <c r="HT76" s="94"/>
      <c r="HU76" s="94"/>
      <c r="HV76" s="94"/>
      <c r="HW76" s="94"/>
      <c r="HX76" s="94"/>
      <c r="HY76" s="94"/>
      <c r="HZ76" s="94"/>
      <c r="IA76" s="94"/>
      <c r="IB76" s="94"/>
      <c r="IC76" s="94"/>
      <c r="ID76" s="94"/>
      <c r="IE76" s="94"/>
      <c r="IF76" s="94"/>
      <c r="IG76" s="94"/>
      <c r="IH76" s="94"/>
      <c r="II76" s="94"/>
      <c r="IJ76" s="94"/>
      <c r="IK76" s="94"/>
      <c r="IL76" s="94"/>
      <c r="IM76" s="94"/>
      <c r="IN76" s="94"/>
      <c r="IO76" s="94"/>
      <c r="IP76" s="94"/>
      <c r="IQ76" s="94"/>
      <c r="IR76" s="94"/>
      <c r="IS76" s="94"/>
      <c r="IT76" s="94"/>
      <c r="IU76" s="94"/>
      <c r="IV76" s="94"/>
      <c r="IW76" s="94"/>
      <c r="IX76" s="94"/>
      <c r="IY76" s="94"/>
      <c r="IZ76" s="94"/>
      <c r="JA76" s="94"/>
      <c r="JB76" s="94"/>
      <c r="JC76" s="94"/>
      <c r="JD76" s="94"/>
      <c r="JE76" s="94"/>
      <c r="JF76" s="94"/>
      <c r="JG76" s="94"/>
      <c r="JH76" s="94"/>
      <c r="JI76" s="94"/>
      <c r="JJ76" s="94"/>
      <c r="JK76" s="94"/>
      <c r="JL76" s="94"/>
      <c r="JM76" s="94"/>
      <c r="JN76" s="94"/>
      <c r="JO76" s="94"/>
      <c r="JP76" s="94"/>
      <c r="JQ76" s="94"/>
      <c r="JR76" s="94"/>
      <c r="JS76" s="94"/>
      <c r="JT76" s="94"/>
      <c r="JU76" s="94"/>
      <c r="JV76" s="94"/>
      <c r="JW76" s="94"/>
      <c r="JX76" s="94"/>
      <c r="JY76" s="94"/>
      <c r="JZ76" s="94"/>
      <c r="KA76" s="94"/>
      <c r="KB76" s="94"/>
      <c r="KC76" s="94"/>
      <c r="KD76" s="94"/>
      <c r="KE76" s="94"/>
      <c r="KF76" s="94"/>
      <c r="KG76" s="94"/>
      <c r="KH76" s="94"/>
      <c r="KI76" s="94"/>
      <c r="KJ76" s="94"/>
      <c r="KK76" s="94"/>
      <c r="KL76" s="94"/>
      <c r="KM76" s="94"/>
      <c r="KN76" s="94"/>
      <c r="KO76" s="94"/>
      <c r="KP76" s="94"/>
      <c r="KQ76" s="94"/>
      <c r="KR76" s="94"/>
      <c r="KS76" s="94"/>
      <c r="KT76" s="94"/>
      <c r="KU76" s="94"/>
      <c r="KV76" s="94"/>
      <c r="KW76" s="94"/>
      <c r="KX76" s="94"/>
      <c r="KY76" s="94"/>
      <c r="KZ76" s="94"/>
      <c r="LA76" s="94"/>
      <c r="LB76" s="94"/>
      <c r="LC76" s="94"/>
      <c r="LD76" s="94"/>
      <c r="LE76" s="94"/>
      <c r="LF76" s="94"/>
      <c r="LG76" s="94"/>
      <c r="LH76" s="94"/>
      <c r="LI76" s="94"/>
      <c r="LJ76" s="94"/>
      <c r="LK76" s="94"/>
      <c r="LL76" s="94"/>
      <c r="LM76" s="94"/>
      <c r="LN76" s="94"/>
      <c r="LO76" s="94"/>
      <c r="LP76" s="94"/>
      <c r="LQ76" s="94"/>
      <c r="LR76" s="94"/>
      <c r="LS76" s="94"/>
      <c r="LT76" s="94"/>
      <c r="LU76" s="94"/>
      <c r="LV76" s="94"/>
      <c r="LW76" s="94"/>
      <c r="LX76" s="94"/>
      <c r="LY76" s="94"/>
      <c r="LZ76" s="94"/>
      <c r="MA76" s="94"/>
      <c r="MB76" s="94"/>
      <c r="MC76" s="94"/>
      <c r="MD76" s="94"/>
      <c r="ME76" s="94"/>
      <c r="MF76" s="94"/>
      <c r="MG76" s="94"/>
      <c r="MH76" s="94"/>
      <c r="MI76" s="94"/>
      <c r="MJ76" s="94"/>
      <c r="MK76" s="94"/>
      <c r="ML76" s="94"/>
      <c r="MM76" s="94"/>
      <c r="MN76" s="94"/>
      <c r="MO76" s="94"/>
      <c r="MP76" s="94"/>
      <c r="MQ76" s="94"/>
      <c r="MR76" s="94"/>
      <c r="MS76" s="94"/>
      <c r="MT76" s="94"/>
      <c r="MU76" s="94"/>
      <c r="MV76" s="94"/>
      <c r="MW76" s="94"/>
      <c r="MX76" s="94"/>
      <c r="MY76" s="94"/>
      <c r="MZ76" s="94"/>
      <c r="NA76" s="94"/>
      <c r="NB76" s="94"/>
      <c r="NC76" s="94"/>
      <c r="ND76" s="94"/>
      <c r="NE76" s="94"/>
      <c r="NF76" s="94"/>
      <c r="NG76" s="94"/>
      <c r="NH76" s="94"/>
      <c r="NI76" s="94"/>
      <c r="NJ76" s="94"/>
      <c r="NK76" s="94"/>
      <c r="NL76" s="94"/>
      <c r="NM76" s="94"/>
      <c r="NN76" s="94"/>
      <c r="NO76" s="94"/>
      <c r="NP76" s="94"/>
      <c r="NQ76" s="94"/>
      <c r="NR76" s="94"/>
      <c r="NS76" s="94"/>
      <c r="NT76" s="94"/>
      <c r="NU76" s="94"/>
      <c r="NV76" s="94"/>
      <c r="NW76" s="94"/>
      <c r="NX76" s="94"/>
      <c r="NY76" s="94"/>
      <c r="NZ76" s="94"/>
      <c r="OA76" s="94"/>
      <c r="OB76" s="94"/>
      <c r="OC76" s="94"/>
      <c r="OD76" s="94"/>
      <c r="OE76" s="94"/>
      <c r="OF76" s="94"/>
      <c r="OG76" s="94"/>
      <c r="OH76" s="94"/>
      <c r="OI76" s="94"/>
      <c r="OJ76" s="94"/>
      <c r="OK76" s="94"/>
      <c r="OL76" s="94"/>
      <c r="OM76" s="94"/>
      <c r="ON76" s="94"/>
      <c r="OO76" s="94"/>
      <c r="OP76" s="94"/>
      <c r="OQ76" s="94"/>
      <c r="OR76" s="94"/>
      <c r="OS76" s="94"/>
      <c r="OT76" s="94"/>
      <c r="OU76" s="94"/>
      <c r="OV76" s="94"/>
      <c r="OW76" s="94"/>
      <c r="OX76" s="94"/>
      <c r="OY76" s="94"/>
      <c r="OZ76" s="94"/>
      <c r="PA76" s="94"/>
      <c r="PB76" s="94"/>
      <c r="PC76" s="94"/>
      <c r="PD76" s="94"/>
      <c r="PE76" s="94"/>
      <c r="PF76" s="94"/>
      <c r="PG76" s="94"/>
      <c r="PH76" s="94"/>
      <c r="PI76" s="94"/>
      <c r="PJ76" s="94"/>
      <c r="PK76" s="94"/>
      <c r="PL76" s="94"/>
      <c r="PM76" s="94"/>
      <c r="PN76" s="94"/>
      <c r="PO76" s="94"/>
      <c r="PP76" s="94"/>
      <c r="PQ76" s="94"/>
      <c r="PR76" s="94"/>
      <c r="PS76" s="94"/>
      <c r="PT76" s="94"/>
      <c r="PU76" s="94"/>
      <c r="PV76" s="94"/>
      <c r="PW76" s="94"/>
      <c r="PX76" s="94"/>
      <c r="PY76" s="94"/>
      <c r="PZ76" s="94"/>
      <c r="QA76" s="94"/>
      <c r="QB76" s="94"/>
      <c r="QC76" s="94"/>
      <c r="QD76" s="94"/>
      <c r="QE76" s="94"/>
      <c r="QF76" s="94"/>
      <c r="QG76" s="94"/>
      <c r="QH76" s="94"/>
      <c r="QI76" s="94"/>
      <c r="QJ76" s="94"/>
      <c r="QK76" s="94"/>
      <c r="QL76" s="94"/>
      <c r="QM76" s="94"/>
      <c r="QN76" s="94"/>
      <c r="QO76" s="94"/>
      <c r="QP76" s="94"/>
      <c r="QQ76" s="94"/>
      <c r="QR76" s="94"/>
      <c r="QS76" s="94"/>
      <c r="QT76" s="94"/>
      <c r="QU76" s="94"/>
      <c r="QV76" s="94"/>
      <c r="QW76" s="94"/>
      <c r="QX76" s="94"/>
      <c r="QY76" s="94"/>
      <c r="QZ76" s="94"/>
      <c r="RA76" s="94"/>
      <c r="RB76" s="94"/>
      <c r="RC76" s="94"/>
      <c r="RD76" s="94"/>
      <c r="RE76" s="94"/>
      <c r="RF76" s="94"/>
      <c r="RG76" s="94"/>
      <c r="RH76" s="94"/>
      <c r="RI76" s="94"/>
      <c r="RJ76" s="94"/>
      <c r="RK76" s="94"/>
      <c r="RL76" s="94"/>
      <c r="RM76" s="94"/>
      <c r="RN76" s="94"/>
      <c r="RO76" s="94"/>
      <c r="RP76" s="94"/>
      <c r="RQ76" s="94"/>
      <c r="RR76" s="94"/>
      <c r="RS76" s="94"/>
      <c r="RT76" s="94"/>
      <c r="RU76" s="94"/>
      <c r="RV76" s="94"/>
      <c r="RW76" s="94"/>
      <c r="RX76" s="94"/>
      <c r="RY76" s="94"/>
      <c r="RZ76" s="94"/>
      <c r="SA76" s="94"/>
      <c r="SB76" s="94"/>
      <c r="SC76" s="94"/>
      <c r="SD76" s="94"/>
      <c r="SE76" s="94"/>
      <c r="SF76" s="94"/>
      <c r="SG76" s="94"/>
      <c r="SH76" s="94"/>
      <c r="SI76" s="94"/>
      <c r="SJ76" s="94"/>
      <c r="SK76" s="94"/>
      <c r="SL76" s="94"/>
      <c r="SM76" s="94"/>
      <c r="SN76" s="94"/>
      <c r="SO76" s="94"/>
      <c r="SP76" s="94"/>
      <c r="SQ76" s="94"/>
      <c r="SR76" s="94"/>
      <c r="SS76" s="94"/>
      <c r="ST76" s="94"/>
      <c r="SU76" s="94"/>
      <c r="SV76" s="94"/>
      <c r="SW76" s="94"/>
      <c r="SX76" s="94"/>
      <c r="SY76" s="94"/>
      <c r="SZ76" s="94"/>
      <c r="TA76" s="94"/>
      <c r="TB76" s="94"/>
      <c r="TC76" s="94"/>
      <c r="TD76" s="94"/>
      <c r="TE76" s="94"/>
      <c r="TF76" s="94"/>
      <c r="TG76" s="94"/>
      <c r="TH76" s="94"/>
      <c r="TI76" s="94"/>
      <c r="TJ76" s="94"/>
      <c r="TK76" s="94"/>
      <c r="TL76" s="94"/>
      <c r="TM76" s="94"/>
      <c r="TN76" s="94"/>
      <c r="TO76" s="94"/>
      <c r="TP76" s="94"/>
      <c r="TQ76" s="94"/>
      <c r="TR76" s="94"/>
      <c r="TS76" s="94"/>
      <c r="TT76" s="94"/>
      <c r="TU76" s="94"/>
      <c r="TV76" s="94"/>
      <c r="TW76" s="94"/>
      <c r="TX76" s="94"/>
      <c r="TY76" s="94"/>
      <c r="TZ76" s="94"/>
      <c r="UA76" s="94"/>
      <c r="UB76" s="94"/>
      <c r="UC76" s="94"/>
      <c r="UD76" s="94"/>
      <c r="UE76" s="94"/>
      <c r="UF76" s="94"/>
      <c r="UG76" s="94"/>
      <c r="UH76" s="94"/>
      <c r="UI76" s="94"/>
      <c r="UJ76" s="94"/>
      <c r="UK76" s="94"/>
      <c r="UL76" s="94"/>
      <c r="UM76" s="94"/>
      <c r="UN76" s="94"/>
      <c r="UO76" s="94"/>
      <c r="UP76" s="94"/>
      <c r="UQ76" s="94"/>
      <c r="UR76" s="94"/>
      <c r="US76" s="94"/>
      <c r="UT76" s="94"/>
      <c r="UU76" s="94"/>
      <c r="UV76" s="94"/>
      <c r="UW76" s="94"/>
      <c r="UX76" s="94"/>
      <c r="UY76" s="94"/>
      <c r="UZ76" s="94"/>
      <c r="VA76" s="94"/>
      <c r="VB76" s="94"/>
      <c r="VC76" s="94"/>
      <c r="VD76" s="94"/>
      <c r="VE76" s="94"/>
      <c r="VF76" s="94"/>
      <c r="VG76" s="94"/>
      <c r="VH76" s="94"/>
      <c r="VI76" s="94"/>
      <c r="VJ76" s="94"/>
      <c r="VK76" s="94"/>
      <c r="VL76" s="94"/>
      <c r="VM76" s="94"/>
      <c r="VN76" s="94"/>
      <c r="VO76" s="94"/>
      <c r="VP76" s="94"/>
      <c r="VQ76" s="94"/>
      <c r="VR76" s="94"/>
      <c r="VS76" s="94"/>
      <c r="VT76" s="94"/>
      <c r="VU76" s="94"/>
      <c r="VV76" s="94"/>
      <c r="VW76" s="94"/>
      <c r="VX76" s="94"/>
      <c r="VY76" s="94"/>
      <c r="VZ76" s="94"/>
      <c r="WA76" s="94"/>
      <c r="WB76" s="94"/>
      <c r="WC76" s="94"/>
      <c r="WD76" s="94"/>
      <c r="WE76" s="94"/>
      <c r="WF76" s="94"/>
      <c r="WG76" s="94"/>
      <c r="WH76" s="94"/>
      <c r="WI76" s="94"/>
      <c r="WJ76" s="94"/>
      <c r="WK76" s="94"/>
      <c r="WL76" s="94"/>
      <c r="WM76" s="94"/>
      <c r="WN76" s="94"/>
      <c r="WO76" s="94"/>
      <c r="WP76" s="94"/>
      <c r="WQ76" s="94"/>
      <c r="WR76" s="94"/>
      <c r="WS76" s="94"/>
      <c r="WT76" s="94"/>
      <c r="WU76" s="94"/>
      <c r="WV76" s="94"/>
      <c r="WW76" s="94"/>
      <c r="WX76" s="94"/>
      <c r="WY76" s="94"/>
      <c r="WZ76" s="94"/>
      <c r="XA76" s="94"/>
      <c r="XB76" s="94"/>
      <c r="XC76" s="94"/>
      <c r="XD76" s="94"/>
      <c r="XE76" s="94"/>
      <c r="XF76" s="94"/>
      <c r="XG76" s="94"/>
      <c r="XH76" s="94"/>
      <c r="XI76" s="94"/>
      <c r="XJ76" s="94"/>
      <c r="XK76" s="94"/>
      <c r="XL76" s="94"/>
      <c r="XM76" s="94"/>
      <c r="XN76" s="94"/>
      <c r="XO76" s="94"/>
      <c r="XP76" s="94"/>
      <c r="XQ76" s="94"/>
      <c r="XR76" s="94"/>
      <c r="XS76" s="94"/>
      <c r="XT76" s="94"/>
      <c r="XU76" s="94"/>
      <c r="XV76" s="94"/>
      <c r="XW76" s="94"/>
      <c r="XX76" s="94"/>
      <c r="XY76" s="94"/>
      <c r="XZ76" s="94"/>
      <c r="YA76" s="94"/>
      <c r="YB76" s="94"/>
      <c r="YC76" s="94"/>
      <c r="YD76" s="94"/>
      <c r="YE76" s="94"/>
      <c r="YF76" s="94"/>
      <c r="YG76" s="94"/>
      <c r="YH76" s="94"/>
      <c r="YI76" s="94"/>
      <c r="YJ76" s="94"/>
      <c r="YK76" s="94"/>
      <c r="YL76" s="94"/>
      <c r="YM76" s="94"/>
      <c r="YN76" s="94"/>
      <c r="YO76" s="94"/>
      <c r="YP76" s="94"/>
      <c r="YQ76" s="94"/>
      <c r="YR76" s="94"/>
      <c r="YS76" s="94"/>
      <c r="YT76" s="94"/>
      <c r="YU76" s="94"/>
      <c r="YV76" s="94"/>
      <c r="YW76" s="94"/>
      <c r="YX76" s="94"/>
      <c r="YY76" s="94"/>
      <c r="YZ76" s="94"/>
      <c r="ZA76" s="94"/>
      <c r="ZB76" s="94"/>
      <c r="ZC76" s="94"/>
      <c r="ZD76" s="94"/>
      <c r="ZE76" s="94"/>
      <c r="ZF76" s="94"/>
      <c r="ZG76" s="94"/>
      <c r="ZH76" s="94"/>
      <c r="ZI76" s="94"/>
      <c r="ZJ76" s="94"/>
      <c r="ZK76" s="94"/>
      <c r="ZL76" s="94"/>
      <c r="ZM76" s="94"/>
      <c r="ZN76" s="94"/>
      <c r="ZO76" s="94"/>
      <c r="ZP76" s="94"/>
      <c r="ZQ76" s="94"/>
      <c r="ZR76" s="94"/>
      <c r="ZS76" s="94"/>
      <c r="ZT76" s="94"/>
      <c r="ZU76" s="94"/>
      <c r="ZV76" s="94"/>
      <c r="ZW76" s="94"/>
      <c r="ZX76" s="94"/>
      <c r="ZY76" s="94"/>
      <c r="ZZ76" s="94"/>
      <c r="AAA76" s="94"/>
      <c r="AAB76" s="94"/>
      <c r="AAC76" s="94"/>
      <c r="AAD76" s="94"/>
      <c r="AAE76" s="94"/>
      <c r="AAF76" s="94"/>
      <c r="AAG76" s="94"/>
      <c r="AAH76" s="94"/>
      <c r="AAI76" s="94"/>
      <c r="AAJ76" s="94"/>
      <c r="AAK76" s="94"/>
      <c r="AAL76" s="94"/>
      <c r="AAM76" s="94"/>
      <c r="AAN76" s="94"/>
      <c r="AAO76" s="94"/>
      <c r="AAP76" s="94"/>
      <c r="AAQ76" s="94"/>
      <c r="AAR76" s="94"/>
      <c r="AAS76" s="94"/>
      <c r="AAT76" s="94"/>
      <c r="AAU76" s="94"/>
      <c r="AAV76" s="94"/>
      <c r="AAW76" s="94"/>
      <c r="AAX76" s="94"/>
      <c r="AAY76" s="94"/>
      <c r="AAZ76" s="94"/>
      <c r="ABA76" s="94"/>
      <c r="ABB76" s="94"/>
      <c r="ABC76" s="94"/>
      <c r="ABD76" s="94"/>
      <c r="ABE76" s="94"/>
      <c r="ABF76" s="94"/>
      <c r="ABG76" s="94"/>
      <c r="ABH76" s="94"/>
      <c r="ABI76" s="94"/>
      <c r="ABJ76" s="94"/>
      <c r="ABK76" s="94"/>
      <c r="ABL76" s="94"/>
      <c r="ABM76" s="94"/>
      <c r="ABN76" s="94"/>
      <c r="ABO76" s="94"/>
      <c r="ABP76" s="94"/>
      <c r="ABQ76" s="94"/>
      <c r="ABR76" s="94"/>
      <c r="ABS76" s="94"/>
      <c r="ABT76" s="94"/>
      <c r="ABU76" s="94"/>
      <c r="ABV76" s="94"/>
      <c r="ABW76" s="94"/>
      <c r="ABX76" s="94"/>
      <c r="ABY76" s="94"/>
      <c r="ABZ76" s="94"/>
      <c r="ACA76" s="94"/>
      <c r="ACB76" s="94"/>
      <c r="ACC76" s="94"/>
      <c r="ACD76" s="94"/>
      <c r="ACE76" s="94"/>
      <c r="ACF76" s="94"/>
      <c r="ACG76" s="94"/>
      <c r="ACH76" s="94"/>
      <c r="ACI76" s="94"/>
      <c r="ACJ76" s="94"/>
      <c r="ACK76" s="94"/>
      <c r="ACL76" s="94"/>
      <c r="ACM76" s="94"/>
      <c r="ACN76" s="94"/>
      <c r="ACO76" s="94"/>
      <c r="ACP76" s="94"/>
      <c r="ACQ76" s="94"/>
      <c r="ACR76" s="94"/>
      <c r="ACS76" s="94"/>
      <c r="ACT76" s="94"/>
      <c r="ACU76" s="94"/>
      <c r="ACV76" s="94"/>
      <c r="ACW76" s="94"/>
      <c r="ACX76" s="94"/>
      <c r="ACY76" s="94"/>
      <c r="ACZ76" s="94"/>
      <c r="ADA76" s="94"/>
      <c r="ADB76" s="94"/>
      <c r="ADC76" s="94"/>
      <c r="ADD76" s="94"/>
      <c r="ADE76" s="94"/>
      <c r="ADF76" s="94"/>
      <c r="ADG76" s="94"/>
      <c r="ADH76" s="94"/>
      <c r="ADI76" s="94"/>
      <c r="ADJ76" s="94"/>
      <c r="ADK76" s="94"/>
      <c r="ADL76" s="94"/>
      <c r="ADM76" s="94"/>
      <c r="ADN76" s="94"/>
      <c r="ADO76" s="94"/>
      <c r="ADP76" s="94"/>
      <c r="ADQ76" s="94"/>
      <c r="ADR76" s="94"/>
      <c r="ADS76" s="94"/>
      <c r="ADT76" s="94"/>
      <c r="ADU76" s="94"/>
      <c r="ADV76" s="94"/>
      <c r="ADW76" s="94"/>
      <c r="ADX76" s="94"/>
      <c r="ADY76" s="94"/>
      <c r="ADZ76" s="94"/>
      <c r="AEA76" s="94"/>
      <c r="AEB76" s="94"/>
      <c r="AEC76" s="94"/>
      <c r="AED76" s="94"/>
      <c r="AEE76" s="94"/>
      <c r="AEF76" s="94"/>
      <c r="AEG76" s="94"/>
      <c r="AEH76" s="94"/>
      <c r="AEI76" s="94"/>
      <c r="AEJ76" s="94"/>
      <c r="AEK76" s="94"/>
      <c r="AEL76" s="94"/>
      <c r="AEM76" s="94"/>
      <c r="AEN76" s="94"/>
      <c r="AEO76" s="94"/>
      <c r="AEP76" s="94"/>
      <c r="AEQ76" s="94"/>
      <c r="AER76" s="94"/>
      <c r="AES76" s="94"/>
      <c r="AET76" s="94"/>
      <c r="AEU76" s="94"/>
      <c r="AEV76" s="94"/>
      <c r="AEW76" s="94"/>
      <c r="AEX76" s="94"/>
      <c r="AEY76" s="94"/>
      <c r="AEZ76" s="94"/>
      <c r="AFA76" s="94"/>
      <c r="AFB76" s="94"/>
      <c r="AFC76" s="94"/>
      <c r="AFD76" s="94"/>
      <c r="AFE76" s="94"/>
      <c r="AFF76" s="94"/>
      <c r="AFG76" s="94"/>
      <c r="AFH76" s="94"/>
      <c r="AFI76" s="94"/>
      <c r="AFJ76" s="94"/>
      <c r="AFK76" s="94"/>
      <c r="AFL76" s="94"/>
      <c r="AFM76" s="94"/>
      <c r="AFN76" s="94"/>
      <c r="AFO76" s="94"/>
      <c r="AFP76" s="94"/>
      <c r="AFQ76" s="94"/>
      <c r="AFR76" s="94"/>
      <c r="AFS76" s="94"/>
      <c r="AFT76" s="94"/>
      <c r="AFU76" s="94"/>
      <c r="AFV76" s="94"/>
      <c r="AFW76" s="94"/>
      <c r="AFX76" s="94"/>
      <c r="AFY76" s="94"/>
      <c r="AFZ76" s="94"/>
      <c r="AGA76" s="94"/>
      <c r="AGB76" s="94"/>
      <c r="AGC76" s="94"/>
      <c r="AGD76" s="94"/>
      <c r="AGE76" s="94"/>
      <c r="AGF76" s="94"/>
      <c r="AGG76" s="94"/>
      <c r="AGH76" s="94"/>
      <c r="AGI76" s="94"/>
      <c r="AGJ76" s="94"/>
      <c r="AGK76" s="94"/>
      <c r="AGL76" s="94"/>
      <c r="AGM76" s="94"/>
      <c r="AGN76" s="94"/>
      <c r="AGO76" s="94"/>
      <c r="AGP76" s="94"/>
      <c r="AGQ76" s="94"/>
      <c r="AGR76" s="94"/>
      <c r="AGS76" s="94"/>
      <c r="AGT76" s="94"/>
      <c r="AGU76" s="94"/>
      <c r="AGV76" s="94"/>
      <c r="AGW76" s="94"/>
      <c r="AGX76" s="94"/>
      <c r="AGY76" s="94"/>
      <c r="AGZ76" s="94"/>
      <c r="AHA76" s="94"/>
      <c r="AHB76" s="94"/>
      <c r="AHC76" s="94"/>
      <c r="AHD76" s="94"/>
      <c r="AHE76" s="94"/>
      <c r="AHF76" s="94"/>
      <c r="AHG76" s="94"/>
      <c r="AHH76" s="94"/>
      <c r="AHI76" s="94"/>
      <c r="AHJ76" s="94"/>
      <c r="AHK76" s="94"/>
      <c r="AHL76" s="94"/>
      <c r="AHM76" s="94"/>
      <c r="AHN76" s="94"/>
      <c r="AHO76" s="94"/>
      <c r="AHP76" s="94"/>
      <c r="AHQ76" s="94"/>
      <c r="AHR76" s="94"/>
      <c r="AHS76" s="94"/>
      <c r="AHT76" s="94"/>
      <c r="AHU76" s="94"/>
      <c r="AHV76" s="94"/>
      <c r="AHW76" s="94"/>
      <c r="AHX76" s="94"/>
      <c r="AHY76" s="94"/>
      <c r="AHZ76" s="94"/>
      <c r="AIA76" s="94"/>
      <c r="AIB76" s="94"/>
      <c r="AIC76" s="94"/>
      <c r="AID76" s="94"/>
      <c r="AIE76" s="94"/>
      <c r="AIF76" s="94"/>
      <c r="AIG76" s="94"/>
      <c r="AIH76" s="94"/>
      <c r="AII76" s="94"/>
      <c r="AIJ76" s="94"/>
      <c r="AIK76" s="94"/>
      <c r="AIL76" s="94"/>
      <c r="AIM76" s="94"/>
      <c r="AIN76" s="94"/>
      <c r="AIO76" s="94"/>
      <c r="AIP76" s="94"/>
      <c r="AIQ76" s="94"/>
      <c r="AIR76" s="94"/>
      <c r="AIS76" s="94"/>
      <c r="AIT76" s="94"/>
      <c r="AIU76" s="94"/>
      <c r="AIV76" s="94"/>
      <c r="AIW76" s="94"/>
      <c r="AIX76" s="94"/>
      <c r="AIY76" s="94"/>
      <c r="AIZ76" s="94"/>
      <c r="AJA76" s="94"/>
      <c r="AJB76" s="94"/>
      <c r="AJC76" s="94"/>
      <c r="AJD76" s="94"/>
      <c r="AJE76" s="94"/>
      <c r="AJF76" s="94"/>
      <c r="AJG76" s="94"/>
      <c r="AJH76" s="94"/>
      <c r="AJI76" s="94"/>
      <c r="AJJ76" s="94"/>
      <c r="AJK76" s="94"/>
      <c r="AJL76" s="94"/>
      <c r="AJM76" s="94"/>
      <c r="AJN76" s="94"/>
      <c r="AJO76" s="94"/>
      <c r="AJP76" s="94"/>
      <c r="AJQ76" s="94"/>
      <c r="AJR76" s="94"/>
      <c r="AJS76" s="94"/>
      <c r="AJT76" s="94"/>
      <c r="AJU76" s="94"/>
      <c r="AJV76" s="94"/>
      <c r="AJW76" s="94"/>
      <c r="AJX76" s="94"/>
      <c r="AJY76" s="94"/>
      <c r="AJZ76" s="94"/>
      <c r="AKA76" s="94"/>
      <c r="AKB76" s="94"/>
      <c r="AKC76" s="94"/>
      <c r="AKD76" s="94"/>
      <c r="AKE76" s="94"/>
      <c r="AKF76" s="94"/>
      <c r="AKG76" s="94"/>
      <c r="AKH76" s="94"/>
      <c r="AKI76" s="94"/>
      <c r="AKJ76" s="94"/>
      <c r="AKK76" s="94"/>
      <c r="AKL76" s="94"/>
      <c r="AKM76" s="94"/>
      <c r="AKN76" s="94"/>
      <c r="AKO76" s="94"/>
      <c r="AKP76" s="94"/>
      <c r="AKQ76" s="94"/>
      <c r="AKR76" s="94"/>
      <c r="AKS76" s="94"/>
      <c r="AKT76" s="94"/>
      <c r="AKU76" s="94"/>
      <c r="AKV76" s="94"/>
      <c r="AKW76" s="94"/>
      <c r="AKX76" s="94"/>
      <c r="AKY76" s="94"/>
      <c r="AKZ76" s="94"/>
      <c r="ALA76" s="94"/>
      <c r="ALB76" s="94"/>
      <c r="ALC76" s="94"/>
      <c r="ALD76" s="94"/>
      <c r="ALE76" s="94"/>
      <c r="ALF76" s="94"/>
      <c r="ALG76" s="94"/>
      <c r="ALH76" s="94"/>
      <c r="ALI76" s="94"/>
      <c r="ALJ76" s="94"/>
      <c r="ALK76" s="94"/>
      <c r="ALL76" s="94"/>
      <c r="ALM76" s="94"/>
      <c r="ALN76" s="94"/>
      <c r="ALO76" s="94"/>
      <c r="ALP76" s="94"/>
      <c r="ALQ76" s="94"/>
      <c r="ALR76" s="94"/>
      <c r="ALS76" s="94"/>
      <c r="ALT76" s="94"/>
      <c r="ALU76" s="94"/>
      <c r="ALV76" s="94"/>
      <c r="ALW76" s="94"/>
      <c r="ALX76" s="94"/>
      <c r="ALY76" s="94"/>
      <c r="ALZ76" s="94"/>
      <c r="AMA76" s="94"/>
      <c r="AMB76" s="94"/>
      <c r="AMC76" s="94"/>
      <c r="AMD76" s="94"/>
      <c r="AME76" s="94"/>
      <c r="AMF76" s="94"/>
      <c r="AMG76" s="94"/>
      <c r="AMH76" s="94"/>
      <c r="AMI76" s="94"/>
      <c r="AMJ76" s="94"/>
      <c r="AMK76" s="94"/>
      <c r="AML76" s="94"/>
      <c r="AMM76" s="94"/>
      <c r="AMN76" s="94"/>
      <c r="AMO76" s="94"/>
      <c r="AMP76" s="94"/>
      <c r="AMQ76" s="94"/>
      <c r="AMR76" s="94"/>
      <c r="AMS76" s="94"/>
      <c r="AMT76" s="94"/>
      <c r="AMU76" s="94"/>
      <c r="AMV76" s="94"/>
      <c r="AMW76" s="94"/>
      <c r="AMX76" s="94"/>
      <c r="AMY76" s="94"/>
      <c r="AMZ76" s="94"/>
      <c r="ANA76" s="94"/>
      <c r="ANB76" s="94"/>
      <c r="ANC76" s="94"/>
      <c r="AND76" s="94"/>
      <c r="ANE76" s="94"/>
      <c r="ANF76" s="94"/>
      <c r="ANG76" s="94"/>
      <c r="ANH76" s="94"/>
      <c r="ANI76" s="94"/>
      <c r="ANJ76" s="94"/>
      <c r="ANK76" s="94"/>
      <c r="ANL76" s="94"/>
      <c r="ANM76" s="94"/>
      <c r="ANN76" s="94"/>
      <c r="ANO76" s="94"/>
      <c r="ANP76" s="94"/>
      <c r="ANQ76" s="94"/>
      <c r="ANR76" s="94"/>
      <c r="ANS76" s="94"/>
      <c r="ANT76" s="94"/>
      <c r="ANU76" s="94"/>
      <c r="ANV76" s="94"/>
      <c r="ANW76" s="94"/>
      <c r="ANX76" s="94"/>
      <c r="ANY76" s="94"/>
      <c r="ANZ76" s="94"/>
      <c r="AOA76" s="94"/>
      <c r="AOB76" s="94"/>
      <c r="AOC76" s="94"/>
      <c r="AOD76" s="94"/>
      <c r="AOE76" s="94"/>
      <c r="AOF76" s="94"/>
      <c r="AOG76" s="94"/>
      <c r="AOH76" s="94"/>
      <c r="AOI76" s="94"/>
      <c r="AOJ76" s="94"/>
      <c r="AOK76" s="94"/>
      <c r="AOL76" s="94"/>
      <c r="AOM76" s="94"/>
      <c r="AON76" s="94"/>
      <c r="AOO76" s="94"/>
      <c r="AOP76" s="94"/>
      <c r="AOQ76" s="94"/>
      <c r="AOR76" s="94"/>
      <c r="AOS76" s="94"/>
      <c r="AOT76" s="94"/>
      <c r="AOU76" s="94"/>
      <c r="AOV76" s="94"/>
      <c r="AOW76" s="94"/>
      <c r="AOX76" s="94"/>
      <c r="AOY76" s="94"/>
      <c r="AOZ76" s="94"/>
      <c r="APA76" s="94"/>
      <c r="APB76" s="94"/>
      <c r="APC76" s="94"/>
      <c r="APD76" s="94"/>
      <c r="APE76" s="94"/>
      <c r="APF76" s="94"/>
      <c r="APG76" s="94"/>
      <c r="APH76" s="94"/>
      <c r="API76" s="94"/>
      <c r="APJ76" s="94"/>
      <c r="APK76" s="94"/>
      <c r="APL76" s="94"/>
      <c r="APM76" s="94"/>
      <c r="APN76" s="94"/>
      <c r="APO76" s="94"/>
      <c r="APP76" s="94"/>
      <c r="APQ76" s="94"/>
      <c r="APR76" s="94"/>
      <c r="APS76" s="94"/>
      <c r="APT76" s="94"/>
      <c r="APU76" s="94"/>
      <c r="APV76" s="94"/>
      <c r="APW76" s="94"/>
      <c r="APX76" s="94"/>
      <c r="APY76" s="94"/>
      <c r="APZ76" s="94"/>
      <c r="AQA76" s="94"/>
      <c r="AQB76" s="94"/>
      <c r="AQC76" s="94"/>
      <c r="AQD76" s="94"/>
      <c r="AQE76" s="94"/>
      <c r="AQF76" s="94"/>
      <c r="AQG76" s="94"/>
      <c r="AQH76" s="94"/>
      <c r="AQI76" s="94"/>
      <c r="AQJ76" s="94"/>
      <c r="AQK76" s="94"/>
      <c r="AQL76" s="94"/>
      <c r="AQM76" s="94"/>
      <c r="AQN76" s="94"/>
      <c r="AQO76" s="94"/>
      <c r="AQP76" s="94"/>
      <c r="AQQ76" s="94"/>
      <c r="AQR76" s="94"/>
      <c r="AQS76" s="94"/>
      <c r="AQT76" s="94"/>
      <c r="AQU76" s="94"/>
      <c r="AQV76" s="94"/>
      <c r="AQW76" s="94"/>
      <c r="AQX76" s="94"/>
      <c r="AQY76" s="94"/>
      <c r="AQZ76" s="94"/>
      <c r="ARA76" s="94"/>
      <c r="ARB76" s="94"/>
      <c r="ARC76" s="94"/>
      <c r="ARD76" s="94"/>
      <c r="ARE76" s="94"/>
      <c r="ARF76" s="94"/>
      <c r="ARG76" s="94"/>
      <c r="ARH76" s="94"/>
      <c r="ARI76" s="94"/>
      <c r="ARJ76" s="94"/>
      <c r="ARK76" s="94"/>
      <c r="ARL76" s="94"/>
      <c r="ARM76" s="94"/>
      <c r="ARN76" s="94"/>
      <c r="ARO76" s="94"/>
      <c r="ARP76" s="94"/>
      <c r="ARQ76" s="94"/>
      <c r="ARR76" s="94"/>
      <c r="ARS76" s="94"/>
      <c r="ART76" s="94"/>
      <c r="ARU76" s="94"/>
      <c r="ARV76" s="94"/>
      <c r="ARW76" s="94"/>
      <c r="ARX76" s="94"/>
      <c r="ARY76" s="94"/>
      <c r="ARZ76" s="94"/>
      <c r="ASA76" s="94"/>
      <c r="ASB76" s="94"/>
      <c r="ASC76" s="94"/>
      <c r="ASD76" s="94"/>
      <c r="ASE76" s="94"/>
      <c r="ASF76" s="94"/>
      <c r="ASG76" s="94"/>
      <c r="ASH76" s="94"/>
      <c r="ASI76" s="94"/>
      <c r="ASJ76" s="94"/>
      <c r="ASK76" s="94"/>
      <c r="ASL76" s="94"/>
      <c r="ASM76" s="94"/>
      <c r="ASN76" s="94"/>
      <c r="ASO76" s="94"/>
      <c r="ASP76" s="94"/>
      <c r="ASQ76" s="94"/>
      <c r="ASR76" s="94"/>
      <c r="ASS76" s="94"/>
      <c r="AST76" s="94"/>
      <c r="ASU76" s="94"/>
      <c r="ASV76" s="94"/>
      <c r="ASW76" s="94"/>
      <c r="ASX76" s="94"/>
      <c r="ASY76" s="94"/>
      <c r="ASZ76" s="94"/>
      <c r="ATA76" s="94"/>
      <c r="ATB76" s="94"/>
      <c r="ATC76" s="94"/>
      <c r="ATD76" s="94"/>
      <c r="ATE76" s="94"/>
      <c r="ATF76" s="94"/>
      <c r="ATG76" s="94"/>
      <c r="ATH76" s="94"/>
      <c r="ATI76" s="94"/>
      <c r="ATJ76" s="94"/>
      <c r="ATK76" s="94"/>
      <c r="ATL76" s="94"/>
      <c r="ATM76" s="94"/>
      <c r="ATN76" s="94"/>
      <c r="ATO76" s="94"/>
      <c r="ATP76" s="94"/>
      <c r="ATQ76" s="94"/>
      <c r="ATR76" s="94"/>
      <c r="ATS76" s="94"/>
      <c r="ATT76" s="94"/>
      <c r="ATU76" s="94"/>
      <c r="ATV76" s="94"/>
      <c r="ATW76" s="94"/>
      <c r="ATX76" s="94"/>
      <c r="ATY76" s="94"/>
      <c r="ATZ76" s="94"/>
      <c r="AUA76" s="94"/>
      <c r="AUB76" s="94"/>
      <c r="AUC76" s="94"/>
      <c r="AUD76" s="94"/>
      <c r="AUE76" s="94"/>
      <c r="AUF76" s="94"/>
      <c r="AUG76" s="94"/>
      <c r="AUH76" s="94"/>
      <c r="AUI76" s="94"/>
      <c r="AUJ76" s="94"/>
      <c r="AUK76" s="94"/>
      <c r="AUL76" s="94"/>
      <c r="AUM76" s="94"/>
      <c r="AUN76" s="94"/>
      <c r="AUO76" s="94"/>
      <c r="AUP76" s="94"/>
      <c r="AUQ76" s="94"/>
      <c r="AUR76" s="94"/>
      <c r="AUS76" s="94"/>
      <c r="AUT76" s="94"/>
      <c r="AUU76" s="94"/>
      <c r="AUV76" s="94"/>
      <c r="AUW76" s="94"/>
      <c r="AUX76" s="94"/>
      <c r="AUY76" s="94"/>
      <c r="AUZ76" s="94"/>
      <c r="AVA76" s="94"/>
      <c r="AVB76" s="94"/>
      <c r="AVC76" s="94"/>
      <c r="AVD76" s="94"/>
      <c r="AVE76" s="94"/>
      <c r="AVF76" s="94"/>
      <c r="AVG76" s="94"/>
      <c r="AVH76" s="94"/>
      <c r="AVI76" s="94"/>
      <c r="AVJ76" s="94"/>
      <c r="AVK76" s="94"/>
      <c r="AVL76" s="94"/>
      <c r="AVM76" s="94"/>
      <c r="AVN76" s="94"/>
      <c r="AVO76" s="94"/>
      <c r="AVP76" s="94"/>
      <c r="AVQ76" s="94"/>
      <c r="AVR76" s="94"/>
      <c r="AVS76" s="94"/>
      <c r="AVT76" s="94"/>
      <c r="AVU76" s="94"/>
      <c r="AVV76" s="94"/>
      <c r="AVW76" s="94"/>
      <c r="AVX76" s="94"/>
      <c r="AVY76" s="94"/>
      <c r="AVZ76" s="94"/>
      <c r="AWA76" s="94"/>
      <c r="AWB76" s="94"/>
      <c r="AWC76" s="94"/>
      <c r="AWD76" s="94"/>
      <c r="AWE76" s="94"/>
      <c r="AWF76" s="94"/>
      <c r="AWG76" s="94"/>
      <c r="AWH76" s="94"/>
      <c r="AWI76" s="94"/>
      <c r="AWJ76" s="94"/>
      <c r="AWK76" s="94"/>
      <c r="AWL76" s="94"/>
      <c r="AWM76" s="94"/>
      <c r="AWN76" s="94"/>
      <c r="AWO76" s="94"/>
      <c r="AWP76" s="94"/>
      <c r="AWQ76" s="94"/>
      <c r="AWR76" s="94"/>
      <c r="AWS76" s="94"/>
      <c r="AWT76" s="94"/>
      <c r="AWU76" s="94"/>
      <c r="AWV76" s="94"/>
      <c r="AWW76" s="94"/>
      <c r="AWX76" s="94"/>
      <c r="AWY76" s="94"/>
      <c r="AWZ76" s="94"/>
      <c r="AXA76" s="94"/>
      <c r="AXB76" s="94"/>
      <c r="AXC76" s="94"/>
      <c r="AXD76" s="94"/>
      <c r="AXE76" s="94"/>
      <c r="AXF76" s="94"/>
      <c r="AXG76" s="94"/>
      <c r="AXH76" s="94"/>
      <c r="AXI76" s="94"/>
      <c r="AXJ76" s="94"/>
      <c r="AXK76" s="94"/>
      <c r="AXL76" s="94"/>
      <c r="AXM76" s="94"/>
      <c r="AXN76" s="94"/>
      <c r="AXO76" s="94"/>
      <c r="AXP76" s="94"/>
      <c r="AXQ76" s="94"/>
      <c r="AXR76" s="94"/>
      <c r="AXS76" s="94"/>
      <c r="AXT76" s="94"/>
      <c r="AXU76" s="94"/>
      <c r="AXV76" s="94"/>
      <c r="AXW76" s="94"/>
      <c r="AXX76" s="94"/>
      <c r="AXY76" s="94"/>
      <c r="AXZ76" s="94"/>
      <c r="AYA76" s="94"/>
      <c r="AYB76" s="94"/>
      <c r="AYC76" s="94"/>
      <c r="AYD76" s="94"/>
      <c r="AYE76" s="94"/>
      <c r="AYF76" s="94"/>
      <c r="AYG76" s="94"/>
      <c r="AYH76" s="94"/>
      <c r="AYI76" s="94"/>
      <c r="AYJ76" s="94"/>
      <c r="AYK76" s="94"/>
      <c r="AYL76" s="94"/>
      <c r="AYM76" s="94"/>
      <c r="AYN76" s="94"/>
      <c r="AYO76" s="94"/>
      <c r="AYP76" s="94"/>
      <c r="AYQ76" s="94"/>
      <c r="AYR76" s="94"/>
      <c r="AYS76" s="94"/>
      <c r="AYT76" s="94"/>
      <c r="AYU76" s="94"/>
      <c r="AYV76" s="94"/>
      <c r="AYW76" s="94"/>
      <c r="AYX76" s="94"/>
      <c r="AYY76" s="94"/>
      <c r="AYZ76" s="94"/>
      <c r="AZA76" s="94"/>
      <c r="AZB76" s="94"/>
      <c r="AZC76" s="94"/>
      <c r="AZD76" s="94"/>
      <c r="AZE76" s="94"/>
      <c r="AZF76" s="94"/>
      <c r="AZG76" s="94"/>
      <c r="AZH76" s="94"/>
      <c r="AZI76" s="94"/>
      <c r="AZJ76" s="94"/>
      <c r="AZK76" s="94"/>
      <c r="AZL76" s="94"/>
      <c r="AZM76" s="94"/>
      <c r="AZN76" s="94"/>
      <c r="AZO76" s="94"/>
      <c r="AZP76" s="94"/>
      <c r="AZQ76" s="94"/>
      <c r="AZR76" s="94"/>
      <c r="AZS76" s="94"/>
      <c r="AZT76" s="94"/>
      <c r="AZU76" s="94"/>
      <c r="AZV76" s="94"/>
      <c r="AZW76" s="94"/>
      <c r="AZX76" s="94"/>
      <c r="AZY76" s="94"/>
      <c r="AZZ76" s="94"/>
      <c r="BAA76" s="94"/>
      <c r="BAB76" s="94"/>
      <c r="BAC76" s="94"/>
      <c r="BAD76" s="94"/>
      <c r="BAE76" s="94"/>
      <c r="BAF76" s="94"/>
      <c r="BAG76" s="94"/>
      <c r="BAH76" s="94"/>
      <c r="BAI76" s="94"/>
      <c r="BAJ76" s="94"/>
      <c r="BAK76" s="94"/>
      <c r="BAL76" s="94"/>
      <c r="BAM76" s="94"/>
      <c r="BAN76" s="94"/>
      <c r="BAO76" s="94"/>
      <c r="BAP76" s="94"/>
      <c r="BAQ76" s="94"/>
      <c r="BAR76" s="94"/>
      <c r="BAS76" s="94"/>
      <c r="BAT76" s="94"/>
      <c r="BAU76" s="94"/>
      <c r="BAV76" s="94"/>
      <c r="BAW76" s="94"/>
      <c r="BAX76" s="94"/>
      <c r="BAY76" s="94"/>
      <c r="BAZ76" s="94"/>
      <c r="BBA76" s="94"/>
      <c r="BBB76" s="94"/>
      <c r="BBC76" s="94"/>
      <c r="BBD76" s="94"/>
      <c r="BBE76" s="94"/>
      <c r="BBF76" s="94"/>
      <c r="BBG76" s="94"/>
      <c r="BBH76" s="94"/>
      <c r="BBI76" s="94"/>
      <c r="BBJ76" s="94"/>
      <c r="BBK76" s="94"/>
      <c r="BBL76" s="94"/>
      <c r="BBM76" s="94"/>
      <c r="BBN76" s="94"/>
      <c r="BBO76" s="94"/>
      <c r="BBP76" s="94"/>
      <c r="BBQ76" s="94"/>
      <c r="BBR76" s="94"/>
      <c r="BBS76" s="94"/>
      <c r="BBT76" s="94"/>
      <c r="BBU76" s="94"/>
      <c r="BBV76" s="94"/>
      <c r="BBW76" s="94"/>
      <c r="BBX76" s="94"/>
      <c r="BBY76" s="94"/>
      <c r="BBZ76" s="94"/>
      <c r="BCA76" s="94"/>
      <c r="BCB76" s="94"/>
      <c r="BCC76" s="94"/>
      <c r="BCD76" s="94"/>
      <c r="BCE76" s="94"/>
      <c r="BCF76" s="94"/>
      <c r="BCG76" s="94"/>
      <c r="BCH76" s="94"/>
      <c r="BCI76" s="94"/>
      <c r="BCJ76" s="94"/>
      <c r="BCK76" s="94"/>
      <c r="BCL76" s="94"/>
      <c r="BCM76" s="94"/>
      <c r="BCN76" s="94"/>
      <c r="BCO76" s="94"/>
      <c r="BCP76" s="94"/>
      <c r="BCQ76" s="94"/>
      <c r="BCR76" s="94"/>
      <c r="BCS76" s="94"/>
      <c r="BCT76" s="94"/>
      <c r="BCU76" s="94"/>
      <c r="BCV76" s="94"/>
      <c r="BCW76" s="94"/>
      <c r="BCX76" s="94"/>
      <c r="BCY76" s="94"/>
      <c r="BCZ76" s="94"/>
      <c r="BDA76" s="94"/>
      <c r="BDB76" s="94"/>
      <c r="BDC76" s="94"/>
      <c r="BDD76" s="94"/>
      <c r="BDE76" s="94"/>
      <c r="BDF76" s="94"/>
      <c r="BDG76" s="94"/>
      <c r="BDH76" s="94"/>
      <c r="BDI76" s="94"/>
      <c r="BDJ76" s="94"/>
      <c r="BDK76" s="94"/>
      <c r="BDL76" s="94"/>
      <c r="BDM76" s="94"/>
      <c r="BDN76" s="94"/>
      <c r="BDO76" s="94"/>
      <c r="BDP76" s="94"/>
      <c r="BDQ76" s="94"/>
      <c r="BDR76" s="94"/>
      <c r="BDS76" s="94"/>
      <c r="BDT76" s="94"/>
      <c r="BDU76" s="94"/>
      <c r="BDV76" s="94"/>
      <c r="BDW76" s="94"/>
      <c r="BDX76" s="94"/>
      <c r="BDY76" s="94"/>
      <c r="BDZ76" s="94"/>
      <c r="BEA76" s="94"/>
      <c r="BEB76" s="94"/>
      <c r="BEC76" s="94"/>
      <c r="BED76" s="94"/>
      <c r="BEE76" s="94"/>
      <c r="BEF76" s="94"/>
      <c r="BEG76" s="94"/>
      <c r="BEH76" s="94"/>
      <c r="BEI76" s="94"/>
      <c r="BEJ76" s="94"/>
      <c r="BEK76" s="94"/>
      <c r="BEL76" s="94"/>
      <c r="BEM76" s="94"/>
      <c r="BEN76" s="94"/>
      <c r="BEO76" s="94"/>
      <c r="BEP76" s="94"/>
      <c r="BEQ76" s="94"/>
      <c r="BER76" s="94"/>
      <c r="BES76" s="94"/>
      <c r="BET76" s="94"/>
      <c r="BEU76" s="94"/>
      <c r="BEV76" s="94"/>
      <c r="BEW76" s="94"/>
      <c r="BEX76" s="94"/>
      <c r="BEY76" s="94"/>
      <c r="BEZ76" s="94"/>
      <c r="BFA76" s="94"/>
      <c r="BFB76" s="94"/>
      <c r="BFC76" s="94"/>
      <c r="BFD76" s="94"/>
      <c r="BFE76" s="94"/>
      <c r="BFF76" s="94"/>
      <c r="BFG76" s="94"/>
      <c r="BFH76" s="94"/>
      <c r="BFI76" s="94"/>
      <c r="BFJ76" s="94"/>
      <c r="BFK76" s="94"/>
      <c r="BFL76" s="94"/>
      <c r="BFM76" s="94"/>
      <c r="BFN76" s="94"/>
      <c r="BFO76" s="94"/>
      <c r="BFP76" s="94"/>
      <c r="BFQ76" s="94"/>
      <c r="BFR76" s="94"/>
      <c r="BFS76" s="94"/>
      <c r="BFT76" s="94"/>
      <c r="BFU76" s="94"/>
      <c r="BFV76" s="94"/>
      <c r="BFW76" s="94"/>
      <c r="BFX76" s="94"/>
      <c r="BFY76" s="94"/>
      <c r="BFZ76" s="94"/>
      <c r="BGA76" s="94"/>
      <c r="BGB76" s="94"/>
      <c r="BGC76" s="94"/>
      <c r="BGD76" s="94"/>
      <c r="BGE76" s="94"/>
      <c r="BGF76" s="94"/>
      <c r="BGG76" s="94"/>
      <c r="BGH76" s="94"/>
      <c r="BGI76" s="94"/>
      <c r="BGJ76" s="94"/>
      <c r="BGK76" s="94"/>
      <c r="BGL76" s="94"/>
      <c r="BGM76" s="94"/>
      <c r="BGN76" s="94"/>
      <c r="BGO76" s="94"/>
      <c r="BGP76" s="94"/>
      <c r="BGQ76" s="94"/>
      <c r="BGR76" s="94"/>
      <c r="BGS76" s="94"/>
      <c r="BGT76" s="94"/>
      <c r="BGU76" s="94"/>
      <c r="BGV76" s="94"/>
      <c r="BGW76" s="94"/>
      <c r="BGX76" s="94"/>
      <c r="BGY76" s="94"/>
      <c r="BGZ76" s="94"/>
      <c r="BHA76" s="94"/>
      <c r="BHB76" s="94"/>
      <c r="BHC76" s="94"/>
      <c r="BHD76" s="94"/>
      <c r="BHE76" s="94"/>
      <c r="BHF76" s="94"/>
      <c r="BHG76" s="94"/>
      <c r="BHH76" s="94"/>
      <c r="BHI76" s="94"/>
      <c r="BHJ76" s="94"/>
      <c r="BHK76" s="94"/>
      <c r="BHL76" s="94"/>
      <c r="BHM76" s="94"/>
      <c r="BHN76" s="94"/>
      <c r="BHO76" s="94"/>
      <c r="BHP76" s="94"/>
      <c r="BHQ76" s="94"/>
      <c r="BHR76" s="94"/>
      <c r="BHS76" s="94"/>
      <c r="BHT76" s="94"/>
      <c r="BHU76" s="94"/>
      <c r="BHV76" s="94"/>
      <c r="BHW76" s="94"/>
      <c r="BHX76" s="94"/>
      <c r="BHY76" s="94"/>
      <c r="BHZ76" s="94"/>
      <c r="BIA76" s="94"/>
      <c r="BIB76" s="94"/>
      <c r="BIC76" s="94"/>
      <c r="BID76" s="94"/>
      <c r="BIE76" s="94"/>
      <c r="BIF76" s="94"/>
      <c r="BIG76" s="94"/>
      <c r="BIH76" s="94"/>
      <c r="BII76" s="94"/>
      <c r="BIJ76" s="94"/>
      <c r="BIK76" s="94"/>
      <c r="BIL76" s="94"/>
      <c r="BIM76" s="94"/>
      <c r="BIN76" s="94"/>
      <c r="BIO76" s="94"/>
      <c r="BIP76" s="94"/>
      <c r="BIQ76" s="94"/>
      <c r="BIR76" s="94"/>
      <c r="BIS76" s="94"/>
      <c r="BIT76" s="94"/>
      <c r="BIU76" s="94"/>
      <c r="BIV76" s="94"/>
      <c r="BIW76" s="94"/>
      <c r="BIX76" s="94"/>
      <c r="BIY76" s="94"/>
      <c r="BIZ76" s="94"/>
      <c r="BJA76" s="94"/>
      <c r="BJB76" s="94"/>
      <c r="BJC76" s="94"/>
      <c r="BJD76" s="94"/>
      <c r="BJE76" s="94"/>
      <c r="BJF76" s="94"/>
      <c r="BJG76" s="94"/>
      <c r="BJH76" s="94"/>
      <c r="BJI76" s="94"/>
      <c r="BJJ76" s="94"/>
      <c r="BJK76" s="94"/>
      <c r="BJL76" s="94"/>
      <c r="BJM76" s="94"/>
      <c r="BJN76" s="94"/>
      <c r="BJO76" s="94"/>
      <c r="BJP76" s="94"/>
      <c r="BJQ76" s="94"/>
      <c r="BJR76" s="94"/>
      <c r="BJS76" s="94"/>
      <c r="BJT76" s="94"/>
      <c r="BJU76" s="94"/>
      <c r="BJV76" s="94"/>
      <c r="BJW76" s="94"/>
      <c r="BJX76" s="94"/>
      <c r="BJY76" s="94"/>
      <c r="BJZ76" s="94"/>
      <c r="BKA76" s="94"/>
      <c r="BKB76" s="94"/>
      <c r="BKC76" s="94"/>
      <c r="BKD76" s="94"/>
      <c r="BKE76" s="94"/>
      <c r="BKF76" s="94"/>
      <c r="BKG76" s="94"/>
      <c r="BKH76" s="94"/>
      <c r="BKI76" s="94"/>
      <c r="BKJ76" s="94"/>
      <c r="BKK76" s="94"/>
      <c r="BKL76" s="94"/>
      <c r="BKM76" s="94"/>
      <c r="BKN76" s="94"/>
      <c r="BKO76" s="94"/>
      <c r="BKP76" s="94"/>
      <c r="BKQ76" s="94"/>
      <c r="BKR76" s="94"/>
      <c r="BKS76" s="94"/>
      <c r="BKT76" s="94"/>
      <c r="BKU76" s="94"/>
      <c r="BKV76" s="94"/>
      <c r="BKW76" s="94"/>
      <c r="BKX76" s="94"/>
      <c r="BKY76" s="94"/>
      <c r="BKZ76" s="94"/>
      <c r="BLA76" s="94"/>
      <c r="BLB76" s="94"/>
      <c r="BLC76" s="94"/>
      <c r="BLD76" s="94"/>
      <c r="BLE76" s="94"/>
      <c r="BLF76" s="94"/>
      <c r="BLG76" s="94"/>
      <c r="BLH76" s="94"/>
      <c r="BLI76" s="94"/>
      <c r="BLJ76" s="94"/>
      <c r="BLK76" s="94"/>
      <c r="BLL76" s="94"/>
      <c r="BLM76" s="94"/>
      <c r="BLN76" s="94"/>
      <c r="BLO76" s="94"/>
      <c r="BLP76" s="94"/>
      <c r="BLQ76" s="94"/>
      <c r="BLR76" s="94"/>
      <c r="BLS76" s="94"/>
      <c r="BLT76" s="94"/>
      <c r="BLU76" s="94"/>
      <c r="BLV76" s="94"/>
      <c r="BLW76" s="94"/>
      <c r="BLX76" s="94"/>
      <c r="BLY76" s="94"/>
      <c r="BLZ76" s="94"/>
      <c r="BMA76" s="94"/>
      <c r="BMB76" s="94"/>
      <c r="BMC76" s="94"/>
      <c r="BMD76" s="94"/>
      <c r="BME76" s="94"/>
      <c r="BMF76" s="94"/>
      <c r="BMG76" s="94"/>
      <c r="BMH76" s="94"/>
      <c r="BMI76" s="94"/>
      <c r="BMJ76" s="94"/>
      <c r="BMK76" s="94"/>
      <c r="BML76" s="94"/>
      <c r="BMM76" s="94"/>
      <c r="BMN76" s="94"/>
      <c r="BMO76" s="94"/>
      <c r="BMP76" s="94"/>
      <c r="BMQ76" s="94"/>
      <c r="BMR76" s="94"/>
      <c r="BMS76" s="94"/>
      <c r="BMT76" s="94"/>
      <c r="BMU76" s="94"/>
      <c r="BMV76" s="94"/>
      <c r="BMW76" s="94"/>
      <c r="BMX76" s="94"/>
      <c r="BMY76" s="94"/>
      <c r="BMZ76" s="94"/>
      <c r="BNA76" s="94"/>
      <c r="BNB76" s="94"/>
      <c r="BNC76" s="94"/>
      <c r="BND76" s="94"/>
      <c r="BNE76" s="94"/>
      <c r="BNF76" s="94"/>
      <c r="BNG76" s="94"/>
      <c r="BNH76" s="94"/>
      <c r="BNI76" s="94"/>
      <c r="BNJ76" s="94"/>
      <c r="BNK76" s="94"/>
      <c r="BNL76" s="94"/>
      <c r="BNM76" s="94"/>
      <c r="BNN76" s="94"/>
      <c r="BNO76" s="94"/>
      <c r="BNP76" s="94"/>
      <c r="BNQ76" s="94"/>
      <c r="BNR76" s="94"/>
      <c r="BNS76" s="94"/>
      <c r="BNT76" s="94"/>
      <c r="BNU76" s="94"/>
      <c r="BNV76" s="94"/>
      <c r="BNW76" s="94"/>
      <c r="BNX76" s="94"/>
      <c r="BNY76" s="94"/>
      <c r="BNZ76" s="94"/>
      <c r="BOA76" s="94"/>
      <c r="BOB76" s="94"/>
      <c r="BOC76" s="94"/>
      <c r="BOD76" s="94"/>
      <c r="BOE76" s="94"/>
      <c r="BOF76" s="94"/>
      <c r="BOG76" s="94"/>
      <c r="BOH76" s="94"/>
      <c r="BOI76" s="94"/>
      <c r="BOJ76" s="94"/>
      <c r="BOK76" s="94"/>
      <c r="BOL76" s="94"/>
      <c r="BOM76" s="94"/>
      <c r="BON76" s="94"/>
      <c r="BOO76" s="94"/>
      <c r="BOP76" s="94"/>
      <c r="BOQ76" s="94"/>
      <c r="BOR76" s="94"/>
      <c r="BOS76" s="94"/>
      <c r="BOT76" s="94"/>
      <c r="BOU76" s="94"/>
      <c r="BOV76" s="94"/>
      <c r="BOW76" s="94"/>
      <c r="BOX76" s="94"/>
      <c r="BOY76" s="94"/>
      <c r="BOZ76" s="94"/>
      <c r="BPA76" s="94"/>
      <c r="BPB76" s="94"/>
      <c r="BPC76" s="94"/>
      <c r="BPD76" s="94"/>
      <c r="BPE76" s="94"/>
      <c r="BPF76" s="94"/>
      <c r="BPG76" s="94"/>
      <c r="BPH76" s="94"/>
      <c r="BPI76" s="94"/>
      <c r="BPJ76" s="94"/>
      <c r="BPK76" s="94"/>
      <c r="BPL76" s="94"/>
      <c r="BPM76" s="94"/>
      <c r="BPN76" s="94"/>
      <c r="BPO76" s="94"/>
      <c r="BPP76" s="94"/>
      <c r="BPQ76" s="94"/>
      <c r="BPR76" s="94"/>
      <c r="BPS76" s="94"/>
      <c r="BPT76" s="94"/>
      <c r="BPU76" s="94"/>
      <c r="BPV76" s="94"/>
      <c r="BPW76" s="94"/>
      <c r="BPX76" s="94"/>
      <c r="BPY76" s="94"/>
      <c r="BPZ76" s="94"/>
      <c r="BQA76" s="94"/>
      <c r="BQB76" s="94"/>
      <c r="BQC76" s="94"/>
      <c r="BQD76" s="94"/>
      <c r="BQE76" s="94"/>
      <c r="BQF76" s="94"/>
      <c r="BQG76" s="94"/>
      <c r="BQH76" s="94"/>
      <c r="BQI76" s="94"/>
      <c r="BQJ76" s="94"/>
      <c r="BQK76" s="94"/>
      <c r="BQL76" s="94"/>
      <c r="BQM76" s="94"/>
      <c r="BQN76" s="94"/>
      <c r="BQO76" s="94"/>
      <c r="BQP76" s="94"/>
      <c r="BQQ76" s="94"/>
      <c r="BQR76" s="94"/>
      <c r="BQS76" s="94"/>
      <c r="BQT76" s="94"/>
      <c r="BQU76" s="94"/>
      <c r="BQV76" s="94"/>
      <c r="BQW76" s="94"/>
      <c r="BQX76" s="94"/>
      <c r="BQY76" s="94"/>
      <c r="BQZ76" s="94"/>
      <c r="BRA76" s="94"/>
      <c r="BRB76" s="94"/>
      <c r="BRC76" s="94"/>
      <c r="BRD76" s="94"/>
      <c r="BRE76" s="94"/>
      <c r="BRF76" s="94"/>
      <c r="BRG76" s="94"/>
      <c r="BRH76" s="94"/>
      <c r="BRI76" s="94"/>
      <c r="BRJ76" s="94"/>
      <c r="BRK76" s="94"/>
      <c r="BRL76" s="94"/>
      <c r="BRM76" s="94"/>
      <c r="BRN76" s="94"/>
      <c r="BRO76" s="94"/>
      <c r="BRP76" s="94"/>
      <c r="BRQ76" s="94"/>
      <c r="BRR76" s="94"/>
      <c r="BRS76" s="94"/>
      <c r="BRT76" s="94"/>
      <c r="BRU76" s="94"/>
      <c r="BRV76" s="94"/>
      <c r="BRW76" s="94"/>
      <c r="BRX76" s="94"/>
      <c r="BRY76" s="94"/>
      <c r="BRZ76" s="94"/>
      <c r="BSA76" s="94"/>
      <c r="BSB76" s="94"/>
      <c r="BSC76" s="94"/>
      <c r="BSD76" s="94"/>
      <c r="BSE76" s="94"/>
      <c r="BSF76" s="94"/>
      <c r="BSG76" s="94"/>
      <c r="BSH76" s="94"/>
      <c r="BSI76" s="94"/>
      <c r="BSJ76" s="94"/>
      <c r="BSK76" s="94"/>
      <c r="BSL76" s="94"/>
      <c r="BSM76" s="94"/>
      <c r="BSN76" s="94"/>
      <c r="BSO76" s="94"/>
      <c r="BSP76" s="94"/>
      <c r="BSQ76" s="94"/>
      <c r="BSR76" s="94"/>
      <c r="BSS76" s="94"/>
      <c r="BST76" s="94"/>
      <c r="BSU76" s="94"/>
      <c r="BSV76" s="94"/>
      <c r="BSW76" s="94"/>
      <c r="BSX76" s="94"/>
      <c r="BSY76" s="94"/>
      <c r="BSZ76" s="94"/>
      <c r="BTA76" s="94"/>
      <c r="BTB76" s="94"/>
      <c r="BTC76" s="94"/>
      <c r="BTD76" s="94"/>
      <c r="BTE76" s="94"/>
      <c r="BTF76" s="94"/>
      <c r="BTG76" s="94"/>
      <c r="BTH76" s="94"/>
      <c r="BTI76" s="94"/>
      <c r="BTJ76" s="94"/>
      <c r="BTK76" s="94"/>
      <c r="BTL76" s="94"/>
      <c r="BTM76" s="94"/>
      <c r="BTN76" s="94"/>
      <c r="BTO76" s="94"/>
      <c r="BTP76" s="94"/>
      <c r="BTQ76" s="94"/>
      <c r="BTR76" s="94"/>
      <c r="BTS76" s="94"/>
      <c r="BTT76" s="94"/>
      <c r="BTU76" s="94"/>
      <c r="BTV76" s="94"/>
      <c r="BTW76" s="94"/>
      <c r="BTX76" s="94"/>
      <c r="BTY76" s="94"/>
      <c r="BTZ76" s="94"/>
      <c r="BUA76" s="94"/>
      <c r="BUB76" s="94"/>
      <c r="BUC76" s="94"/>
      <c r="BUD76" s="94"/>
      <c r="BUE76" s="94"/>
      <c r="BUF76" s="94"/>
      <c r="BUG76" s="94"/>
      <c r="BUH76" s="94"/>
      <c r="BUI76" s="94"/>
      <c r="BUJ76" s="94"/>
      <c r="BUK76" s="94"/>
      <c r="BUL76" s="94"/>
      <c r="BUM76" s="94"/>
      <c r="BUN76" s="94"/>
      <c r="BUO76" s="94"/>
      <c r="BUP76" s="94"/>
      <c r="BUQ76" s="94"/>
      <c r="BUR76" s="94"/>
      <c r="BUS76" s="94"/>
      <c r="BUT76" s="94"/>
      <c r="BUU76" s="94"/>
      <c r="BUV76" s="94"/>
      <c r="BUW76" s="94"/>
      <c r="BUX76" s="94"/>
      <c r="BUY76" s="94"/>
      <c r="BUZ76" s="94"/>
      <c r="BVA76" s="94"/>
      <c r="BVB76" s="94"/>
      <c r="BVC76" s="94"/>
      <c r="BVD76" s="94"/>
      <c r="BVE76" s="94"/>
      <c r="BVF76" s="94"/>
      <c r="BVG76" s="94"/>
      <c r="BVH76" s="94"/>
      <c r="BVI76" s="94"/>
      <c r="BVJ76" s="94"/>
      <c r="BVK76" s="94"/>
      <c r="BVL76" s="94"/>
      <c r="BVM76" s="94"/>
      <c r="BVN76" s="94"/>
      <c r="BVO76" s="94"/>
      <c r="BVP76" s="94"/>
      <c r="BVQ76" s="94"/>
      <c r="BVR76" s="94"/>
      <c r="BVS76" s="94"/>
      <c r="BVT76" s="94"/>
      <c r="BVU76" s="94"/>
      <c r="BVV76" s="94"/>
      <c r="BVW76" s="94"/>
      <c r="BVX76" s="94"/>
      <c r="BVY76" s="94"/>
      <c r="BVZ76" s="94"/>
      <c r="BWA76" s="94"/>
      <c r="BWB76" s="94"/>
      <c r="BWC76" s="94"/>
      <c r="BWD76" s="94"/>
      <c r="BWE76" s="94"/>
      <c r="BWF76" s="94"/>
      <c r="BWG76" s="94"/>
      <c r="BWH76" s="94"/>
      <c r="BWI76" s="94"/>
      <c r="BWJ76" s="94"/>
      <c r="BWK76" s="94"/>
      <c r="BWL76" s="94"/>
      <c r="BWM76" s="94"/>
      <c r="BWN76" s="94"/>
      <c r="BWO76" s="94"/>
      <c r="BWP76" s="94"/>
      <c r="BWQ76" s="94"/>
      <c r="BWR76" s="94"/>
      <c r="BWS76" s="94"/>
      <c r="BWT76" s="94"/>
      <c r="BWU76" s="94"/>
      <c r="BWV76" s="94"/>
      <c r="BWW76" s="94"/>
      <c r="BWX76" s="94"/>
      <c r="BWY76" s="94"/>
      <c r="BWZ76" s="94"/>
      <c r="BXA76" s="94"/>
      <c r="BXB76" s="94"/>
      <c r="BXC76" s="94"/>
      <c r="BXD76" s="94"/>
      <c r="BXE76" s="94"/>
      <c r="BXF76" s="94"/>
      <c r="BXG76" s="94"/>
      <c r="BXH76" s="94"/>
      <c r="BXI76" s="94"/>
      <c r="BXJ76" s="94"/>
      <c r="BXK76" s="94"/>
      <c r="BXL76" s="94"/>
      <c r="BXM76" s="94"/>
      <c r="BXN76" s="94"/>
      <c r="BXO76" s="94"/>
      <c r="BXP76" s="94"/>
      <c r="BXQ76" s="94"/>
      <c r="BXR76" s="94"/>
      <c r="BXS76" s="94"/>
      <c r="BXT76" s="94"/>
      <c r="BXU76" s="94"/>
      <c r="BXV76" s="94"/>
      <c r="BXW76" s="94"/>
      <c r="BXX76" s="94"/>
      <c r="BXY76" s="94"/>
      <c r="BXZ76" s="94"/>
      <c r="BYA76" s="94"/>
      <c r="BYB76" s="94"/>
      <c r="BYC76" s="94"/>
      <c r="BYD76" s="94"/>
      <c r="BYE76" s="94"/>
      <c r="BYF76" s="94"/>
      <c r="BYG76" s="94"/>
    </row>
    <row r="77" spans="1:2009" ht="15" customHeight="1" x14ac:dyDescent="0.25">
      <c r="A77" s="122"/>
      <c r="B77" s="312" t="s">
        <v>597</v>
      </c>
      <c r="C77" s="191"/>
      <c r="D77" s="191"/>
      <c r="E77" s="191"/>
      <c r="F77" s="191"/>
      <c r="G77" s="656"/>
    </row>
    <row r="78" spans="1:2009" ht="8.25" customHeight="1" x14ac:dyDescent="0.25">
      <c r="A78" s="122"/>
      <c r="B78" s="160"/>
      <c r="C78" s="599"/>
      <c r="D78" s="191"/>
      <c r="E78" s="191"/>
      <c r="F78" s="191"/>
      <c r="G78" s="656"/>
    </row>
    <row r="79" spans="1:2009" ht="14.25" hidden="1" customHeight="1" x14ac:dyDescent="0.25">
      <c r="A79" s="122"/>
      <c r="B79" s="545" t="s">
        <v>44</v>
      </c>
      <c r="C79" s="590">
        <v>0</v>
      </c>
      <c r="D79" s="599"/>
      <c r="E79" s="191"/>
      <c r="F79" s="191"/>
      <c r="G79" s="656"/>
    </row>
    <row r="80" spans="1:2009" ht="14.25" customHeight="1" x14ac:dyDescent="0.25">
      <c r="A80" s="122"/>
      <c r="B80" s="545" t="s">
        <v>603</v>
      </c>
      <c r="C80" s="590">
        <v>23240.07</v>
      </c>
      <c r="D80" s="599"/>
      <c r="E80" s="191"/>
      <c r="F80" s="191"/>
      <c r="G80" s="656"/>
    </row>
    <row r="81" spans="1:7" ht="14.25" customHeight="1" x14ac:dyDescent="0.25">
      <c r="A81" s="122"/>
      <c r="B81" s="545" t="s">
        <v>568</v>
      </c>
      <c r="C81" s="590">
        <v>28412.28</v>
      </c>
      <c r="D81" s="599"/>
      <c r="E81" s="191"/>
      <c r="F81" s="191"/>
      <c r="G81" s="656"/>
    </row>
    <row r="82" spans="1:7" ht="14.25" customHeight="1" x14ac:dyDescent="0.25">
      <c r="A82" s="122"/>
      <c r="B82" s="545" t="s">
        <v>604</v>
      </c>
      <c r="C82" s="590">
        <v>28412.28</v>
      </c>
      <c r="D82" s="599"/>
      <c r="E82" s="191"/>
      <c r="F82" s="191"/>
      <c r="G82" s="656"/>
    </row>
    <row r="83" spans="1:7" ht="14.25" customHeight="1" x14ac:dyDescent="0.25">
      <c r="A83" s="122"/>
      <c r="B83" s="545" t="s">
        <v>605</v>
      </c>
      <c r="C83" s="590">
        <v>37349.22</v>
      </c>
      <c r="D83" s="599"/>
      <c r="E83" s="191"/>
      <c r="F83" s="191"/>
      <c r="G83" s="656"/>
    </row>
    <row r="84" spans="1:7" ht="14.25" customHeight="1" x14ac:dyDescent="0.25">
      <c r="A84" s="122"/>
      <c r="B84" s="545" t="s">
        <v>606</v>
      </c>
      <c r="C84" s="590">
        <v>27509.96</v>
      </c>
      <c r="D84" s="599"/>
      <c r="E84" s="191"/>
      <c r="F84" s="191"/>
      <c r="G84" s="656"/>
    </row>
    <row r="85" spans="1:7" ht="14.25" hidden="1" customHeight="1" x14ac:dyDescent="0.25">
      <c r="A85" s="122"/>
      <c r="B85" s="545" t="s">
        <v>502</v>
      </c>
      <c r="C85" s="590"/>
      <c r="D85" s="599"/>
      <c r="E85" s="191"/>
      <c r="F85" s="191"/>
      <c r="G85" s="656"/>
    </row>
    <row r="86" spans="1:7" ht="14.25" hidden="1" customHeight="1" x14ac:dyDescent="0.25">
      <c r="A86" s="122"/>
      <c r="B86" s="545" t="s">
        <v>588</v>
      </c>
      <c r="C86" s="590"/>
      <c r="D86" s="599"/>
      <c r="E86" s="191"/>
      <c r="F86" s="191"/>
      <c r="G86" s="656"/>
    </row>
    <row r="87" spans="1:7" ht="14.25" hidden="1" customHeight="1" x14ac:dyDescent="0.25">
      <c r="A87" s="122"/>
      <c r="B87" s="545" t="s">
        <v>503</v>
      </c>
      <c r="C87" s="590"/>
      <c r="D87" s="599"/>
      <c r="E87" s="191"/>
      <c r="F87" s="191"/>
      <c r="G87" s="656"/>
    </row>
    <row r="88" spans="1:7" ht="14.25" hidden="1" customHeight="1" x14ac:dyDescent="0.25">
      <c r="A88" s="122"/>
      <c r="B88" s="545" t="s">
        <v>592</v>
      </c>
      <c r="C88" s="590"/>
      <c r="D88" s="599"/>
      <c r="E88" s="191"/>
      <c r="F88" s="191"/>
      <c r="G88" s="656"/>
    </row>
    <row r="89" spans="1:7" ht="14.25" customHeight="1" x14ac:dyDescent="0.25">
      <c r="A89" s="122"/>
      <c r="B89" s="545" t="s">
        <v>600</v>
      </c>
      <c r="C89" s="590">
        <v>5920</v>
      </c>
      <c r="D89" s="599"/>
      <c r="E89" s="191"/>
      <c r="F89" s="191"/>
      <c r="G89" s="656"/>
    </row>
    <row r="90" spans="1:7" ht="14.25" customHeight="1" x14ac:dyDescent="0.25">
      <c r="A90" s="122"/>
      <c r="B90" s="545" t="s">
        <v>602</v>
      </c>
      <c r="C90" s="590">
        <v>4487</v>
      </c>
      <c r="D90" s="599"/>
      <c r="E90" s="191"/>
      <c r="F90" s="191"/>
      <c r="G90" s="656"/>
    </row>
    <row r="91" spans="1:7" ht="14.25" hidden="1" customHeight="1" x14ac:dyDescent="0.25">
      <c r="A91" s="122"/>
      <c r="B91" s="545" t="s">
        <v>589</v>
      </c>
      <c r="C91" s="590"/>
      <c r="D91" s="599"/>
      <c r="E91" s="191"/>
      <c r="F91" s="191"/>
      <c r="G91" s="656"/>
    </row>
    <row r="92" spans="1:7" ht="14.25" hidden="1" customHeight="1" x14ac:dyDescent="0.25">
      <c r="A92" s="122"/>
      <c r="B92" s="545" t="s">
        <v>452</v>
      </c>
      <c r="C92" s="590"/>
      <c r="D92" s="599"/>
      <c r="E92" s="191"/>
      <c r="F92" s="191"/>
      <c r="G92" s="656"/>
    </row>
    <row r="93" spans="1:7" ht="14.25" hidden="1" customHeight="1" x14ac:dyDescent="0.25">
      <c r="A93" s="122"/>
      <c r="B93" s="545" t="s">
        <v>462</v>
      </c>
      <c r="C93" s="590"/>
      <c r="D93" s="599"/>
      <c r="E93" s="191"/>
      <c r="F93" s="191"/>
      <c r="G93" s="656"/>
    </row>
    <row r="94" spans="1:7" ht="14.25" customHeight="1" x14ac:dyDescent="0.25">
      <c r="A94" s="122"/>
      <c r="B94" s="545" t="s">
        <v>611</v>
      </c>
      <c r="C94" s="590">
        <v>10094.42</v>
      </c>
      <c r="D94" s="599"/>
      <c r="E94" s="191"/>
      <c r="F94" s="191"/>
      <c r="G94" s="656"/>
    </row>
    <row r="95" spans="1:7" ht="14.25" customHeight="1" x14ac:dyDescent="0.25">
      <c r="A95" s="122"/>
      <c r="B95" s="545" t="s">
        <v>612</v>
      </c>
      <c r="C95" s="590">
        <v>11140.68</v>
      </c>
      <c r="D95" s="599"/>
      <c r="E95" s="191"/>
      <c r="F95" s="191"/>
      <c r="G95" s="656"/>
    </row>
    <row r="96" spans="1:7" ht="14.25" customHeight="1" x14ac:dyDescent="0.25">
      <c r="A96" s="122"/>
      <c r="B96" s="545" t="s">
        <v>601</v>
      </c>
      <c r="C96" s="590">
        <v>26000</v>
      </c>
      <c r="D96" s="599"/>
      <c r="E96" s="191"/>
      <c r="F96" s="191"/>
      <c r="G96" s="656"/>
    </row>
    <row r="97" spans="1:7" ht="14.25" hidden="1" customHeight="1" x14ac:dyDescent="0.25">
      <c r="A97" s="122"/>
      <c r="B97" s="545" t="s">
        <v>590</v>
      </c>
      <c r="C97" s="590"/>
      <c r="D97" s="599"/>
      <c r="E97" s="191"/>
      <c r="F97" s="191"/>
      <c r="G97" s="656"/>
    </row>
    <row r="98" spans="1:7" ht="14.25" customHeight="1" x14ac:dyDescent="0.25">
      <c r="A98" s="122"/>
      <c r="B98" s="545" t="s">
        <v>571</v>
      </c>
      <c r="C98" s="590">
        <v>162.32</v>
      </c>
      <c r="D98" s="599"/>
      <c r="E98" s="191"/>
      <c r="F98" s="191"/>
      <c r="G98" s="656"/>
    </row>
    <row r="99" spans="1:7" ht="14.25" customHeight="1" x14ac:dyDescent="0.25">
      <c r="A99" s="122"/>
      <c r="B99" s="545"/>
      <c r="C99" s="590"/>
      <c r="D99" s="191"/>
      <c r="E99" s="191"/>
      <c r="F99" s="191"/>
      <c r="G99" s="656"/>
    </row>
    <row r="100" spans="1:7" ht="15" x14ac:dyDescent="0.25">
      <c r="A100" s="397"/>
      <c r="B100" s="161" t="s">
        <v>607</v>
      </c>
      <c r="C100" s="352">
        <f>SUM(C78:C99)</f>
        <v>202728.23</v>
      </c>
      <c r="D100" s="192"/>
      <c r="E100" s="192"/>
      <c r="F100" s="192"/>
    </row>
    <row r="101" spans="1:7" ht="5.25" customHeight="1" x14ac:dyDescent="0.2">
      <c r="C101" s="192"/>
      <c r="D101" s="192"/>
      <c r="E101" s="192"/>
      <c r="F101" s="192"/>
    </row>
    <row r="102" spans="1:7" ht="15.75" thickBot="1" x14ac:dyDescent="0.3">
      <c r="B102" s="161" t="s">
        <v>608</v>
      </c>
      <c r="C102" s="383">
        <f>G73-C100</f>
        <v>195752.08</v>
      </c>
      <c r="D102" s="192"/>
      <c r="E102" s="192"/>
      <c r="F102" s="192"/>
    </row>
    <row r="103" spans="1:7" ht="12" customHeight="1" thickTop="1" x14ac:dyDescent="0.2">
      <c r="C103" s="192"/>
      <c r="D103" s="192"/>
      <c r="E103" s="192"/>
      <c r="F103" s="192"/>
    </row>
    <row r="104" spans="1:7" ht="15.75" x14ac:dyDescent="0.25">
      <c r="B104" s="312" t="s">
        <v>174</v>
      </c>
      <c r="C104" s="192"/>
      <c r="D104" s="192"/>
      <c r="E104" s="192"/>
      <c r="F104" s="192"/>
    </row>
    <row r="105" spans="1:7" ht="16.5" hidden="1" customHeight="1" x14ac:dyDescent="0.2">
      <c r="B105" s="546"/>
      <c r="C105" s="547"/>
      <c r="D105" s="192"/>
      <c r="E105" s="192"/>
      <c r="F105" s="192"/>
    </row>
    <row r="106" spans="1:7" ht="16.5" hidden="1" customHeight="1" x14ac:dyDescent="0.2">
      <c r="B106" s="546"/>
      <c r="C106" s="547"/>
      <c r="D106" s="192"/>
      <c r="E106" s="192"/>
      <c r="F106" s="192"/>
    </row>
    <row r="107" spans="1:7" ht="16.5" hidden="1" customHeight="1" x14ac:dyDescent="0.2">
      <c r="B107" s="546"/>
      <c r="C107" s="547"/>
      <c r="D107" s="192"/>
      <c r="E107" s="192"/>
      <c r="F107" s="192"/>
    </row>
    <row r="108" spans="1:7" ht="16.5" hidden="1" customHeight="1" x14ac:dyDescent="0.2">
      <c r="B108" s="546"/>
      <c r="C108" s="547"/>
      <c r="D108" s="192"/>
      <c r="E108" s="192"/>
      <c r="F108" s="192"/>
    </row>
    <row r="109" spans="1:7" ht="15" hidden="1" x14ac:dyDescent="0.2">
      <c r="B109" s="522"/>
      <c r="C109" s="192"/>
      <c r="D109" s="192"/>
      <c r="E109" s="192"/>
      <c r="F109" s="192"/>
    </row>
    <row r="110" spans="1:7" hidden="1" x14ac:dyDescent="0.2">
      <c r="B110" s="425"/>
      <c r="C110" s="192"/>
      <c r="D110" s="192"/>
      <c r="E110" s="192"/>
      <c r="F110" s="192"/>
    </row>
    <row r="111" spans="1:7" hidden="1" x14ac:dyDescent="0.2">
      <c r="B111" s="425"/>
      <c r="C111" s="192"/>
      <c r="D111" s="192"/>
      <c r="E111" s="192"/>
      <c r="F111" s="192"/>
    </row>
    <row r="112" spans="1:7" hidden="1" x14ac:dyDescent="0.2">
      <c r="B112" s="425"/>
      <c r="C112" s="192"/>
      <c r="D112" s="192"/>
      <c r="E112" s="192"/>
      <c r="F112" s="192"/>
    </row>
    <row r="113" spans="2:6" hidden="1" x14ac:dyDescent="0.2">
      <c r="B113" s="425"/>
      <c r="C113" s="192"/>
      <c r="D113" s="192"/>
      <c r="E113" s="192"/>
      <c r="F113" s="192"/>
    </row>
    <row r="114" spans="2:6" hidden="1" x14ac:dyDescent="0.2">
      <c r="B114" s="425"/>
      <c r="C114" s="192"/>
      <c r="D114" s="192"/>
      <c r="E114" s="192"/>
      <c r="F114" s="192"/>
    </row>
    <row r="115" spans="2:6" hidden="1" x14ac:dyDescent="0.2">
      <c r="B115" s="425"/>
      <c r="C115" s="357"/>
      <c r="D115" s="192"/>
      <c r="E115" s="192"/>
      <c r="F115" s="192"/>
    </row>
    <row r="116" spans="2:6" hidden="1" x14ac:dyDescent="0.2">
      <c r="B116" s="425"/>
      <c r="C116" s="357"/>
      <c r="D116" s="192"/>
      <c r="E116" s="192"/>
      <c r="F116" s="192"/>
    </row>
    <row r="117" spans="2:6" hidden="1" x14ac:dyDescent="0.2">
      <c r="B117" s="425"/>
      <c r="C117" s="357"/>
      <c r="D117" s="192"/>
      <c r="E117" s="192"/>
      <c r="F117" s="192"/>
    </row>
    <row r="118" spans="2:6" hidden="1" x14ac:dyDescent="0.2">
      <c r="B118" s="425"/>
      <c r="C118" s="357"/>
      <c r="D118" s="192"/>
      <c r="E118" s="192"/>
      <c r="F118" s="192"/>
    </row>
    <row r="119" spans="2:6" hidden="1" x14ac:dyDescent="0.2">
      <c r="B119" s="425"/>
      <c r="C119" s="357"/>
      <c r="D119" s="192"/>
      <c r="E119" s="192"/>
      <c r="F119" s="192"/>
    </row>
    <row r="120" spans="2:6" hidden="1" x14ac:dyDescent="0.2">
      <c r="B120" s="425"/>
      <c r="C120" s="357"/>
      <c r="D120" s="192"/>
      <c r="E120" s="192"/>
      <c r="F120" s="192"/>
    </row>
    <row r="121" spans="2:6" hidden="1" x14ac:dyDescent="0.2">
      <c r="B121" s="425"/>
      <c r="C121" s="357"/>
      <c r="D121" s="192"/>
      <c r="E121" s="192"/>
      <c r="F121" s="192"/>
    </row>
    <row r="122" spans="2:6" hidden="1" x14ac:dyDescent="0.2">
      <c r="B122" s="425"/>
      <c r="C122" s="357"/>
      <c r="D122" s="192"/>
      <c r="E122" s="192"/>
      <c r="F122" s="192"/>
    </row>
    <row r="123" spans="2:6" hidden="1" x14ac:dyDescent="0.2">
      <c r="B123" s="425"/>
      <c r="C123" s="357"/>
      <c r="D123" s="192"/>
      <c r="E123" s="192"/>
      <c r="F123" s="192"/>
    </row>
    <row r="124" spans="2:6" hidden="1" x14ac:dyDescent="0.2">
      <c r="B124" s="425"/>
      <c r="C124" s="357"/>
      <c r="D124" s="192"/>
      <c r="E124" s="192"/>
      <c r="F124" s="192"/>
    </row>
    <row r="125" spans="2:6" hidden="1" x14ac:dyDescent="0.2">
      <c r="B125" s="425"/>
      <c r="C125" s="357"/>
      <c r="D125" s="192"/>
      <c r="E125" s="192"/>
      <c r="F125" s="192"/>
    </row>
    <row r="126" spans="2:6" x14ac:dyDescent="0.2">
      <c r="B126" s="425"/>
      <c r="C126" s="357"/>
      <c r="D126" s="192"/>
      <c r="E126" s="192"/>
      <c r="F126" s="192"/>
    </row>
    <row r="127" spans="2:6" ht="16.5" customHeight="1" x14ac:dyDescent="0.25">
      <c r="B127" s="433" t="s">
        <v>276</v>
      </c>
      <c r="C127" s="357"/>
      <c r="D127" s="192"/>
      <c r="E127" s="192"/>
      <c r="F127" s="192"/>
    </row>
    <row r="128" spans="2:6" ht="16.5" hidden="1" customHeight="1" x14ac:dyDescent="0.25">
      <c r="B128" s="545" t="s">
        <v>458</v>
      </c>
      <c r="C128" s="547">
        <f>D7</f>
        <v>0</v>
      </c>
      <c r="D128" s="192"/>
      <c r="E128" s="192"/>
      <c r="F128" s="192"/>
    </row>
    <row r="129" spans="2:6" ht="16.5" hidden="1" customHeight="1" x14ac:dyDescent="0.25">
      <c r="B129" s="545" t="s">
        <v>461</v>
      </c>
      <c r="C129" s="547">
        <v>17484.310000000001</v>
      </c>
      <c r="D129" s="192"/>
      <c r="E129" s="192"/>
      <c r="F129" s="192"/>
    </row>
    <row r="130" spans="2:6" ht="16.5" hidden="1" customHeight="1" x14ac:dyDescent="0.25">
      <c r="B130" s="545" t="s">
        <v>593</v>
      </c>
      <c r="C130" s="547">
        <v>19437.580000000002</v>
      </c>
      <c r="D130" s="192"/>
      <c r="E130" s="192"/>
      <c r="F130" s="192"/>
    </row>
    <row r="131" spans="2:6" ht="16.5" hidden="1" customHeight="1" x14ac:dyDescent="0.25">
      <c r="B131" s="545" t="s">
        <v>591</v>
      </c>
      <c r="C131" s="547">
        <v>18494.259999999998</v>
      </c>
      <c r="D131" s="192"/>
      <c r="E131" s="192"/>
      <c r="F131" s="192"/>
    </row>
    <row r="132" spans="2:6" ht="16.5" hidden="1" customHeight="1" x14ac:dyDescent="0.25">
      <c r="B132" s="545" t="s">
        <v>594</v>
      </c>
      <c r="C132" s="192">
        <v>18897.57</v>
      </c>
      <c r="D132" s="192"/>
      <c r="E132" s="192"/>
      <c r="F132" s="192"/>
    </row>
    <row r="133" spans="2:6" ht="16.5" customHeight="1" x14ac:dyDescent="0.25">
      <c r="B133" s="545" t="s">
        <v>609</v>
      </c>
      <c r="C133" s="192">
        <v>28225.95</v>
      </c>
      <c r="D133" s="192"/>
      <c r="E133" s="192"/>
      <c r="F133" s="192"/>
    </row>
    <row r="134" spans="2:6" ht="16.5" hidden="1" customHeight="1" x14ac:dyDescent="0.25">
      <c r="B134" s="545" t="s">
        <v>484</v>
      </c>
      <c r="C134" s="192"/>
      <c r="D134" s="192"/>
      <c r="E134" s="192"/>
      <c r="F134" s="192"/>
    </row>
    <row r="135" spans="2:6" ht="18.75" customHeight="1" x14ac:dyDescent="0.25">
      <c r="B135" s="545" t="s">
        <v>610</v>
      </c>
      <c r="C135" s="192">
        <v>26627.01</v>
      </c>
      <c r="D135" s="192"/>
      <c r="E135" s="192"/>
      <c r="F135" s="192"/>
    </row>
    <row r="136" spans="2:6" ht="17.25" customHeight="1" thickBot="1" x14ac:dyDescent="0.3">
      <c r="B136" s="545" t="s">
        <v>493</v>
      </c>
      <c r="C136" s="611">
        <f>SUM(C133:C135)</f>
        <v>54852.959999999999</v>
      </c>
      <c r="D136" s="192"/>
      <c r="E136" s="192"/>
      <c r="F136" s="192"/>
    </row>
    <row r="137" spans="2:6" ht="12" customHeight="1" thickTop="1" x14ac:dyDescent="0.2">
      <c r="C137" s="192"/>
      <c r="D137" s="192"/>
      <c r="E137" s="192"/>
      <c r="F137" s="192"/>
    </row>
    <row r="138" spans="2:6" ht="12" customHeight="1" x14ac:dyDescent="0.2">
      <c r="C138" s="192"/>
      <c r="D138" s="192"/>
      <c r="E138" s="192"/>
      <c r="F138" s="192"/>
    </row>
    <row r="139" spans="2:6" ht="12" customHeight="1" x14ac:dyDescent="0.2">
      <c r="C139" s="192"/>
      <c r="D139" s="192"/>
      <c r="E139" s="192"/>
      <c r="F139" s="192"/>
    </row>
    <row r="140" spans="2:6" ht="12" customHeight="1" x14ac:dyDescent="0.2">
      <c r="C140" s="192"/>
      <c r="D140" s="192"/>
      <c r="E140" s="192"/>
      <c r="F140" s="192"/>
    </row>
    <row r="141" spans="2:6" ht="12" customHeight="1" x14ac:dyDescent="0.2">
      <c r="C141" s="192"/>
      <c r="D141" s="192"/>
      <c r="E141" s="192"/>
      <c r="F141" s="192"/>
    </row>
    <row r="142" spans="2:6" ht="12" customHeight="1" x14ac:dyDescent="0.2">
      <c r="C142" s="192"/>
      <c r="D142" s="192"/>
      <c r="E142" s="192"/>
      <c r="F142" s="192"/>
    </row>
    <row r="143" spans="2:6" ht="12" customHeight="1" x14ac:dyDescent="0.2">
      <c r="C143" s="192"/>
      <c r="D143" s="192"/>
      <c r="E143" s="192"/>
      <c r="F143" s="192"/>
    </row>
    <row r="144" spans="2: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3:6" ht="12" customHeight="1" x14ac:dyDescent="0.2">
      <c r="C177" s="192"/>
      <c r="D177" s="192"/>
      <c r="E177" s="192"/>
      <c r="F177" s="192"/>
    </row>
    <row r="178" spans="3:6" ht="12" customHeight="1" x14ac:dyDescent="0.2">
      <c r="C178" s="192"/>
      <c r="D178" s="192"/>
      <c r="E178" s="192"/>
      <c r="F178" s="192"/>
    </row>
    <row r="179" spans="3:6" ht="12" customHeight="1" x14ac:dyDescent="0.2">
      <c r="C179" s="192"/>
      <c r="D179" s="192"/>
      <c r="E179" s="192"/>
      <c r="F179" s="192"/>
    </row>
    <row r="180" spans="3:6" ht="12" customHeight="1" x14ac:dyDescent="0.2">
      <c r="C180" s="192"/>
      <c r="D180" s="192"/>
      <c r="E180" s="192"/>
      <c r="F180" s="192"/>
    </row>
    <row r="181" spans="3:6" ht="12" customHeight="1" x14ac:dyDescent="0.2">
      <c r="C181" s="192"/>
      <c r="D181" s="192"/>
      <c r="E181" s="192"/>
      <c r="F181" s="192"/>
    </row>
    <row r="182" spans="3:6" ht="12" customHeight="1" x14ac:dyDescent="0.2">
      <c r="C182" s="192"/>
      <c r="D182" s="192"/>
      <c r="E182" s="192"/>
      <c r="F182" s="192"/>
    </row>
    <row r="183" spans="3:6" ht="12" customHeight="1" x14ac:dyDescent="0.2">
      <c r="C183" s="192"/>
      <c r="D183" s="192"/>
      <c r="E183" s="192"/>
      <c r="F183" s="192"/>
    </row>
    <row r="184" spans="3:6" ht="12" customHeight="1" x14ac:dyDescent="0.2">
      <c r="C184" s="192"/>
      <c r="D184" s="192"/>
      <c r="E184" s="192"/>
      <c r="F184" s="192"/>
    </row>
    <row r="185" spans="3:6" ht="12" customHeight="1" x14ac:dyDescent="0.2">
      <c r="C185" s="192"/>
      <c r="D185" s="192"/>
      <c r="E185" s="192"/>
      <c r="F185" s="192"/>
    </row>
    <row r="186" spans="3:6" ht="12" customHeight="1" x14ac:dyDescent="0.2">
      <c r="C186" s="192"/>
      <c r="D186" s="192"/>
      <c r="E186" s="192"/>
      <c r="F186" s="192"/>
    </row>
    <row r="187" spans="3:6" ht="12" customHeight="1" x14ac:dyDescent="0.2">
      <c r="C187" s="192"/>
      <c r="D187" s="192"/>
      <c r="E187" s="192"/>
      <c r="F187" s="192"/>
    </row>
    <row r="188" spans="3:6" ht="12" customHeight="1" x14ac:dyDescent="0.2">
      <c r="C188" s="192"/>
      <c r="D188" s="192"/>
      <c r="E188" s="192"/>
      <c r="F188" s="192"/>
    </row>
    <row r="189" spans="3:6" ht="12" customHeight="1" x14ac:dyDescent="0.2">
      <c r="C189" s="192"/>
      <c r="D189" s="192"/>
      <c r="E189" s="192"/>
      <c r="F189" s="192"/>
    </row>
    <row r="190" spans="3:6" ht="12" customHeight="1" x14ac:dyDescent="0.2">
      <c r="C190" s="192"/>
      <c r="D190" s="192"/>
      <c r="E190" s="192"/>
      <c r="F190" s="192"/>
    </row>
    <row r="191" spans="3:6" ht="12" customHeight="1" x14ac:dyDescent="0.2">
      <c r="C191" s="192"/>
      <c r="D191" s="192"/>
      <c r="E191" s="192"/>
      <c r="F191" s="192"/>
    </row>
    <row r="192" spans="3:6" ht="12" customHeight="1" x14ac:dyDescent="0.2">
      <c r="C192" s="192"/>
      <c r="D192" s="192"/>
      <c r="E192" s="192"/>
      <c r="F192" s="192"/>
    </row>
    <row r="193" spans="2:6" ht="12" customHeight="1" x14ac:dyDescent="0.2">
      <c r="C193" s="192"/>
      <c r="D193" s="192"/>
      <c r="E193" s="192"/>
      <c r="F193" s="192"/>
    </row>
    <row r="194" spans="2:6" ht="12" customHeight="1" x14ac:dyDescent="0.2">
      <c r="C194" s="192"/>
      <c r="D194" s="192"/>
      <c r="E194" s="192"/>
      <c r="F194" s="192"/>
    </row>
    <row r="195" spans="2:6" ht="12" customHeight="1" x14ac:dyDescent="0.2">
      <c r="C195" s="192"/>
      <c r="D195" s="192"/>
      <c r="E195" s="192"/>
      <c r="F195" s="192"/>
    </row>
    <row r="196" spans="2:6" ht="12" customHeight="1" x14ac:dyDescent="0.2">
      <c r="C196" s="192"/>
      <c r="D196" s="192"/>
      <c r="E196" s="192"/>
      <c r="F196" s="192"/>
    </row>
    <row r="197" spans="2:6" ht="12" customHeight="1" x14ac:dyDescent="0.2">
      <c r="C197" s="192"/>
      <c r="D197" s="192"/>
      <c r="E197" s="192"/>
      <c r="F197" s="192"/>
    </row>
    <row r="198" spans="2:6" ht="12" customHeight="1" x14ac:dyDescent="0.2">
      <c r="C198" s="192"/>
      <c r="D198" s="192"/>
      <c r="E198" s="192"/>
      <c r="F198" s="192"/>
    </row>
    <row r="199" spans="2:6" ht="14.25" customHeight="1" x14ac:dyDescent="0.2"/>
    <row r="200" spans="2:6" ht="15.75" hidden="1" x14ac:dyDescent="0.25">
      <c r="B200" s="351"/>
      <c r="C200" s="227"/>
    </row>
    <row r="201" spans="2:6" ht="15" hidden="1" x14ac:dyDescent="0.25">
      <c r="B201" s="313"/>
      <c r="C201" s="353"/>
    </row>
    <row r="202" spans="2:6" ht="15" hidden="1" x14ac:dyDescent="0.25">
      <c r="B202" s="313"/>
      <c r="C202" s="357"/>
    </row>
    <row r="203" spans="2:6" ht="15" hidden="1" x14ac:dyDescent="0.25">
      <c r="B203" s="313"/>
      <c r="C203" s="192"/>
    </row>
    <row r="204" spans="2:6" hidden="1" x14ac:dyDescent="0.2">
      <c r="B204" s="279"/>
    </row>
    <row r="205" spans="2:6" hidden="1" x14ac:dyDescent="0.2">
      <c r="B205" s="279"/>
    </row>
    <row r="206" spans="2:6" hidden="1" x14ac:dyDescent="0.2">
      <c r="B206" s="279"/>
    </row>
    <row r="207" spans="2:6" hidden="1" x14ac:dyDescent="0.2"/>
    <row r="208" spans="2:6" hidden="1" x14ac:dyDescent="0.2"/>
    <row r="209" spans="2:14" hidden="1" x14ac:dyDescent="0.2">
      <c r="C209" s="310">
        <v>41698</v>
      </c>
      <c r="D209" s="310">
        <v>41609</v>
      </c>
      <c r="E209" s="310">
        <v>41548</v>
      </c>
      <c r="F209" s="310">
        <v>41487</v>
      </c>
      <c r="G209" s="624">
        <v>41426</v>
      </c>
      <c r="H209" s="310">
        <v>41365</v>
      </c>
      <c r="I209" s="723">
        <v>41306</v>
      </c>
      <c r="J209" s="310">
        <v>41274</v>
      </c>
      <c r="K209" s="310">
        <v>41213</v>
      </c>
      <c r="L209" s="310">
        <v>41152</v>
      </c>
      <c r="M209" s="311">
        <v>41090</v>
      </c>
      <c r="N209" s="310">
        <v>41029</v>
      </c>
    </row>
    <row r="210" spans="2:14" hidden="1" x14ac:dyDescent="0.2">
      <c r="B210" s="57" t="s">
        <v>131</v>
      </c>
      <c r="C210" s="227">
        <f>C73</f>
        <v>153846.26000000004</v>
      </c>
      <c r="D210" s="227">
        <f>105452.64+311868.06-305987</f>
        <v>111333.70000000001</v>
      </c>
      <c r="E210" s="227">
        <v>85798.300000000017</v>
      </c>
      <c r="F210" s="192">
        <f>53253.08+18642.89</f>
        <v>71895.97</v>
      </c>
      <c r="G210" s="624">
        <v>126315</v>
      </c>
      <c r="H210" s="192">
        <v>69404</v>
      </c>
      <c r="I210" s="723">
        <v>75744</v>
      </c>
      <c r="J210" s="192">
        <v>119840.47</v>
      </c>
      <c r="K210" s="192">
        <v>120024</v>
      </c>
      <c r="L210" s="192">
        <v>109142</v>
      </c>
      <c r="M210" s="309">
        <v>142216.66</v>
      </c>
      <c r="N210" s="192">
        <v>104785.62</v>
      </c>
    </row>
    <row r="211" spans="2:14" hidden="1" x14ac:dyDescent="0.2">
      <c r="B211" s="57" t="s">
        <v>132</v>
      </c>
      <c r="C211" s="227">
        <f>D73</f>
        <v>87806.46</v>
      </c>
      <c r="D211" s="227">
        <f>74767.18-13600.56</f>
        <v>61166.619999999995</v>
      </c>
      <c r="E211" s="227">
        <v>86248.31</v>
      </c>
      <c r="F211" s="192">
        <v>43187.16</v>
      </c>
      <c r="G211" s="624">
        <v>60049</v>
      </c>
      <c r="H211" s="192">
        <v>101941</v>
      </c>
      <c r="I211" s="723">
        <v>43152</v>
      </c>
      <c r="J211" s="192">
        <v>58938.2</v>
      </c>
      <c r="K211" s="192">
        <v>85767</v>
      </c>
      <c r="L211" s="192">
        <v>119436</v>
      </c>
      <c r="M211" s="309">
        <v>73223.850000000006</v>
      </c>
      <c r="N211" s="192">
        <v>86907.23</v>
      </c>
    </row>
    <row r="212" spans="2:14" hidden="1" x14ac:dyDescent="0.2">
      <c r="B212" s="57" t="s">
        <v>133</v>
      </c>
      <c r="C212" s="227">
        <f>E73</f>
        <v>67826.01999999999</v>
      </c>
      <c r="D212" s="227">
        <f>66720.93-13675.33</f>
        <v>53045.599999999991</v>
      </c>
      <c r="E212" s="227">
        <v>32950.589999999997</v>
      </c>
      <c r="F212" s="192">
        <v>65970.55</v>
      </c>
      <c r="G212" s="624">
        <v>18719</v>
      </c>
      <c r="H212" s="192">
        <v>3668</v>
      </c>
      <c r="I212" s="723">
        <v>50430</v>
      </c>
      <c r="J212" s="192">
        <v>88408.17</v>
      </c>
      <c r="K212" s="192">
        <v>26680</v>
      </c>
      <c r="L212" s="192">
        <v>51922</v>
      </c>
      <c r="M212" s="309">
        <v>77261.37</v>
      </c>
      <c r="N212" s="192">
        <v>11021.67</v>
      </c>
    </row>
    <row r="213" spans="2:14" hidden="1" x14ac:dyDescent="0.2">
      <c r="B213" s="57" t="s">
        <v>134</v>
      </c>
      <c r="C213" s="227">
        <f>F73</f>
        <v>89001.57</v>
      </c>
      <c r="D213" s="227">
        <v>86322.43</v>
      </c>
      <c r="E213" s="227">
        <v>66109.450000000012</v>
      </c>
      <c r="F213" s="192">
        <v>56011.13</v>
      </c>
      <c r="G213" s="624">
        <v>1250</v>
      </c>
      <c r="H213" s="192">
        <v>0</v>
      </c>
      <c r="I213" s="723">
        <v>9959</v>
      </c>
      <c r="J213" s="192">
        <v>18374.45</v>
      </c>
      <c r="K213" s="192">
        <v>22103</v>
      </c>
      <c r="L213" s="192">
        <v>71168</v>
      </c>
      <c r="M213" s="309">
        <v>55167.87</v>
      </c>
      <c r="N213" s="192"/>
    </row>
    <row r="214" spans="2:14" hidden="1" x14ac:dyDescent="0.2">
      <c r="C214" s="227">
        <f>SUM(C210:C213)</f>
        <v>398480.31</v>
      </c>
      <c r="D214" s="227">
        <f>SUM(D210:D213)</f>
        <v>311868.34999999998</v>
      </c>
      <c r="E214" s="227">
        <v>271106.65000000002</v>
      </c>
      <c r="F214" s="192">
        <f>SUM(F210:F213)</f>
        <v>237064.81</v>
      </c>
      <c r="G214" s="624">
        <f t="shared" ref="G214:N214" si="5">SUM(G210:G213)</f>
        <v>206333</v>
      </c>
      <c r="H214" s="192">
        <f t="shared" si="5"/>
        <v>175013</v>
      </c>
      <c r="I214" s="723">
        <f t="shared" si="5"/>
        <v>179285</v>
      </c>
      <c r="J214" s="192">
        <f t="shared" si="5"/>
        <v>285561.28999999998</v>
      </c>
      <c r="K214" s="192">
        <f t="shared" si="5"/>
        <v>254574</v>
      </c>
      <c r="L214" s="192">
        <f t="shared" si="5"/>
        <v>351668</v>
      </c>
      <c r="M214" s="192">
        <f t="shared" si="5"/>
        <v>347869.75</v>
      </c>
      <c r="N214" s="192">
        <f t="shared" si="5"/>
        <v>202714.52</v>
      </c>
    </row>
    <row r="215" spans="2:14" hidden="1" x14ac:dyDescent="0.2">
      <c r="D215" s="192"/>
      <c r="E215" s="192"/>
      <c r="F215" s="192"/>
      <c r="H215" s="192"/>
      <c r="I215" s="723"/>
      <c r="J215" s="192"/>
      <c r="K215" s="192"/>
      <c r="L215" s="309"/>
    </row>
    <row r="216" spans="2:14" hidden="1" x14ac:dyDescent="0.2">
      <c r="C216" s="192"/>
      <c r="D216" s="192"/>
      <c r="E216" s="192"/>
      <c r="F216" s="192"/>
      <c r="H216" s="309"/>
      <c r="J216" s="309"/>
      <c r="K216" s="309"/>
    </row>
    <row r="217" spans="2:14" hidden="1" x14ac:dyDescent="0.2">
      <c r="C217" s="192"/>
      <c r="D217" s="192"/>
      <c r="E217" s="192"/>
      <c r="F217" s="192"/>
      <c r="H217" s="309"/>
      <c r="J217" s="309"/>
      <c r="K217" s="309"/>
    </row>
    <row r="218" spans="2:14" hidden="1" x14ac:dyDescent="0.2"/>
    <row r="219" spans="2:14" hidden="1" x14ac:dyDescent="0.2"/>
    <row r="220" spans="2:14" hidden="1" x14ac:dyDescent="0.2"/>
    <row r="221" spans="2:14" hidden="1" x14ac:dyDescent="0.2"/>
    <row r="222" spans="2:14" hidden="1" x14ac:dyDescent="0.2"/>
    <row r="223" spans="2:14" hidden="1" x14ac:dyDescent="0.2"/>
    <row r="224" spans="2:1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7"/>
  <sheetViews>
    <sheetView topLeftCell="A13" zoomScale="70" zoomScaleNormal="70" workbookViewId="0">
      <selection activeCell="H64" sqref="H64"/>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168</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47</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48</v>
      </c>
      <c r="B6" s="64"/>
      <c r="C6" s="64"/>
      <c r="D6" s="64"/>
      <c r="E6" s="64"/>
      <c r="F6" s="64"/>
      <c r="G6" s="240"/>
      <c r="H6" s="974" t="s">
        <v>49</v>
      </c>
      <c r="I6" s="974"/>
      <c r="J6" s="974"/>
      <c r="K6" s="240"/>
      <c r="L6" s="240"/>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50</v>
      </c>
      <c r="C8" s="153"/>
      <c r="D8" s="153"/>
      <c r="E8" s="153"/>
      <c r="F8" s="153"/>
      <c r="G8" s="323"/>
      <c r="H8" s="281">
        <v>44985</v>
      </c>
      <c r="I8" s="281"/>
      <c r="J8" s="281">
        <v>44926</v>
      </c>
      <c r="K8" s="71"/>
      <c r="L8" s="281">
        <f>H8-366+1</f>
        <v>44620</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51</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76</v>
      </c>
      <c r="E11" s="75"/>
      <c r="F11" s="75"/>
      <c r="G11" s="261"/>
      <c r="H11" s="261" t="s">
        <v>99</v>
      </c>
      <c r="I11" s="261"/>
      <c r="J11" s="261" t="s">
        <v>99</v>
      </c>
      <c r="K11" s="76"/>
      <c r="L11" s="261" t="s">
        <v>99</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77</v>
      </c>
      <c r="E12" s="75"/>
      <c r="F12" s="75"/>
      <c r="G12" s="261"/>
      <c r="H12" s="261" t="s">
        <v>99</v>
      </c>
      <c r="I12" s="261"/>
      <c r="J12" s="261" t="s">
        <v>99</v>
      </c>
      <c r="K12" s="76"/>
      <c r="L12" s="261" t="s">
        <v>99</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177</v>
      </c>
      <c r="E13" s="75"/>
      <c r="F13" s="75"/>
      <c r="G13" s="244"/>
      <c r="H13" s="244">
        <v>342485.26</v>
      </c>
      <c r="I13" s="244"/>
      <c r="J13" s="244">
        <v>432400.88</v>
      </c>
      <c r="K13" s="76"/>
      <c r="L13" s="244">
        <v>331182.17</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178</v>
      </c>
      <c r="E14" s="75"/>
      <c r="F14" s="75"/>
      <c r="G14" s="234"/>
      <c r="H14" s="234">
        <v>39591.14</v>
      </c>
      <c r="I14" s="234"/>
      <c r="J14" s="234">
        <v>220.4</v>
      </c>
      <c r="K14" s="76"/>
      <c r="L14" s="234">
        <v>200.48</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78</v>
      </c>
      <c r="E15" s="78"/>
      <c r="F15" s="78"/>
      <c r="G15" s="232"/>
      <c r="H15" s="235">
        <v>200</v>
      </c>
      <c r="I15" s="232"/>
      <c r="J15" s="235">
        <v>200</v>
      </c>
      <c r="K15" s="76"/>
      <c r="L15" s="235">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52</v>
      </c>
      <c r="D16" s="73"/>
      <c r="E16" s="73"/>
      <c r="F16" s="73"/>
      <c r="G16" s="236"/>
      <c r="H16" s="236">
        <f>SUM(H13:H15)</f>
        <v>382276.4</v>
      </c>
      <c r="I16" s="236"/>
      <c r="J16" s="236">
        <f>SUM(J13:J15)</f>
        <v>432821.28</v>
      </c>
      <c r="K16" s="68"/>
      <c r="L16" s="236">
        <f>ROUND(SUM(L10:L15),5)</f>
        <v>331582.65000000002</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4"/>
      <c r="H17" s="234"/>
      <c r="I17" s="234"/>
      <c r="J17" s="234"/>
      <c r="K17" s="68"/>
      <c r="L17" s="234"/>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54</v>
      </c>
      <c r="D18" s="73"/>
      <c r="E18" s="73"/>
      <c r="F18" s="73"/>
      <c r="G18" s="234"/>
      <c r="H18" s="234"/>
      <c r="I18" s="234"/>
      <c r="J18" s="234"/>
      <c r="K18" s="68"/>
      <c r="L18" s="234"/>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148</v>
      </c>
      <c r="E19" s="79"/>
      <c r="F19" s="79"/>
      <c r="G19" s="280"/>
      <c r="H19" s="280">
        <f>'February''23 AR Aging '!G73</f>
        <v>398480.31</v>
      </c>
      <c r="I19" s="280"/>
      <c r="J19" s="280">
        <v>362006.45</v>
      </c>
      <c r="K19" s="247"/>
      <c r="L19" s="280">
        <v>403181.63</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89"/>
      <c r="B20" s="391"/>
      <c r="C20" s="79"/>
      <c r="D20" s="79" t="s">
        <v>160</v>
      </c>
      <c r="E20" s="79"/>
      <c r="F20" s="79"/>
      <c r="G20" s="280"/>
      <c r="H20" s="232">
        <v>0</v>
      </c>
      <c r="I20" s="232"/>
      <c r="J20" s="232"/>
      <c r="K20" s="247"/>
      <c r="L20" s="232">
        <v>100000</v>
      </c>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1"/>
      <c r="C21" s="75"/>
      <c r="D21" s="75" t="s">
        <v>212</v>
      </c>
      <c r="E21" s="75"/>
      <c r="F21" s="75"/>
      <c r="G21" s="234"/>
      <c r="H21" s="234">
        <v>390206.58</v>
      </c>
      <c r="I21" s="234"/>
      <c r="J21" s="234">
        <v>385735.14</v>
      </c>
      <c r="K21" s="247"/>
      <c r="L21" s="234">
        <v>319586.55</v>
      </c>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1"/>
      <c r="C22" s="78"/>
      <c r="D22" s="78" t="s">
        <v>79</v>
      </c>
      <c r="E22" s="78"/>
      <c r="F22" s="78"/>
      <c r="G22" s="232"/>
      <c r="H22" s="235">
        <v>11558.64</v>
      </c>
      <c r="I22" s="232"/>
      <c r="J22" s="398">
        <v>5781.31</v>
      </c>
      <c r="K22" s="247"/>
      <c r="L22" s="235">
        <v>15845.6</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55</v>
      </c>
      <c r="D23" s="67"/>
      <c r="E23" s="67"/>
      <c r="F23" s="67"/>
      <c r="G23" s="237"/>
      <c r="H23" s="237">
        <f>SUM(H19:H22)</f>
        <v>800245.53</v>
      </c>
      <c r="I23" s="237"/>
      <c r="J23" s="237">
        <f>SUM(J19:J22)</f>
        <v>753522.90000000014</v>
      </c>
      <c r="K23" s="262"/>
      <c r="L23" s="237">
        <f>SUM(L19:L22)</f>
        <v>838613.77999999991</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2"/>
      <c r="H24" s="232"/>
      <c r="I24" s="232"/>
      <c r="J24" s="232"/>
      <c r="K24" s="68"/>
      <c r="L24" s="232"/>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56</v>
      </c>
      <c r="C25" s="80"/>
      <c r="D25" s="80"/>
      <c r="E25" s="80"/>
      <c r="F25" s="80"/>
      <c r="G25" s="237"/>
      <c r="H25" s="724">
        <f>H16+H23</f>
        <v>1182521.9300000002</v>
      </c>
      <c r="I25" s="237"/>
      <c r="J25" s="724">
        <f>J16+J23</f>
        <v>1186344.1800000002</v>
      </c>
      <c r="K25" s="68"/>
      <c r="L25" s="724">
        <f>L16+L23</f>
        <v>1170196.43</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7"/>
      <c r="H26" s="236"/>
      <c r="I26" s="237"/>
      <c r="J26" s="236"/>
      <c r="K26" s="68"/>
      <c r="L26" s="236"/>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57</v>
      </c>
      <c r="C27" s="70"/>
      <c r="D27" s="70"/>
      <c r="E27" s="70"/>
      <c r="F27" s="70"/>
      <c r="G27" s="267"/>
      <c r="H27" s="238"/>
      <c r="I27" s="267"/>
      <c r="J27" s="238"/>
      <c r="K27" s="71"/>
      <c r="L27" s="238"/>
      <c r="M27" s="71"/>
      <c r="N27" s="71"/>
      <c r="O27" s="71"/>
      <c r="P27" s="74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1"/>
      <c r="C28" s="75"/>
      <c r="D28" s="75" t="s">
        <v>80</v>
      </c>
      <c r="E28" s="75"/>
      <c r="F28" s="75"/>
      <c r="G28" s="232"/>
      <c r="H28" s="234">
        <v>221731.4</v>
      </c>
      <c r="I28" s="232"/>
      <c r="J28" s="234">
        <v>221731.4</v>
      </c>
      <c r="K28" s="247"/>
      <c r="L28" s="234">
        <v>192474.47</v>
      </c>
      <c r="M28" s="76"/>
      <c r="N28" s="76"/>
      <c r="O28" s="76"/>
      <c r="P28" s="247"/>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1"/>
      <c r="C29" s="75"/>
      <c r="D29" s="75" t="s">
        <v>81</v>
      </c>
      <c r="E29" s="75"/>
      <c r="F29" s="75"/>
      <c r="G29" s="232"/>
      <c r="H29" s="234">
        <v>49562</v>
      </c>
      <c r="I29" s="232"/>
      <c r="J29" s="234">
        <v>49562</v>
      </c>
      <c r="K29" s="247"/>
      <c r="L29" s="234">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1"/>
      <c r="C30" s="75"/>
      <c r="D30" s="75" t="s">
        <v>82</v>
      </c>
      <c r="E30" s="75"/>
      <c r="F30" s="75"/>
      <c r="G30" s="232"/>
      <c r="H30" s="234">
        <v>207734.77</v>
      </c>
      <c r="I30" s="232"/>
      <c r="J30" s="234">
        <v>207734.77</v>
      </c>
      <c r="K30" s="247"/>
      <c r="L30" s="234">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83</v>
      </c>
      <c r="E31" s="79"/>
      <c r="F31" s="79"/>
      <c r="G31" s="232"/>
      <c r="H31" s="232">
        <v>-324036.03999999998</v>
      </c>
      <c r="I31" s="232"/>
      <c r="J31" s="232">
        <v>-324036.03999999998</v>
      </c>
      <c r="K31" s="247"/>
      <c r="L31" s="232">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326</v>
      </c>
      <c r="C32" s="80"/>
      <c r="D32" s="80"/>
      <c r="E32" s="80"/>
      <c r="F32" s="80"/>
      <c r="G32" s="237"/>
      <c r="H32" s="239">
        <f>146076.08+88000</f>
        <v>234076.08</v>
      </c>
      <c r="I32" s="237"/>
      <c r="J32" s="239">
        <v>151755.57999999999</v>
      </c>
      <c r="K32" s="68"/>
      <c r="L32" s="239">
        <v>123847.16</v>
      </c>
      <c r="M32" s="68"/>
      <c r="N32" s="68"/>
      <c r="O32" s="68"/>
      <c r="P32" s="742"/>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7"/>
      <c r="H33" s="236" t="s">
        <v>580</v>
      </c>
      <c r="I33" s="237"/>
      <c r="J33" s="236"/>
      <c r="K33" s="68"/>
      <c r="L33" s="236"/>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2"/>
      <c r="H34" s="232"/>
      <c r="I34" s="232"/>
      <c r="J34" s="232"/>
      <c r="K34" s="68"/>
      <c r="L34" s="232"/>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58</v>
      </c>
      <c r="B35" s="81"/>
      <c r="C35" s="81"/>
      <c r="D35" s="81"/>
      <c r="E35" s="81"/>
      <c r="F35" s="81"/>
      <c r="G35" s="269"/>
      <c r="H35" s="245">
        <f>H25+H32</f>
        <v>1416598.0100000002</v>
      </c>
      <c r="I35" s="269"/>
      <c r="J35" s="245">
        <f>J25+J32</f>
        <v>1338099.7600000002</v>
      </c>
      <c r="K35" s="82"/>
      <c r="L35" s="245">
        <f>L25+L32</f>
        <v>1294043.5899999999</v>
      </c>
      <c r="M35" s="82"/>
      <c r="N35" s="82"/>
      <c r="O35" s="82"/>
      <c r="P35" s="618"/>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5"/>
      <c r="H36" s="237"/>
      <c r="I36" s="237"/>
      <c r="J36" s="237"/>
      <c r="K36" s="84"/>
      <c r="L36" s="237"/>
      <c r="M36" s="84"/>
      <c r="N36" s="84"/>
      <c r="O36" s="84"/>
      <c r="P36" s="401"/>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59</v>
      </c>
      <c r="B37" s="64"/>
      <c r="C37" s="64"/>
      <c r="D37" s="64"/>
      <c r="E37" s="64"/>
      <c r="F37" s="64"/>
      <c r="G37" s="324"/>
      <c r="H37" s="240"/>
      <c r="I37" s="240"/>
      <c r="J37" s="240"/>
      <c r="K37" s="65"/>
      <c r="L37" s="240"/>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4"/>
      <c r="H38" s="234"/>
      <c r="I38" s="232"/>
      <c r="J38" s="234"/>
      <c r="K38" s="68"/>
      <c r="L38" s="234"/>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60</v>
      </c>
      <c r="C39" s="87"/>
      <c r="D39" s="87"/>
      <c r="E39" s="87"/>
      <c r="F39" s="87"/>
      <c r="G39" s="241"/>
      <c r="H39" s="241"/>
      <c r="I39" s="241"/>
      <c r="J39" s="241"/>
      <c r="K39" s="68"/>
      <c r="L39" s="241"/>
      <c r="M39" s="68"/>
      <c r="N39" s="68"/>
      <c r="O39" s="68"/>
      <c r="P39" s="38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2"/>
      <c r="H40" s="234"/>
      <c r="I40" s="232"/>
      <c r="J40" s="234"/>
      <c r="K40" s="68"/>
      <c r="L40" s="234"/>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61</v>
      </c>
      <c r="C41" s="154"/>
      <c r="D41" s="153"/>
      <c r="E41" s="153"/>
      <c r="F41" s="153"/>
      <c r="G41" s="267"/>
      <c r="H41" s="233"/>
      <c r="I41" s="267"/>
      <c r="J41" s="233"/>
      <c r="K41" s="71"/>
      <c r="L41" s="233"/>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149</v>
      </c>
      <c r="F42" s="75"/>
      <c r="G42" s="246"/>
      <c r="H42" s="246">
        <f>6581.47+0.5+5000+1000</f>
        <v>12581.970000000001</v>
      </c>
      <c r="I42" s="246"/>
      <c r="J42" s="246">
        <v>21269.25</v>
      </c>
      <c r="K42" s="379"/>
      <c r="L42" s="246">
        <v>56130.89</v>
      </c>
      <c r="M42" s="76"/>
      <c r="N42" s="379"/>
      <c r="O42" s="76"/>
      <c r="P42" s="725"/>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96</v>
      </c>
      <c r="F43" s="75"/>
      <c r="G43" s="232"/>
      <c r="H43" s="232">
        <v>962.61</v>
      </c>
      <c r="I43" s="232"/>
      <c r="J43" s="232">
        <v>484.79</v>
      </c>
      <c r="K43" s="76"/>
      <c r="L43" s="232">
        <v>982.98</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hidden="1" x14ac:dyDescent="0.2">
      <c r="A44" s="420"/>
      <c r="B44" s="420"/>
      <c r="C44" s="420"/>
      <c r="D44" s="420" t="s">
        <v>407</v>
      </c>
      <c r="F44" s="420"/>
      <c r="G44" s="232"/>
      <c r="H44" s="232">
        <v>0</v>
      </c>
      <c r="I44" s="232"/>
      <c r="J44" s="232"/>
      <c r="K44" s="76"/>
      <c r="L44" s="232"/>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420"/>
      <c r="B45" s="420"/>
      <c r="C45" s="420"/>
      <c r="D45" s="1036" t="s">
        <v>494</v>
      </c>
      <c r="E45" s="1036"/>
      <c r="F45" s="1036"/>
      <c r="G45" s="232"/>
      <c r="H45" s="232">
        <f>52997.61+88000</f>
        <v>140997.60999999999</v>
      </c>
      <c r="I45" s="232"/>
      <c r="J45" s="232">
        <v>53584.59</v>
      </c>
      <c r="K45" s="76"/>
      <c r="L45" s="232"/>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x14ac:dyDescent="0.2">
      <c r="A46" s="75"/>
      <c r="B46" s="75"/>
      <c r="C46" s="75"/>
      <c r="D46" s="79" t="s">
        <v>84</v>
      </c>
      <c r="F46" s="75"/>
      <c r="G46" s="232"/>
      <c r="H46" s="234">
        <v>0</v>
      </c>
      <c r="I46" s="234"/>
      <c r="J46" s="234">
        <v>30370</v>
      </c>
      <c r="K46" s="76"/>
      <c r="L46" s="234"/>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hidden="1" x14ac:dyDescent="0.2">
      <c r="A47" s="75"/>
      <c r="B47" s="75"/>
      <c r="C47" s="75"/>
      <c r="D47" s="79" t="s">
        <v>156</v>
      </c>
      <c r="F47" s="75"/>
      <c r="G47" s="232"/>
      <c r="H47" s="234">
        <v>0</v>
      </c>
      <c r="I47" s="234"/>
      <c r="J47" s="234">
        <v>0</v>
      </c>
      <c r="K47" s="76"/>
      <c r="L47" s="234">
        <v>0</v>
      </c>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75"/>
      <c r="D48" s="78" t="s">
        <v>95</v>
      </c>
      <c r="E48" s="152"/>
      <c r="F48" s="78"/>
      <c r="G48" s="232"/>
      <c r="H48" s="234">
        <f>'February''23 Revenues &amp; Expenses'!L58</f>
        <v>160339.62</v>
      </c>
      <c r="I48" s="322"/>
      <c r="J48" s="234">
        <v>181336.19</v>
      </c>
      <c r="K48" s="247"/>
      <c r="L48" s="234">
        <v>171683.94</v>
      </c>
      <c r="M48" s="76"/>
      <c r="N48" s="76"/>
      <c r="O48" s="76"/>
      <c r="P48" s="247"/>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20.25" x14ac:dyDescent="0.2">
      <c r="A49" s="75"/>
      <c r="B49" s="75"/>
      <c r="C49" s="80" t="s">
        <v>71</v>
      </c>
      <c r="D49" s="75"/>
      <c r="F49" s="75"/>
      <c r="G49" s="232"/>
      <c r="H49" s="242">
        <f>SUM(H42:H48)</f>
        <v>314881.81</v>
      </c>
      <c r="I49" s="322"/>
      <c r="J49" s="242">
        <f>SUM(J42:J48)</f>
        <v>287044.82</v>
      </c>
      <c r="K49" s="76"/>
      <c r="L49" s="242">
        <f>SUM(L42:L48)</f>
        <v>228797.81</v>
      </c>
      <c r="M49" s="76"/>
      <c r="N49" s="76"/>
      <c r="O49" s="76"/>
      <c r="P49" s="725"/>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9.75" customHeight="1" x14ac:dyDescent="0.2">
      <c r="A50" s="75"/>
      <c r="B50" s="75"/>
      <c r="C50" s="75"/>
      <c r="D50" s="75"/>
      <c r="E50" s="75"/>
      <c r="F50" s="75"/>
      <c r="G50" s="232"/>
      <c r="H50" s="234"/>
      <c r="I50" s="322"/>
      <c r="J50" s="234"/>
      <c r="K50" s="76"/>
      <c r="L50" s="234"/>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88" t="s">
        <v>73</v>
      </c>
      <c r="D51" s="88"/>
      <c r="E51" s="152"/>
      <c r="F51" s="152"/>
      <c r="G51" s="232"/>
      <c r="H51" s="235"/>
      <c r="I51" s="322"/>
      <c r="J51" s="235"/>
      <c r="K51" s="76"/>
      <c r="L51" s="235"/>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87</v>
      </c>
      <c r="E52" s="75"/>
      <c r="F52" s="75"/>
      <c r="G52" s="232"/>
      <c r="H52" s="232">
        <f>58247.51+5924.9-H54-H55</f>
        <v>62288.160000000003</v>
      </c>
      <c r="I52" s="322"/>
      <c r="J52" s="232">
        <f>44806.79+3367.62-J54-J55</f>
        <v>45529.890000000007</v>
      </c>
      <c r="K52" s="76"/>
      <c r="L52" s="232">
        <f>44176.62+6319.41-L54-L55</f>
        <v>47940.749999999993</v>
      </c>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88</v>
      </c>
      <c r="E53" s="75"/>
      <c r="F53" s="75"/>
      <c r="G53" s="232"/>
      <c r="H53" s="232">
        <v>27732.7</v>
      </c>
      <c r="I53" s="322"/>
      <c r="J53" s="232">
        <v>23300.52</v>
      </c>
      <c r="K53" s="76"/>
      <c r="L53" s="232">
        <v>30677.33</v>
      </c>
      <c r="M53" s="76"/>
      <c r="N53" s="76"/>
      <c r="O53" s="76"/>
      <c r="P53" s="76"/>
      <c r="Q53" s="247"/>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89</v>
      </c>
      <c r="E54" s="75"/>
      <c r="F54" s="75"/>
      <c r="G54" s="232"/>
      <c r="H54" s="234">
        <v>1708.87</v>
      </c>
      <c r="I54" s="322"/>
      <c r="J54" s="234">
        <v>2469.14</v>
      </c>
      <c r="K54" s="76"/>
      <c r="L54" s="234">
        <v>2203.98</v>
      </c>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75"/>
      <c r="D55" s="75" t="s">
        <v>90</v>
      </c>
      <c r="E55" s="75"/>
      <c r="F55" s="75"/>
      <c r="G55" s="232"/>
      <c r="H55" s="235">
        <v>175.38</v>
      </c>
      <c r="I55" s="322"/>
      <c r="J55" s="235">
        <v>175.38</v>
      </c>
      <c r="K55" s="76"/>
      <c r="L55" s="235">
        <v>351.3</v>
      </c>
      <c r="M55" s="76"/>
      <c r="N55" s="76"/>
      <c r="O55" s="76"/>
      <c r="P55" s="76"/>
      <c r="Q55" s="247"/>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20.25" x14ac:dyDescent="0.2">
      <c r="A56" s="75"/>
      <c r="B56" s="75"/>
      <c r="C56" s="67" t="s">
        <v>72</v>
      </c>
      <c r="D56" s="75"/>
      <c r="F56" s="79"/>
      <c r="G56" s="232"/>
      <c r="H56" s="232">
        <f>ROUND(SUM(H51:H55),5)</f>
        <v>91905.11</v>
      </c>
      <c r="I56" s="322"/>
      <c r="J56" s="232">
        <f>SUM(J52:J55)</f>
        <v>71474.930000000008</v>
      </c>
      <c r="K56" s="76"/>
      <c r="L56" s="232">
        <f>ROUND(SUM(L51:L55),5)</f>
        <v>81173.36</v>
      </c>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7" customFormat="1" ht="7.5" customHeight="1" x14ac:dyDescent="0.2">
      <c r="A57" s="75"/>
      <c r="B57" s="75"/>
      <c r="C57" s="78"/>
      <c r="D57" s="78"/>
      <c r="E57" s="78"/>
      <c r="F57" s="78"/>
      <c r="G57" s="232"/>
      <c r="H57" s="235"/>
      <c r="I57" s="322"/>
      <c r="J57" s="235"/>
      <c r="K57" s="76"/>
      <c r="L57" s="235"/>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row>
    <row r="58" spans="1:61" s="74" customFormat="1" ht="20.25" x14ac:dyDescent="0.2">
      <c r="A58" s="73"/>
      <c r="B58" s="73"/>
      <c r="C58" s="73" t="s">
        <v>74</v>
      </c>
      <c r="D58" s="73"/>
      <c r="E58" s="73"/>
      <c r="F58" s="73"/>
      <c r="G58" s="237"/>
      <c r="H58" s="236">
        <f>H49+H56</f>
        <v>406786.92</v>
      </c>
      <c r="I58" s="384"/>
      <c r="J58" s="236">
        <f>J49+J56</f>
        <v>358519.75</v>
      </c>
      <c r="K58" s="262"/>
      <c r="L58" s="236">
        <f>L49+L56</f>
        <v>309971.17</v>
      </c>
      <c r="M58" s="68"/>
      <c r="N58" s="341"/>
      <c r="O58" s="68"/>
      <c r="P58" s="341"/>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18.75" customHeight="1" x14ac:dyDescent="0.2">
      <c r="A59" s="73"/>
      <c r="B59" s="73"/>
      <c r="C59" s="73"/>
      <c r="D59" s="73"/>
      <c r="E59" s="73"/>
      <c r="F59" s="73"/>
      <c r="G59" s="237"/>
      <c r="H59" s="236"/>
      <c r="I59" s="384"/>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4" customFormat="1" ht="24" thickBot="1" x14ac:dyDescent="0.25">
      <c r="A60" s="73"/>
      <c r="B60" s="86" t="s">
        <v>62</v>
      </c>
      <c r="C60" s="87"/>
      <c r="D60" s="87"/>
      <c r="E60" s="87"/>
      <c r="F60" s="87"/>
      <c r="G60" s="232"/>
      <c r="H60" s="241"/>
      <c r="I60" s="322"/>
      <c r="J60" s="241"/>
      <c r="K60" s="68"/>
      <c r="L60" s="241"/>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row>
    <row r="61" spans="1:61" s="77" customFormat="1" ht="20.25" x14ac:dyDescent="0.2">
      <c r="A61" s="75"/>
      <c r="B61" s="75"/>
      <c r="D61" s="75" t="s">
        <v>329</v>
      </c>
      <c r="E61" s="75"/>
      <c r="F61" s="75"/>
      <c r="G61" s="232"/>
      <c r="H61" s="234">
        <f>J61+J63</f>
        <v>903686.6</v>
      </c>
      <c r="I61" s="322"/>
      <c r="J61" s="234">
        <f>893975.11+35972.48+12500</f>
        <v>942447.59</v>
      </c>
      <c r="K61" s="247"/>
      <c r="L61" s="234">
        <f>893975.11+35972.48+12500</f>
        <v>942447.59</v>
      </c>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7" customFormat="1" ht="20.25" x14ac:dyDescent="0.2">
      <c r="A62" s="75"/>
      <c r="B62" s="75"/>
      <c r="D62" s="75" t="s">
        <v>330</v>
      </c>
      <c r="E62" s="75"/>
      <c r="F62" s="75"/>
      <c r="G62" s="232"/>
      <c r="H62" s="234">
        <f>'February''23 Revenues &amp; Expenses'!L78-0.5</f>
        <v>125989.48999999999</v>
      </c>
      <c r="I62" s="322"/>
      <c r="J62" s="234">
        <v>75893.41</v>
      </c>
      <c r="K62" s="247"/>
      <c r="L62" s="234">
        <v>66575.28</v>
      </c>
      <c r="M62" s="76"/>
      <c r="N62" s="76"/>
      <c r="O62" s="247"/>
      <c r="P62" s="247"/>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row>
    <row r="63" spans="1:61" s="74" customFormat="1" ht="21" thickBot="1" x14ac:dyDescent="0.25">
      <c r="A63" s="73"/>
      <c r="B63" s="73"/>
      <c r="D63" s="75" t="s">
        <v>129</v>
      </c>
      <c r="E63" s="73"/>
      <c r="F63" s="87"/>
      <c r="G63" s="322"/>
      <c r="H63" s="241">
        <f>-13865.16-5000-1000</f>
        <v>-19865.16</v>
      </c>
      <c r="I63" s="322"/>
      <c r="J63" s="241">
        <v>-38760.99</v>
      </c>
      <c r="K63" s="68"/>
      <c r="L63" s="241">
        <v>-24950.45</v>
      </c>
      <c r="M63" s="68"/>
      <c r="N63" s="68"/>
      <c r="O63" s="68"/>
      <c r="P63" s="38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23.25" x14ac:dyDescent="0.2">
      <c r="A64" s="73"/>
      <c r="B64" s="89" t="s">
        <v>63</v>
      </c>
      <c r="C64" s="90"/>
      <c r="D64" s="90"/>
      <c r="E64" s="90"/>
      <c r="F64" s="67"/>
      <c r="G64" s="384"/>
      <c r="H64" s="237">
        <f>ROUND(SUM(H60:H63),5)</f>
        <v>1009810.93</v>
      </c>
      <c r="I64" s="384"/>
      <c r="J64" s="237">
        <f>ROUND(SUM(J60:J63),5)</f>
        <v>979580.01</v>
      </c>
      <c r="K64" s="68"/>
      <c r="L64" s="237">
        <f>ROUND(SUM(L60:L63),5)</f>
        <v>984072.42</v>
      </c>
      <c r="M64" s="68"/>
      <c r="N64" s="68"/>
      <c r="O64" s="68"/>
      <c r="P64" s="38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74" customFormat="1" ht="12.75" customHeight="1" x14ac:dyDescent="0.2">
      <c r="A65" s="73"/>
      <c r="B65" s="73"/>
      <c r="C65" s="73"/>
      <c r="D65" s="73"/>
      <c r="E65" s="73"/>
      <c r="F65" s="73"/>
      <c r="G65" s="322"/>
      <c r="H65" s="235"/>
      <c r="I65" s="322"/>
      <c r="J65" s="235"/>
      <c r="K65" s="68"/>
      <c r="L65" s="235"/>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row>
    <row r="66" spans="1:61" s="91" customFormat="1" ht="27" thickBot="1" x14ac:dyDescent="0.25">
      <c r="A66" s="81" t="s">
        <v>64</v>
      </c>
      <c r="B66" s="81"/>
      <c r="C66" s="81"/>
      <c r="D66" s="81"/>
      <c r="E66" s="81"/>
      <c r="F66" s="81"/>
      <c r="G66" s="385"/>
      <c r="H66" s="354">
        <f>SUM(H58+H64)</f>
        <v>1416597.85</v>
      </c>
      <c r="I66" s="385"/>
      <c r="J66" s="354">
        <f>SUM(J58+J64)</f>
        <v>1338099.76</v>
      </c>
      <c r="K66" s="82"/>
      <c r="L66" s="354">
        <f>SUM(L58+L64)</f>
        <v>1294043.5900000001</v>
      </c>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ht="15" thickTop="1" x14ac:dyDescent="0.2">
      <c r="D67" s="342"/>
      <c r="G67" s="1"/>
      <c r="I67" s="1"/>
    </row>
    <row r="68" spans="1:61" hidden="1" x14ac:dyDescent="0.2">
      <c r="G68" s="386"/>
      <c r="H68" s="249"/>
      <c r="I68" s="249"/>
      <c r="J68" s="249"/>
      <c r="L68" s="249"/>
    </row>
    <row r="69" spans="1:61" ht="14.25" customHeight="1" x14ac:dyDescent="0.2">
      <c r="C69" s="1035" t="s">
        <v>198</v>
      </c>
      <c r="D69" s="1035"/>
      <c r="E69" s="1035"/>
      <c r="F69" s="1035"/>
      <c r="G69" s="1"/>
      <c r="H69" s="435">
        <f>(H19+H16)/H58</f>
        <v>1.9193259950442851</v>
      </c>
      <c r="J69" s="435">
        <v>3.7805007540674778</v>
      </c>
      <c r="K69" s="262"/>
      <c r="L69" s="435">
        <f>(L19+L16)/L58</f>
        <v>2.3704278046245402</v>
      </c>
    </row>
    <row r="72" spans="1:61" x14ac:dyDescent="0.2">
      <c r="G72" s="272"/>
      <c r="H72" s="249"/>
      <c r="I72" s="272"/>
      <c r="J72" s="249"/>
      <c r="L72" s="249">
        <f>L66-L35</f>
        <v>0</v>
      </c>
    </row>
    <row r="73" spans="1:61" x14ac:dyDescent="0.2">
      <c r="L73" s="600"/>
    </row>
    <row r="77" spans="1:61" x14ac:dyDescent="0.2">
      <c r="H77" s="272"/>
    </row>
  </sheetData>
  <mergeCells count="3">
    <mergeCell ref="C69:F69"/>
    <mergeCell ref="H6:J6"/>
    <mergeCell ref="D45:F45"/>
  </mergeCells>
  <pageMargins left="0.7" right="0.45" top="0.25" bottom="0" header="0.3" footer="0"/>
  <pageSetup scale="71"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4"/>
  <sheetViews>
    <sheetView zoomScale="70" zoomScaleNormal="70" workbookViewId="0">
      <selection activeCell="N17" sqref="N17"/>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4" style="243" bestFit="1" customWidth="1"/>
    <col min="8" max="8" width="24.25" style="18" customWidth="1"/>
    <col min="9" max="9" width="1.625" style="18" customWidth="1"/>
    <col min="10" max="10" width="23" style="18" customWidth="1"/>
    <col min="11" max="11" width="1.875" style="366" customWidth="1"/>
    <col min="12" max="12" width="17.25" style="18" customWidth="1"/>
    <col min="13" max="13" width="10.75" style="18" bestFit="1" customWidth="1"/>
    <col min="14" max="14" width="72.625" style="530"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94</v>
      </c>
      <c r="B1" s="59"/>
      <c r="C1" s="60"/>
      <c r="D1" s="60"/>
      <c r="E1" s="60"/>
      <c r="F1" s="59"/>
      <c r="G1" s="230"/>
      <c r="H1" s="59"/>
      <c r="I1" s="59"/>
      <c r="J1" s="59"/>
      <c r="K1" s="358"/>
      <c r="L1" s="59"/>
      <c r="M1" s="59"/>
      <c r="N1" s="523"/>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332</v>
      </c>
      <c r="B2" s="59"/>
      <c r="C2" s="60"/>
      <c r="D2" s="60"/>
      <c r="E2" s="60"/>
      <c r="F2" s="59"/>
      <c r="G2" s="230"/>
      <c r="H2" s="59"/>
      <c r="I2" s="59"/>
      <c r="J2" s="230"/>
      <c r="K2" s="358"/>
      <c r="L2" s="59"/>
      <c r="M2" s="59"/>
      <c r="N2" s="523"/>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hidden="1" customHeight="1" x14ac:dyDescent="0.4">
      <c r="A3" s="58" t="s">
        <v>506</v>
      </c>
      <c r="B3" s="59"/>
      <c r="C3" s="60"/>
      <c r="D3" s="60"/>
      <c r="E3" s="60"/>
      <c r="F3" s="59"/>
      <c r="G3" s="230"/>
      <c r="H3" s="59"/>
      <c r="I3" s="59"/>
      <c r="J3" s="59"/>
      <c r="K3" s="358"/>
      <c r="L3" s="59"/>
      <c r="M3" s="59"/>
      <c r="N3" s="523"/>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hidden="1" customHeight="1" x14ac:dyDescent="0.4">
      <c r="A4" s="58" t="s">
        <v>581</v>
      </c>
      <c r="B4" s="59"/>
      <c r="C4" s="60"/>
      <c r="D4" s="60"/>
      <c r="E4" s="60"/>
      <c r="F4" s="59"/>
      <c r="G4" s="230"/>
      <c r="H4" s="59"/>
      <c r="I4" s="59"/>
      <c r="J4" s="59"/>
      <c r="K4" s="358"/>
      <c r="L4" s="59"/>
      <c r="M4" s="59"/>
      <c r="N4" s="523"/>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1"/>
      <c r="H5" s="62"/>
      <c r="I5" s="62"/>
      <c r="J5" s="62"/>
      <c r="K5" s="359"/>
      <c r="L5" s="62"/>
      <c r="M5" s="62"/>
      <c r="N5" s="524"/>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108</v>
      </c>
      <c r="B6" s="64"/>
      <c r="C6" s="64"/>
      <c r="D6" s="64"/>
      <c r="E6" s="64"/>
      <c r="F6" s="64"/>
      <c r="G6" s="974" t="s">
        <v>49</v>
      </c>
      <c r="H6" s="974"/>
      <c r="I6" s="974"/>
      <c r="J6" s="974"/>
      <c r="K6" s="607"/>
      <c r="L6" s="412" t="s">
        <v>181</v>
      </c>
      <c r="M6" s="412" t="s">
        <v>193</v>
      </c>
      <c r="N6" s="607" t="s">
        <v>180</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2"/>
      <c r="K7" s="361"/>
      <c r="N7" s="525"/>
    </row>
    <row r="8" spans="1:113" s="72" customFormat="1" ht="21" thickBot="1" x14ac:dyDescent="0.35">
      <c r="A8" s="69"/>
      <c r="B8" s="153" t="s">
        <v>100</v>
      </c>
      <c r="C8" s="153"/>
      <c r="D8" s="153"/>
      <c r="E8" s="153"/>
      <c r="F8" s="153"/>
      <c r="G8" s="281">
        <f>'February''23 Financial Position'!H8</f>
        <v>44985</v>
      </c>
      <c r="H8" s="281">
        <v>44926</v>
      </c>
      <c r="I8" s="323"/>
      <c r="J8" s="281">
        <f>G8-365</f>
        <v>44620</v>
      </c>
      <c r="K8" s="362"/>
      <c r="L8" s="1037" t="s">
        <v>620</v>
      </c>
      <c r="M8" s="1037"/>
      <c r="N8" s="808"/>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101</v>
      </c>
      <c r="D9" s="75"/>
      <c r="E9" s="75"/>
      <c r="F9" s="73"/>
      <c r="G9" s="263">
        <v>117105.44</v>
      </c>
      <c r="H9" s="263">
        <v>803443.93</v>
      </c>
      <c r="I9" s="326"/>
      <c r="J9" s="263">
        <v>128388.07</v>
      </c>
      <c r="K9" s="361"/>
      <c r="L9" s="378">
        <f>G9-J9</f>
        <v>-11282.630000000005</v>
      </c>
      <c r="M9" s="436">
        <f>L9/H9</f>
        <v>-1.4042834326970401E-2</v>
      </c>
      <c r="N9" s="526"/>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2"/>
      <c r="C10" s="75" t="s">
        <v>150</v>
      </c>
      <c r="D10" s="75"/>
      <c r="E10" s="75"/>
      <c r="F10" s="73"/>
      <c r="G10" s="264">
        <v>19007</v>
      </c>
      <c r="H10" s="264">
        <v>84477.91</v>
      </c>
      <c r="I10" s="322"/>
      <c r="J10" s="264">
        <v>8308.49</v>
      </c>
      <c r="K10" s="361"/>
      <c r="L10" s="275">
        <f>G10-J10</f>
        <v>10698.51</v>
      </c>
      <c r="M10" s="436">
        <f>L10/H10</f>
        <v>0.12664269274654166</v>
      </c>
      <c r="N10" s="525"/>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hidden="1" x14ac:dyDescent="0.2">
      <c r="A11" s="73"/>
      <c r="B11" s="392"/>
      <c r="C11" s="420" t="s">
        <v>489</v>
      </c>
      <c r="D11" s="420"/>
      <c r="E11" s="420"/>
      <c r="F11" s="73"/>
      <c r="G11" s="264">
        <v>0</v>
      </c>
      <c r="H11" s="264">
        <v>0</v>
      </c>
      <c r="I11" s="322"/>
      <c r="J11" s="264">
        <v>0</v>
      </c>
      <c r="K11" s="361"/>
      <c r="L11" s="275">
        <f>G11-J11</f>
        <v>0</v>
      </c>
      <c r="M11" s="436"/>
      <c r="N11" s="525"/>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2"/>
      <c r="C12" s="75" t="s">
        <v>179</v>
      </c>
      <c r="D12" s="75"/>
      <c r="E12" s="75"/>
      <c r="F12" s="73"/>
      <c r="G12" s="264">
        <v>8634.9500000000007</v>
      </c>
      <c r="H12" s="264">
        <v>37478.050000000003</v>
      </c>
      <c r="I12" s="322"/>
      <c r="J12" s="264">
        <v>7653.91</v>
      </c>
      <c r="K12" s="361"/>
      <c r="L12" s="275">
        <f>G12-J12</f>
        <v>981.04000000000087</v>
      </c>
      <c r="M12" s="436">
        <f>L12/H12</f>
        <v>2.6176388579448526E-2</v>
      </c>
      <c r="N12" s="525"/>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2"/>
      <c r="C13" s="420" t="s">
        <v>582</v>
      </c>
      <c r="D13" s="420"/>
      <c r="E13" s="420"/>
      <c r="F13" s="73"/>
      <c r="G13" s="264"/>
      <c r="H13" s="264">
        <f>15040+289.34</f>
        <v>15329.34</v>
      </c>
      <c r="I13" s="322"/>
      <c r="J13" s="264"/>
      <c r="K13" s="361"/>
      <c r="L13" s="275"/>
      <c r="M13" s="436"/>
      <c r="N13" s="525"/>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2"/>
      <c r="C14" s="75" t="s">
        <v>102</v>
      </c>
      <c r="D14" s="75"/>
      <c r="E14" s="75"/>
      <c r="F14" s="73"/>
      <c r="G14" s="264"/>
      <c r="H14" s="264"/>
      <c r="I14" s="322"/>
      <c r="J14" s="264"/>
      <c r="K14" s="361"/>
      <c r="L14" s="275"/>
      <c r="M14" s="436"/>
      <c r="N14" s="525"/>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2"/>
      <c r="C15" s="77"/>
      <c r="D15" s="75" t="s">
        <v>139</v>
      </c>
      <c r="E15" s="75"/>
      <c r="F15" s="73"/>
      <c r="G15" s="264">
        <v>30069.42</v>
      </c>
      <c r="H15" s="264">
        <v>207422.59</v>
      </c>
      <c r="I15" s="322"/>
      <c r="J15" s="264">
        <v>33899.29</v>
      </c>
      <c r="K15" s="361"/>
      <c r="L15" s="275">
        <f>G15-J15</f>
        <v>-3829.8700000000026</v>
      </c>
      <c r="M15" s="436">
        <f t="shared" ref="M15:M28" si="0">L15/H15</f>
        <v>-1.8464093038275158E-2</v>
      </c>
      <c r="N15" s="525"/>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2"/>
      <c r="C16" s="77"/>
      <c r="D16" s="75" t="s">
        <v>159</v>
      </c>
      <c r="E16" s="75"/>
      <c r="F16" s="73"/>
      <c r="G16" s="264">
        <v>3000</v>
      </c>
      <c r="H16" s="264">
        <v>18000</v>
      </c>
      <c r="I16" s="322"/>
      <c r="J16" s="264">
        <f>G16</f>
        <v>3000</v>
      </c>
      <c r="K16" s="361"/>
      <c r="L16" s="275">
        <f>G16-J16</f>
        <v>0</v>
      </c>
      <c r="M16" s="436">
        <f t="shared" si="0"/>
        <v>0</v>
      </c>
      <c r="N16" s="525"/>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2"/>
      <c r="C17" s="77"/>
      <c r="D17" s="420" t="s">
        <v>404</v>
      </c>
      <c r="E17" s="420"/>
      <c r="F17" s="73"/>
      <c r="G17" s="264">
        <v>20188.84</v>
      </c>
      <c r="H17" s="264">
        <v>267630.43</v>
      </c>
      <c r="I17" s="322"/>
      <c r="J17" s="264">
        <v>64619.4</v>
      </c>
      <c r="K17" s="361"/>
      <c r="L17" s="275">
        <f>G17-J17</f>
        <v>-44430.559999999998</v>
      </c>
      <c r="M17" s="436">
        <f t="shared" si="0"/>
        <v>-0.16601460454254025</v>
      </c>
      <c r="N17" s="525"/>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2"/>
      <c r="C18" s="75" t="s">
        <v>103</v>
      </c>
      <c r="D18" s="75"/>
      <c r="E18" s="75"/>
      <c r="F18" s="73"/>
      <c r="G18" s="264">
        <f>'February''23 Revenues &amp; Expenses'!J69</f>
        <v>5998.07</v>
      </c>
      <c r="H18" s="264">
        <v>17485.37</v>
      </c>
      <c r="I18" s="322"/>
      <c r="J18" s="264">
        <v>1970</v>
      </c>
      <c r="K18" s="361"/>
      <c r="L18" s="275">
        <f>G18-J18</f>
        <v>4028.0699999999997</v>
      </c>
      <c r="M18" s="436">
        <f t="shared" si="0"/>
        <v>0.23036801623299935</v>
      </c>
      <c r="N18" s="526"/>
      <c r="O18" s="68"/>
      <c r="P18" s="68"/>
      <c r="Q18" s="262"/>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2"/>
      <c r="C19" s="389" t="s">
        <v>161</v>
      </c>
      <c r="D19" s="389"/>
      <c r="E19" s="389"/>
      <c r="F19" s="73"/>
      <c r="G19" s="264">
        <v>50</v>
      </c>
      <c r="H19" s="264">
        <v>125</v>
      </c>
      <c r="I19" s="322"/>
      <c r="J19" s="264">
        <v>0</v>
      </c>
      <c r="K19" s="361"/>
      <c r="L19" s="275">
        <f>G19-J19</f>
        <v>50</v>
      </c>
      <c r="M19" s="436">
        <f t="shared" si="0"/>
        <v>0.4</v>
      </c>
      <c r="N19" s="526"/>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2"/>
      <c r="C20" s="75" t="s">
        <v>110</v>
      </c>
      <c r="D20" s="75"/>
      <c r="E20" s="75"/>
      <c r="F20" s="73"/>
      <c r="G20" s="264">
        <v>72.89</v>
      </c>
      <c r="H20" s="264">
        <v>433.36</v>
      </c>
      <c r="I20" s="322"/>
      <c r="J20" s="264">
        <v>79.260000000000005</v>
      </c>
      <c r="K20" s="361"/>
      <c r="L20" s="275">
        <f>G20-J20</f>
        <v>-6.3700000000000045</v>
      </c>
      <c r="M20" s="436">
        <f t="shared" si="0"/>
        <v>-1.4699095440280608E-2</v>
      </c>
      <c r="N20" s="525"/>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2"/>
      <c r="C21" s="389" t="s">
        <v>237</v>
      </c>
      <c r="D21" s="389"/>
      <c r="E21" s="389"/>
      <c r="F21" s="73"/>
      <c r="G21" s="264">
        <v>-591.19000000000005</v>
      </c>
      <c r="H21" s="264">
        <v>12684.73</v>
      </c>
      <c r="I21" s="322"/>
      <c r="J21" s="264">
        <v>-594.69000000000005</v>
      </c>
      <c r="K21" s="361"/>
      <c r="L21" s="275">
        <f>G21-J21</f>
        <v>3.5</v>
      </c>
      <c r="M21" s="436">
        <f t="shared" si="0"/>
        <v>2.7592230973777135E-4</v>
      </c>
      <c r="N21" s="525"/>
      <c r="O21" s="68"/>
      <c r="P21" s="68"/>
      <c r="Q21" s="262"/>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2"/>
      <c r="C22" s="75" t="s">
        <v>302</v>
      </c>
      <c r="D22" s="75"/>
      <c r="E22" s="75"/>
      <c r="F22" s="73"/>
      <c r="G22" s="264">
        <v>5062.63</v>
      </c>
      <c r="H22" s="264">
        <v>-61396.13</v>
      </c>
      <c r="I22" s="322"/>
      <c r="J22" s="264">
        <v>-14265.3</v>
      </c>
      <c r="K22" s="361"/>
      <c r="L22" s="275">
        <f>G22-J22</f>
        <v>19327.93</v>
      </c>
      <c r="M22" s="436">
        <f t="shared" si="0"/>
        <v>-0.31480697561882159</v>
      </c>
      <c r="N22" s="525"/>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2"/>
      <c r="C23" s="75" t="s">
        <v>457</v>
      </c>
      <c r="D23" s="75"/>
      <c r="E23" s="75"/>
      <c r="F23" s="73"/>
      <c r="G23" s="264">
        <v>20996.55</v>
      </c>
      <c r="H23" s="264">
        <v>168020.75</v>
      </c>
      <c r="I23" s="322"/>
      <c r="J23" s="264">
        <v>9259</v>
      </c>
      <c r="K23" s="361"/>
      <c r="L23" s="275">
        <f>G23-J23</f>
        <v>11737.55</v>
      </c>
      <c r="M23" s="436">
        <f t="shared" si="0"/>
        <v>6.9857740784992323E-2</v>
      </c>
      <c r="N23" s="525"/>
      <c r="O23" s="68"/>
      <c r="P23" s="68"/>
      <c r="Q23" s="262"/>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2"/>
      <c r="C24" s="75" t="s">
        <v>145</v>
      </c>
      <c r="D24" s="75"/>
      <c r="E24" s="75"/>
      <c r="F24" s="73"/>
      <c r="G24" s="264"/>
      <c r="H24" s="264">
        <v>27117.68</v>
      </c>
      <c r="I24" s="322"/>
      <c r="J24" s="264">
        <v>2835.56</v>
      </c>
      <c r="K24" s="361"/>
      <c r="L24" s="275">
        <f>G24-J24</f>
        <v>-2835.56</v>
      </c>
      <c r="M24" s="436">
        <f t="shared" si="0"/>
        <v>-0.10456499228547575</v>
      </c>
      <c r="N24" s="621"/>
      <c r="O24" s="68"/>
      <c r="P24" s="68"/>
      <c r="Q24" s="262"/>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1" thickBot="1" x14ac:dyDescent="0.25">
      <c r="A25" s="73"/>
      <c r="B25" s="392"/>
      <c r="C25" s="75" t="s">
        <v>109</v>
      </c>
      <c r="D25" s="75"/>
      <c r="E25" s="75"/>
      <c r="F25" s="73"/>
      <c r="G25" s="265">
        <v>8790</v>
      </c>
      <c r="H25" s="265">
        <v>52740</v>
      </c>
      <c r="I25" s="322"/>
      <c r="J25" s="265">
        <f>G25</f>
        <v>8790</v>
      </c>
      <c r="K25" s="361"/>
      <c r="L25" s="377">
        <f>G25-J25</f>
        <v>0</v>
      </c>
      <c r="M25" s="463">
        <f t="shared" si="0"/>
        <v>0</v>
      </c>
      <c r="N25" s="525"/>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0.25" x14ac:dyDescent="0.2">
      <c r="A26" s="73"/>
      <c r="B26" s="392"/>
      <c r="C26" s="75"/>
      <c r="D26" s="73" t="s">
        <v>105</v>
      </c>
      <c r="E26" s="75"/>
      <c r="F26" s="73"/>
      <c r="G26" s="264">
        <f>SUM(G9:G25)</f>
        <v>238384.6</v>
      </c>
      <c r="H26" s="264">
        <f>SUM(H9:H25)</f>
        <v>1650993.0100000002</v>
      </c>
      <c r="I26" s="232"/>
      <c r="J26" s="234">
        <f>SUM(J9:J25)</f>
        <v>253942.99000000002</v>
      </c>
      <c r="K26" s="361"/>
      <c r="L26" s="234">
        <f>G26-J26</f>
        <v>-15558.390000000014</v>
      </c>
      <c r="M26" s="436">
        <f t="shared" si="0"/>
        <v>-9.4236558881615196E-3</v>
      </c>
      <c r="N26" s="525"/>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1" thickBot="1" x14ac:dyDescent="0.25">
      <c r="A27" s="73"/>
      <c r="B27" s="392"/>
      <c r="C27" s="73" t="s">
        <v>106</v>
      </c>
      <c r="D27" s="75"/>
      <c r="E27" s="75"/>
      <c r="F27" s="73"/>
      <c r="G27" s="265">
        <v>22937.23</v>
      </c>
      <c r="H27" s="265">
        <v>99372.18</v>
      </c>
      <c r="I27" s="232"/>
      <c r="J27" s="241">
        <v>18640.310000000001</v>
      </c>
      <c r="K27" s="361"/>
      <c r="L27" s="241">
        <f>G27-J27</f>
        <v>4296.9199999999983</v>
      </c>
      <c r="M27" s="463">
        <f t="shared" si="0"/>
        <v>4.3240673596976524E-2</v>
      </c>
      <c r="N27" s="526"/>
      <c r="O27" s="68"/>
      <c r="P27" s="68"/>
      <c r="Q27" s="341"/>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0.25" x14ac:dyDescent="0.2">
      <c r="A28" s="73"/>
      <c r="B28" s="392"/>
      <c r="C28" s="75"/>
      <c r="D28" s="73" t="s">
        <v>107</v>
      </c>
      <c r="E28" s="75"/>
      <c r="F28" s="73"/>
      <c r="G28" s="234">
        <f>SUM(G26:G27)</f>
        <v>261321.83000000002</v>
      </c>
      <c r="H28" s="234">
        <f>SUM(H26:H27)</f>
        <v>1750365.1900000002</v>
      </c>
      <c r="I28" s="232"/>
      <c r="J28" s="234">
        <f>SUM(J26:J27)</f>
        <v>272583.30000000005</v>
      </c>
      <c r="K28" s="262"/>
      <c r="L28" s="234">
        <f>SUM(L26:L27)</f>
        <v>-11261.470000000016</v>
      </c>
      <c r="M28" s="436">
        <f t="shared" si="0"/>
        <v>-6.4337831124258215E-3</v>
      </c>
      <c r="N28" s="526"/>
      <c r="O28" s="262"/>
      <c r="P28" s="68"/>
      <c r="Q28" s="341"/>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6" customHeight="1" x14ac:dyDescent="0.2">
      <c r="A29" s="73"/>
      <c r="B29" s="392"/>
      <c r="C29" s="75"/>
      <c r="D29" s="73"/>
      <c r="E29" s="75"/>
      <c r="F29" s="73"/>
      <c r="G29" s="234"/>
      <c r="H29" s="234"/>
      <c r="I29" s="232"/>
      <c r="J29" s="234"/>
      <c r="K29" s="361"/>
      <c r="L29" s="402"/>
      <c r="M29" s="510"/>
      <c r="N29" s="525"/>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21" thickBot="1" x14ac:dyDescent="0.25">
      <c r="A30" s="73"/>
      <c r="B30" s="393" t="s">
        <v>111</v>
      </c>
      <c r="C30" s="87"/>
      <c r="D30" s="87"/>
      <c r="E30" s="87"/>
      <c r="F30" s="87"/>
      <c r="G30" s="241"/>
      <c r="H30" s="241"/>
      <c r="I30" s="68"/>
      <c r="J30" s="241"/>
      <c r="K30" s="361"/>
      <c r="L30" s="402"/>
      <c r="M30" s="510"/>
      <c r="N30" s="526"/>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68" customFormat="1" ht="20.25" x14ac:dyDescent="0.2">
      <c r="A31" s="67"/>
      <c r="B31" s="394"/>
      <c r="C31" s="79" t="s">
        <v>112</v>
      </c>
      <c r="D31" s="79"/>
      <c r="E31" s="79"/>
      <c r="F31" s="79"/>
      <c r="G31" s="232">
        <v>171100.27</v>
      </c>
      <c r="H31" s="232">
        <v>1007778.19</v>
      </c>
      <c r="I31" s="275"/>
      <c r="J31" s="232">
        <v>151715.74</v>
      </c>
      <c r="K31" s="361"/>
      <c r="L31" s="275">
        <f>G31-J31</f>
        <v>19384.53</v>
      </c>
      <c r="M31" s="436">
        <f t="shared" ref="M31:M42" si="1">L31/H31</f>
        <v>1.923491715969761E-2</v>
      </c>
      <c r="N31" s="526"/>
    </row>
    <row r="32" spans="1:46" s="68" customFormat="1" ht="20.25" x14ac:dyDescent="0.2">
      <c r="A32" s="67"/>
      <c r="B32" s="394"/>
      <c r="C32" s="79" t="s">
        <v>113</v>
      </c>
      <c r="D32" s="79"/>
      <c r="E32" s="79"/>
      <c r="F32" s="79"/>
      <c r="G32" s="232">
        <v>37729.160000000003</v>
      </c>
      <c r="H32" s="232">
        <v>220461.1</v>
      </c>
      <c r="I32" s="275"/>
      <c r="J32" s="232">
        <v>37316.93</v>
      </c>
      <c r="K32" s="361"/>
      <c r="L32" s="275">
        <f>G32-J32</f>
        <v>412.2300000000032</v>
      </c>
      <c r="M32" s="436">
        <f t="shared" si="1"/>
        <v>1.8698536839379064E-3</v>
      </c>
      <c r="N32" s="718"/>
    </row>
    <row r="33" spans="1:16" s="68" customFormat="1" ht="20.25" x14ac:dyDescent="0.2">
      <c r="A33" s="67"/>
      <c r="B33" s="394"/>
      <c r="C33" s="79" t="s">
        <v>114</v>
      </c>
      <c r="D33" s="79"/>
      <c r="E33" s="79"/>
      <c r="F33" s="79"/>
      <c r="G33" s="232">
        <f>150*2</f>
        <v>300</v>
      </c>
      <c r="H33" s="232">
        <f>150*12</f>
        <v>1800</v>
      </c>
      <c r="I33" s="275"/>
      <c r="J33" s="232">
        <f>G33</f>
        <v>300</v>
      </c>
      <c r="K33" s="361"/>
      <c r="L33" s="275">
        <f>G33-J33</f>
        <v>0</v>
      </c>
      <c r="M33" s="436">
        <f t="shared" si="1"/>
        <v>0</v>
      </c>
      <c r="N33" s="670"/>
    </row>
    <row r="34" spans="1:16" s="68" customFormat="1" ht="20.25" x14ac:dyDescent="0.2">
      <c r="A34" s="67"/>
      <c r="B34" s="394"/>
      <c r="C34" s="79" t="s">
        <v>104</v>
      </c>
      <c r="D34" s="79"/>
      <c r="E34" s="79"/>
      <c r="F34" s="79"/>
      <c r="G34" s="232">
        <f>G25</f>
        <v>8790</v>
      </c>
      <c r="H34" s="232">
        <f>H25</f>
        <v>52740</v>
      </c>
      <c r="I34" s="275"/>
      <c r="J34" s="232">
        <f>J25</f>
        <v>8790</v>
      </c>
      <c r="K34" s="361"/>
      <c r="L34" s="275">
        <f>G34-J34</f>
        <v>0</v>
      </c>
      <c r="M34" s="436">
        <f t="shared" si="1"/>
        <v>0</v>
      </c>
      <c r="N34" s="670"/>
    </row>
    <row r="35" spans="1:16" s="68" customFormat="1" ht="20.25" x14ac:dyDescent="0.2">
      <c r="A35" s="67"/>
      <c r="B35" s="394"/>
      <c r="C35" s="79" t="s">
        <v>115</v>
      </c>
      <c r="D35" s="79"/>
      <c r="E35" s="79"/>
      <c r="F35" s="79"/>
      <c r="G35" s="232">
        <v>3833.86</v>
      </c>
      <c r="H35" s="232">
        <v>21455.64</v>
      </c>
      <c r="I35" s="275"/>
      <c r="J35" s="232">
        <v>3436.61</v>
      </c>
      <c r="K35" s="361"/>
      <c r="L35" s="275">
        <f>G35-J35</f>
        <v>397.25</v>
      </c>
      <c r="M35" s="436">
        <f t="shared" si="1"/>
        <v>1.8514945254487866E-2</v>
      </c>
      <c r="N35" s="670"/>
    </row>
    <row r="36" spans="1:16" s="68" customFormat="1" ht="20.25" x14ac:dyDescent="0.2">
      <c r="A36" s="67"/>
      <c r="B36" s="394"/>
      <c r="C36" s="79" t="s">
        <v>116</v>
      </c>
      <c r="D36" s="79"/>
      <c r="E36" s="79"/>
      <c r="F36" s="79"/>
      <c r="G36" s="232">
        <v>642.77</v>
      </c>
      <c r="H36" s="232">
        <v>2520.5300000000002</v>
      </c>
      <c r="I36" s="275"/>
      <c r="J36" s="232">
        <v>723.99</v>
      </c>
      <c r="K36" s="361"/>
      <c r="L36" s="275">
        <f>G36-J36</f>
        <v>-81.220000000000027</v>
      </c>
      <c r="M36" s="436">
        <f t="shared" si="1"/>
        <v>-3.222338159037981E-2</v>
      </c>
      <c r="N36" s="670"/>
    </row>
    <row r="37" spans="1:16" s="68" customFormat="1" ht="20.25" x14ac:dyDescent="0.2">
      <c r="A37" s="67"/>
      <c r="B37" s="394"/>
      <c r="C37" s="79" t="s">
        <v>117</v>
      </c>
      <c r="D37" s="79"/>
      <c r="E37" s="79"/>
      <c r="F37" s="79"/>
      <c r="G37" s="232">
        <v>1010.58</v>
      </c>
      <c r="H37" s="232">
        <v>3693.23</v>
      </c>
      <c r="I37" s="275"/>
      <c r="J37" s="232">
        <v>538.25</v>
      </c>
      <c r="K37" s="361"/>
      <c r="L37" s="275">
        <f>G37-J37</f>
        <v>472.33000000000004</v>
      </c>
      <c r="M37" s="436">
        <f t="shared" si="1"/>
        <v>0.12789076228667048</v>
      </c>
      <c r="N37" s="670"/>
    </row>
    <row r="38" spans="1:16" s="68" customFormat="1" ht="20.25" x14ac:dyDescent="0.2">
      <c r="A38" s="67"/>
      <c r="B38" s="394"/>
      <c r="C38" s="79" t="s">
        <v>118</v>
      </c>
      <c r="D38" s="79"/>
      <c r="E38" s="79"/>
      <c r="F38" s="79"/>
      <c r="G38" s="232">
        <v>794.5</v>
      </c>
      <c r="H38" s="232">
        <v>9996.52</v>
      </c>
      <c r="I38" s="275"/>
      <c r="J38" s="232">
        <v>1348.19</v>
      </c>
      <c r="K38" s="361"/>
      <c r="L38" s="275">
        <f>G38-J38</f>
        <v>-553.69000000000005</v>
      </c>
      <c r="M38" s="436">
        <f t="shared" si="1"/>
        <v>-5.5388275119741676E-2</v>
      </c>
      <c r="N38" s="670"/>
    </row>
    <row r="39" spans="1:16" s="68" customFormat="1" ht="20.25" x14ac:dyDescent="0.2">
      <c r="A39" s="67"/>
      <c r="B39" s="394"/>
      <c r="C39" s="79" t="s">
        <v>119</v>
      </c>
      <c r="D39" s="79"/>
      <c r="E39" s="79"/>
      <c r="F39" s="79"/>
      <c r="G39" s="232">
        <f>4591.42+2175.11</f>
        <v>6766.5300000000007</v>
      </c>
      <c r="H39" s="232">
        <f>30529.33+14188.56</f>
        <v>44717.89</v>
      </c>
      <c r="I39" s="275"/>
      <c r="J39" s="232">
        <f>7160.11+3075.25</f>
        <v>10235.36</v>
      </c>
      <c r="K39" s="361"/>
      <c r="L39" s="275">
        <f>G39-J39</f>
        <v>-3468.83</v>
      </c>
      <c r="M39" s="436">
        <f t="shared" si="1"/>
        <v>-7.7571414930355617E-2</v>
      </c>
      <c r="N39" s="670"/>
    </row>
    <row r="40" spans="1:16" s="68" customFormat="1" ht="20.25" x14ac:dyDescent="0.2">
      <c r="A40" s="67"/>
      <c r="B40" s="394"/>
      <c r="C40" s="79" t="s">
        <v>120</v>
      </c>
      <c r="D40" s="79"/>
      <c r="E40" s="79"/>
      <c r="F40" s="79"/>
      <c r="G40" s="232">
        <v>597.1</v>
      </c>
      <c r="H40" s="232">
        <v>4597.3500000000004</v>
      </c>
      <c r="I40" s="275"/>
      <c r="J40" s="232">
        <v>779.01</v>
      </c>
      <c r="K40" s="361"/>
      <c r="L40" s="275">
        <f>G40-J40</f>
        <v>-181.90999999999997</v>
      </c>
      <c r="M40" s="436">
        <f t="shared" si="1"/>
        <v>-3.956844704014268E-2</v>
      </c>
      <c r="N40" s="670"/>
    </row>
    <row r="41" spans="1:16" s="68" customFormat="1" ht="20.25" x14ac:dyDescent="0.2">
      <c r="A41" s="67"/>
      <c r="B41" s="394"/>
      <c r="C41" s="79" t="s">
        <v>121</v>
      </c>
      <c r="D41" s="79"/>
      <c r="E41" s="79"/>
      <c r="F41" s="79"/>
      <c r="G41" s="232">
        <v>200</v>
      </c>
      <c r="H41" s="232">
        <v>1250.1300000000001</v>
      </c>
      <c r="I41" s="275"/>
      <c r="J41" s="232">
        <v>200</v>
      </c>
      <c r="K41" s="361"/>
      <c r="L41" s="275">
        <f>G41-J41</f>
        <v>0</v>
      </c>
      <c r="M41" s="436">
        <f t="shared" si="1"/>
        <v>0</v>
      </c>
      <c r="N41" s="670"/>
    </row>
    <row r="42" spans="1:16" s="68" customFormat="1" ht="20.25" x14ac:dyDescent="0.2">
      <c r="A42" s="67"/>
      <c r="B42" s="394"/>
      <c r="C42" s="79" t="s">
        <v>166</v>
      </c>
      <c r="D42" s="79"/>
      <c r="E42" s="79"/>
      <c r="F42" s="79"/>
      <c r="G42" s="232">
        <f>1250+5000</f>
        <v>6250</v>
      </c>
      <c r="H42" s="232">
        <v>22675</v>
      </c>
      <c r="I42" s="275"/>
      <c r="J42" s="232">
        <v>9000</v>
      </c>
      <c r="K42" s="361"/>
      <c r="L42" s="275">
        <f>G42-J42</f>
        <v>-2750</v>
      </c>
      <c r="M42" s="436">
        <f t="shared" si="1"/>
        <v>-0.12127894156560089</v>
      </c>
      <c r="N42" s="670"/>
    </row>
    <row r="43" spans="1:16" s="68" customFormat="1" ht="20.25" hidden="1" x14ac:dyDescent="0.2">
      <c r="A43" s="67"/>
      <c r="B43" s="394"/>
      <c r="C43" s="976" t="s">
        <v>324</v>
      </c>
      <c r="D43" s="976"/>
      <c r="E43" s="976"/>
      <c r="F43" s="976"/>
      <c r="G43" s="232"/>
      <c r="H43" s="232"/>
      <c r="I43" s="275"/>
      <c r="J43" s="232"/>
      <c r="K43" s="361"/>
      <c r="L43" s="275">
        <f>G43-J43</f>
        <v>0</v>
      </c>
      <c r="M43" s="436">
        <v>1</v>
      </c>
      <c r="N43" s="670"/>
    </row>
    <row r="44" spans="1:16" s="76" customFormat="1" ht="20.25" x14ac:dyDescent="0.2">
      <c r="A44" s="79"/>
      <c r="B44" s="390"/>
      <c r="C44" s="79" t="s">
        <v>122</v>
      </c>
      <c r="D44" s="79"/>
      <c r="E44" s="79"/>
      <c r="F44" s="79"/>
      <c r="G44" s="322">
        <v>5934.1</v>
      </c>
      <c r="H44" s="322">
        <v>23073.200000000001</v>
      </c>
      <c r="I44" s="400"/>
      <c r="J44" s="322">
        <v>5723.89</v>
      </c>
      <c r="K44" s="363"/>
      <c r="L44" s="275">
        <f>G44-J44</f>
        <v>210.21000000000004</v>
      </c>
      <c r="M44" s="436">
        <f t="shared" ref="M44:M53" si="2">L44/H44</f>
        <v>9.1105698386006288E-3</v>
      </c>
      <c r="N44" s="670"/>
    </row>
    <row r="45" spans="1:16" s="76" customFormat="1" ht="20.25" x14ac:dyDescent="0.2">
      <c r="A45" s="79"/>
      <c r="B45" s="390"/>
      <c r="C45" s="79" t="s">
        <v>123</v>
      </c>
      <c r="D45" s="79"/>
      <c r="E45" s="79"/>
      <c r="F45" s="79"/>
      <c r="G45" s="322">
        <f>943.16+1000</f>
        <v>1943.1599999999999</v>
      </c>
      <c r="H45" s="322">
        <v>12215.08</v>
      </c>
      <c r="I45" s="232"/>
      <c r="J45" s="232">
        <v>1992.47</v>
      </c>
      <c r="K45" s="363"/>
      <c r="L45" s="275">
        <f>G45-J45</f>
        <v>-49.310000000000173</v>
      </c>
      <c r="M45" s="436">
        <f t="shared" si="2"/>
        <v>-4.0368135124780333E-3</v>
      </c>
      <c r="N45" s="527"/>
    </row>
    <row r="46" spans="1:16" s="76" customFormat="1" ht="20.25" x14ac:dyDescent="0.2">
      <c r="A46" s="79"/>
      <c r="B46" s="390"/>
      <c r="C46" s="79" t="s">
        <v>130</v>
      </c>
      <c r="D46" s="79"/>
      <c r="E46" s="79"/>
      <c r="F46" s="79"/>
      <c r="G46" s="232">
        <v>35</v>
      </c>
      <c r="H46" s="232">
        <f>1999.96</f>
        <v>1999.96</v>
      </c>
      <c r="I46" s="232"/>
      <c r="J46" s="232">
        <v>0</v>
      </c>
      <c r="K46" s="363"/>
      <c r="L46" s="275">
        <f>G46-J46</f>
        <v>35</v>
      </c>
      <c r="M46" s="436">
        <f t="shared" si="2"/>
        <v>1.7500350007000141E-2</v>
      </c>
      <c r="P46" s="247"/>
    </row>
    <row r="47" spans="1:16" s="76" customFormat="1" ht="20.25" x14ac:dyDescent="0.2">
      <c r="A47" s="79"/>
      <c r="B47" s="390"/>
      <c r="C47" s="79" t="s">
        <v>124</v>
      </c>
      <c r="D47" s="79"/>
      <c r="E47" s="79"/>
      <c r="F47" s="79"/>
      <c r="G47" s="322">
        <v>162.97999999999999</v>
      </c>
      <c r="H47" s="322">
        <v>6581.01</v>
      </c>
      <c r="I47" s="232"/>
      <c r="J47" s="322">
        <v>262.20999999999998</v>
      </c>
      <c r="K47" s="363"/>
      <c r="L47" s="275">
        <f>G47-J47</f>
        <v>-99.22999999999999</v>
      </c>
      <c r="M47" s="436">
        <f t="shared" si="2"/>
        <v>-1.5078232672492519E-2</v>
      </c>
      <c r="N47" s="670"/>
      <c r="P47" s="247"/>
    </row>
    <row r="48" spans="1:16" s="68" customFormat="1" ht="20.25" x14ac:dyDescent="0.2">
      <c r="A48" s="67"/>
      <c r="B48" s="394"/>
      <c r="C48" s="79" t="s">
        <v>199</v>
      </c>
      <c r="D48" s="79"/>
      <c r="E48" s="79"/>
      <c r="F48" s="79"/>
      <c r="G48" s="232">
        <v>529.19000000000005</v>
      </c>
      <c r="H48" s="232">
        <v>8352.76</v>
      </c>
      <c r="I48" s="232"/>
      <c r="J48" s="232">
        <v>144.71</v>
      </c>
      <c r="K48" s="361"/>
      <c r="L48" s="275">
        <f>G48-J48</f>
        <v>384.48</v>
      </c>
      <c r="M48" s="436">
        <f t="shared" si="2"/>
        <v>4.603029417821175E-2</v>
      </c>
      <c r="N48" s="670"/>
    </row>
    <row r="49" spans="1:18" s="76" customFormat="1" ht="20.25" x14ac:dyDescent="0.2">
      <c r="A49" s="79"/>
      <c r="B49" s="390"/>
      <c r="C49" s="79" t="s">
        <v>495</v>
      </c>
      <c r="D49" s="79"/>
      <c r="E49" s="79"/>
      <c r="F49" s="79"/>
      <c r="G49" s="322">
        <v>5679.5</v>
      </c>
      <c r="H49" s="322">
        <v>38909</v>
      </c>
      <c r="I49" s="232"/>
      <c r="J49" s="322">
        <v>6285</v>
      </c>
      <c r="K49" s="363"/>
      <c r="L49" s="275">
        <f>G49-J49</f>
        <v>-605.5</v>
      </c>
      <c r="M49" s="436">
        <f t="shared" si="2"/>
        <v>-1.5561952247551981E-2</v>
      </c>
      <c r="N49" s="527"/>
    </row>
    <row r="50" spans="1:18" s="76" customFormat="1" ht="20.25" x14ac:dyDescent="0.2">
      <c r="A50" s="79"/>
      <c r="B50" s="390"/>
      <c r="C50" s="79" t="s">
        <v>126</v>
      </c>
      <c r="D50" s="79"/>
      <c r="E50" s="79"/>
      <c r="F50" s="79"/>
      <c r="G50" s="322">
        <f>7685.7</f>
        <v>7685.7</v>
      </c>
      <c r="H50" s="322">
        <f>11900+130658.19+3300+6607.12</f>
        <v>152465.31</v>
      </c>
      <c r="I50" s="232"/>
      <c r="J50" s="322">
        <f>40267.89+600</f>
        <v>40867.89</v>
      </c>
      <c r="K50" s="363"/>
      <c r="L50" s="275">
        <f>G50-J50</f>
        <v>-33182.19</v>
      </c>
      <c r="M50" s="436">
        <f t="shared" si="2"/>
        <v>-0.21763763835852237</v>
      </c>
      <c r="N50" s="525"/>
    </row>
    <row r="51" spans="1:18" s="76" customFormat="1" ht="20.25" x14ac:dyDescent="0.2">
      <c r="A51" s="79"/>
      <c r="B51" s="390"/>
      <c r="C51" s="79" t="s">
        <v>165</v>
      </c>
      <c r="D51" s="79"/>
      <c r="E51" s="79"/>
      <c r="F51" s="79"/>
      <c r="G51" s="232">
        <v>10106.5</v>
      </c>
      <c r="H51" s="232">
        <v>74987.45</v>
      </c>
      <c r="I51" s="232"/>
      <c r="J51" s="232">
        <v>10028.5</v>
      </c>
      <c r="K51" s="363"/>
      <c r="L51" s="275">
        <f>G51-J51</f>
        <v>78</v>
      </c>
      <c r="M51" s="436">
        <f t="shared" si="2"/>
        <v>1.0401740557920026E-3</v>
      </c>
      <c r="N51" s="670"/>
    </row>
    <row r="52" spans="1:18" s="76" customFormat="1" ht="20.25" x14ac:dyDescent="0.2">
      <c r="A52" s="79"/>
      <c r="B52" s="390"/>
      <c r="C52" s="79" t="s">
        <v>127</v>
      </c>
      <c r="D52" s="79"/>
      <c r="E52" s="79"/>
      <c r="F52" s="79"/>
      <c r="G52" s="232">
        <f>2679.9+8075</f>
        <v>10754.9</v>
      </c>
      <c r="H52" s="232">
        <f>1237.48+74988.02</f>
        <v>76225.5</v>
      </c>
      <c r="I52" s="232"/>
      <c r="J52" s="232">
        <f>7500+345</f>
        <v>7845</v>
      </c>
      <c r="K52" s="363"/>
      <c r="L52" s="275">
        <f>G52-J52</f>
        <v>2909.8999999999996</v>
      </c>
      <c r="M52" s="436">
        <f t="shared" si="2"/>
        <v>3.8174888980721668E-2</v>
      </c>
      <c r="N52" s="670"/>
    </row>
    <row r="53" spans="1:18" s="76" customFormat="1" ht="21" thickBot="1" x14ac:dyDescent="0.25">
      <c r="A53" s="79"/>
      <c r="B53" s="390"/>
      <c r="C53" s="79" t="s">
        <v>496</v>
      </c>
      <c r="D53" s="79"/>
      <c r="E53" s="79"/>
      <c r="F53" s="79"/>
      <c r="G53" s="241">
        <f>350-8.81</f>
        <v>341.19</v>
      </c>
      <c r="H53" s="241">
        <f>585.52+45.81+0.5</f>
        <v>631.82999999999993</v>
      </c>
      <c r="I53" s="232"/>
      <c r="J53" s="241">
        <v>0</v>
      </c>
      <c r="K53" s="662"/>
      <c r="L53" s="377">
        <f>G53-J53</f>
        <v>341.19</v>
      </c>
      <c r="M53" s="463">
        <f t="shared" si="2"/>
        <v>0.54000284886757521</v>
      </c>
      <c r="N53" s="670"/>
    </row>
    <row r="54" spans="1:18" s="76" customFormat="1" ht="21" hidden="1" thickBot="1" x14ac:dyDescent="0.25">
      <c r="A54" s="79"/>
      <c r="B54" s="390"/>
      <c r="C54" s="79"/>
      <c r="D54" s="79"/>
      <c r="E54" s="79"/>
      <c r="F54" s="79"/>
      <c r="G54" s="241"/>
      <c r="H54" s="241"/>
      <c r="I54" s="232"/>
      <c r="J54" s="241"/>
      <c r="K54" s="363"/>
      <c r="L54" s="377"/>
      <c r="M54" s="463"/>
      <c r="N54" s="525"/>
    </row>
    <row r="55" spans="1:18" s="68" customFormat="1" ht="20.25" x14ac:dyDescent="0.2">
      <c r="A55" s="67"/>
      <c r="B55" s="394"/>
      <c r="C55" s="67"/>
      <c r="D55" s="73" t="s">
        <v>128</v>
      </c>
      <c r="E55" s="67"/>
      <c r="F55" s="67"/>
      <c r="G55" s="237">
        <f>SUM(G31:G53)</f>
        <v>281186.99000000005</v>
      </c>
      <c r="H55" s="237">
        <f>SUM(H31:H53)</f>
        <v>1789126.68</v>
      </c>
      <c r="I55" s="232"/>
      <c r="J55" s="237">
        <f>SUM(J31:J53)</f>
        <v>297533.74999999994</v>
      </c>
      <c r="K55" s="361"/>
      <c r="L55" s="234">
        <f>SUM(L31:L53)</f>
        <v>-16346.759999999997</v>
      </c>
      <c r="M55" s="436">
        <f>L55/H55</f>
        <v>-9.1367258577799513E-3</v>
      </c>
      <c r="N55" s="528"/>
    </row>
    <row r="56" spans="1:18" s="68" customFormat="1" ht="10.5" customHeight="1" thickBot="1" x14ac:dyDescent="0.25">
      <c r="A56" s="67"/>
      <c r="B56" s="394"/>
      <c r="C56" s="67"/>
      <c r="D56" s="73"/>
      <c r="E56" s="67"/>
      <c r="F56" s="67"/>
      <c r="G56" s="241"/>
      <c r="H56" s="241"/>
      <c r="I56" s="232"/>
      <c r="J56" s="241"/>
      <c r="K56" s="361"/>
      <c r="L56" s="404"/>
      <c r="M56" s="511"/>
      <c r="N56" s="528"/>
    </row>
    <row r="57" spans="1:18" s="68" customFormat="1" ht="21" thickBot="1" x14ac:dyDescent="0.25">
      <c r="A57" s="67"/>
      <c r="B57" s="394"/>
      <c r="C57" s="67"/>
      <c r="D57" s="67" t="s">
        <v>129</v>
      </c>
      <c r="E57" s="67"/>
      <c r="F57" s="67"/>
      <c r="G57" s="241">
        <f>G28-G55</f>
        <v>-19865.160000000033</v>
      </c>
      <c r="H57" s="241">
        <f>H28-H55</f>
        <v>-38761.489999999758</v>
      </c>
      <c r="I57" s="232"/>
      <c r="J57" s="241">
        <f>J28-J55</f>
        <v>-24950.449999999895</v>
      </c>
      <c r="K57" s="361"/>
      <c r="L57" s="241">
        <f>L28-L55</f>
        <v>5085.2899999999809</v>
      </c>
      <c r="M57" s="505">
        <f>L57/H57</f>
        <v>-0.13119438907018313</v>
      </c>
      <c r="N57" s="528"/>
    </row>
    <row r="58" spans="1:18" s="68" customFormat="1" ht="11.25" customHeight="1" x14ac:dyDescent="0.2">
      <c r="A58" s="67"/>
      <c r="B58" s="394"/>
      <c r="C58" s="67"/>
      <c r="D58" s="67"/>
      <c r="E58" s="67"/>
      <c r="F58" s="67"/>
      <c r="G58" s="232"/>
      <c r="H58" s="232"/>
      <c r="I58" s="232"/>
      <c r="J58" s="232"/>
      <c r="K58" s="361"/>
      <c r="L58" s="402"/>
      <c r="M58" s="510"/>
      <c r="N58" s="525"/>
    </row>
    <row r="59" spans="1:18" s="76" customFormat="1" ht="21" thickBot="1" x14ac:dyDescent="0.25">
      <c r="A59" s="79"/>
      <c r="B59" s="393" t="s">
        <v>334</v>
      </c>
      <c r="C59" s="87"/>
      <c r="D59" s="87"/>
      <c r="E59" s="87"/>
      <c r="F59" s="87"/>
      <c r="G59" s="661"/>
      <c r="H59" s="661"/>
      <c r="I59" s="232"/>
      <c r="J59" s="241"/>
      <c r="K59" s="363"/>
      <c r="L59" s="402"/>
      <c r="M59" s="510"/>
      <c r="N59" s="525"/>
    </row>
    <row r="60" spans="1:18" s="76" customFormat="1" ht="20.25" x14ac:dyDescent="0.2">
      <c r="A60" s="79"/>
      <c r="B60" s="394"/>
      <c r="C60" s="67"/>
      <c r="D60" s="67" t="s">
        <v>141</v>
      </c>
      <c r="E60" s="67"/>
      <c r="F60" s="67"/>
      <c r="G60" s="232"/>
      <c r="H60" s="232"/>
      <c r="I60" s="232"/>
      <c r="J60" s="232"/>
      <c r="K60" s="363"/>
      <c r="L60" s="402"/>
      <c r="M60" s="510"/>
      <c r="N60" s="525"/>
    </row>
    <row r="61" spans="1:18" s="76" customFormat="1" ht="20.25" x14ac:dyDescent="0.2">
      <c r="A61" s="79"/>
      <c r="B61" s="394"/>
      <c r="C61" s="67"/>
      <c r="D61" s="67"/>
      <c r="E61" s="79" t="s">
        <v>142</v>
      </c>
      <c r="F61" s="67"/>
      <c r="G61" s="232">
        <v>52000</v>
      </c>
      <c r="H61" s="232">
        <f>52000+10400</f>
        <v>62400</v>
      </c>
      <c r="I61" s="232"/>
      <c r="J61" s="232">
        <v>52000</v>
      </c>
      <c r="K61" s="363"/>
      <c r="L61" s="275">
        <f>G61-J61</f>
        <v>0</v>
      </c>
      <c r="M61" s="436">
        <f>L61/H61</f>
        <v>0</v>
      </c>
      <c r="N61" s="525"/>
      <c r="R61" s="247"/>
    </row>
    <row r="62" spans="1:18" s="76" customFormat="1" ht="20.25" x14ac:dyDescent="0.2">
      <c r="A62" s="79"/>
      <c r="B62" s="394"/>
      <c r="C62" s="67"/>
      <c r="D62" s="67"/>
      <c r="E62" s="79" t="s">
        <v>169</v>
      </c>
      <c r="F62" s="67"/>
      <c r="G62" s="232">
        <v>21000</v>
      </c>
      <c r="H62" s="232">
        <f>20000</f>
        <v>20000</v>
      </c>
      <c r="I62" s="232"/>
      <c r="J62" s="232">
        <v>20000</v>
      </c>
      <c r="K62" s="363"/>
      <c r="L62" s="275">
        <f>G62-J62</f>
        <v>1000</v>
      </c>
      <c r="M62" s="436">
        <f>L62/H62</f>
        <v>0.05</v>
      </c>
      <c r="N62" s="525"/>
    </row>
    <row r="63" spans="1:18" s="76" customFormat="1" ht="20.25" x14ac:dyDescent="0.2">
      <c r="A63" s="79"/>
      <c r="B63" s="394"/>
      <c r="C63" s="67"/>
      <c r="D63" s="67"/>
      <c r="E63" s="79" t="s">
        <v>438</v>
      </c>
      <c r="F63" s="67"/>
      <c r="G63" s="232"/>
      <c r="H63" s="232"/>
      <c r="I63" s="232"/>
      <c r="J63" s="232">
        <v>0</v>
      </c>
      <c r="K63" s="363"/>
      <c r="L63" s="275">
        <f>G63-J63</f>
        <v>0</v>
      </c>
      <c r="M63" s="436"/>
      <c r="N63" s="525"/>
    </row>
    <row r="64" spans="1:18" s="76" customFormat="1" ht="20.25" x14ac:dyDescent="0.2">
      <c r="A64" s="79"/>
      <c r="B64" s="394"/>
      <c r="C64" s="67"/>
      <c r="D64" s="67"/>
      <c r="E64" s="79" t="s">
        <v>395</v>
      </c>
      <c r="F64" s="67"/>
      <c r="G64" s="232"/>
      <c r="H64" s="232">
        <v>50000</v>
      </c>
      <c r="I64" s="232"/>
      <c r="J64" s="232"/>
      <c r="K64" s="363"/>
      <c r="L64" s="275">
        <f>G64-J64</f>
        <v>0</v>
      </c>
      <c r="M64" s="436"/>
      <c r="N64" s="525"/>
    </row>
    <row r="65" spans="1:14" s="76" customFormat="1" ht="21" thickBot="1" x14ac:dyDescent="0.25">
      <c r="A65" s="79"/>
      <c r="B65" s="394"/>
      <c r="C65" s="67"/>
      <c r="D65" s="67"/>
      <c r="E65" s="79" t="s">
        <v>140</v>
      </c>
      <c r="F65" s="67"/>
      <c r="G65" s="235">
        <v>33.81</v>
      </c>
      <c r="H65" s="235">
        <f>29650-1</f>
        <v>29649</v>
      </c>
      <c r="I65" s="235"/>
      <c r="J65" s="235">
        <v>0</v>
      </c>
      <c r="K65" s="616"/>
      <c r="L65" s="377">
        <f>G65-J65</f>
        <v>33.81</v>
      </c>
      <c r="M65" s="508">
        <f>L65/H65</f>
        <v>1.140342001416574E-3</v>
      </c>
      <c r="N65" s="525"/>
    </row>
    <row r="66" spans="1:14" s="76" customFormat="1" ht="21" thickBot="1" x14ac:dyDescent="0.25">
      <c r="A66" s="79"/>
      <c r="B66" s="394"/>
      <c r="C66" s="67"/>
      <c r="D66" s="67" t="s">
        <v>106</v>
      </c>
      <c r="E66" s="67"/>
      <c r="F66" s="67"/>
      <c r="G66" s="241">
        <f>-G27</f>
        <v>-22937.23</v>
      </c>
      <c r="H66" s="241">
        <f>-H27</f>
        <v>-99372.18</v>
      </c>
      <c r="I66" s="232"/>
      <c r="J66" s="241">
        <f>-J27</f>
        <v>-18640.310000000001</v>
      </c>
      <c r="K66" s="363"/>
      <c r="L66" s="377">
        <f>G66-J66</f>
        <v>-4296.9199999999983</v>
      </c>
      <c r="M66" s="463">
        <f>L66/H66</f>
        <v>4.3240673596976524E-2</v>
      </c>
      <c r="N66" s="525"/>
    </row>
    <row r="67" spans="1:14" s="76" customFormat="1" ht="21" thickBot="1" x14ac:dyDescent="0.25">
      <c r="A67" s="79"/>
      <c r="B67" s="394"/>
      <c r="C67" s="67"/>
      <c r="D67" s="67"/>
      <c r="E67" s="67" t="s">
        <v>333</v>
      </c>
      <c r="F67" s="67"/>
      <c r="G67" s="241">
        <f>SUM(G60:G66)</f>
        <v>50096.58</v>
      </c>
      <c r="H67" s="241">
        <f>SUM(H60:H66)</f>
        <v>62676.820000000007</v>
      </c>
      <c r="I67" s="232"/>
      <c r="J67" s="241">
        <f>SUM(J60:J66)</f>
        <v>53359.69</v>
      </c>
      <c r="K67" s="363"/>
      <c r="L67" s="241">
        <f>SUM(L61:L66)</f>
        <v>-3263.1099999999983</v>
      </c>
      <c r="M67" s="463">
        <f>L67/H67</f>
        <v>-5.2062469027624535E-2</v>
      </c>
      <c r="N67" s="525"/>
    </row>
    <row r="68" spans="1:14" s="68" customFormat="1" ht="7.5" customHeight="1" x14ac:dyDescent="0.2">
      <c r="A68" s="67"/>
      <c r="B68" s="394"/>
      <c r="C68" s="67"/>
      <c r="D68" s="67"/>
      <c r="E68" s="67"/>
      <c r="F68" s="67"/>
      <c r="G68" s="273"/>
      <c r="H68" s="273"/>
      <c r="I68" s="273"/>
      <c r="J68" s="273"/>
      <c r="K68" s="361"/>
      <c r="L68" s="402"/>
      <c r="M68" s="402"/>
      <c r="N68" s="525"/>
    </row>
    <row r="69" spans="1:14" s="68" customFormat="1" ht="20.25" x14ac:dyDescent="0.2">
      <c r="A69" s="67"/>
      <c r="B69" s="394"/>
      <c r="C69" s="67"/>
      <c r="D69" s="67"/>
      <c r="E69" s="67" t="s">
        <v>86</v>
      </c>
      <c r="F69" s="67"/>
      <c r="G69" s="237">
        <f>G57+G67</f>
        <v>30231.419999999969</v>
      </c>
      <c r="H69" s="237">
        <f>H57+H67</f>
        <v>23915.330000000249</v>
      </c>
      <c r="I69" s="237"/>
      <c r="J69" s="237">
        <f>J57+J67</f>
        <v>28409.240000000107</v>
      </c>
      <c r="K69" s="361"/>
      <c r="L69" s="237">
        <f>L57+L67</f>
        <v>1822.1799999999826</v>
      </c>
      <c r="M69" s="237"/>
      <c r="N69" s="525"/>
    </row>
    <row r="70" spans="1:14" s="68" customFormat="1" ht="8.25" customHeight="1" x14ac:dyDescent="0.2">
      <c r="A70" s="67"/>
      <c r="B70" s="394"/>
      <c r="C70" s="67"/>
      <c r="D70" s="67"/>
      <c r="E70" s="67"/>
      <c r="F70" s="67"/>
      <c r="G70" s="232"/>
      <c r="H70" s="232"/>
      <c r="I70" s="232"/>
      <c r="J70" s="232"/>
      <c r="K70" s="361"/>
      <c r="L70" s="402"/>
      <c r="M70" s="402"/>
      <c r="N70" s="525"/>
    </row>
    <row r="71" spans="1:14" s="82" customFormat="1" ht="26.25" x14ac:dyDescent="0.2">
      <c r="A71" s="268"/>
      <c r="B71" s="395"/>
      <c r="C71" s="67"/>
      <c r="D71" s="67" t="s">
        <v>144</v>
      </c>
      <c r="E71" s="67"/>
      <c r="F71" s="67"/>
      <c r="G71" s="237">
        <v>979580.01</v>
      </c>
      <c r="H71" s="237">
        <v>955663.18</v>
      </c>
      <c r="I71" s="237"/>
      <c r="J71" s="237">
        <f>H71</f>
        <v>955663.18</v>
      </c>
      <c r="K71" s="364"/>
      <c r="L71" s="403"/>
      <c r="M71" s="403"/>
      <c r="N71" s="529"/>
    </row>
    <row r="72" spans="1:14" s="84" customFormat="1" ht="21" thickBot="1" x14ac:dyDescent="0.25">
      <c r="A72" s="67"/>
      <c r="B72" s="394"/>
      <c r="C72" s="67"/>
      <c r="E72" s="67" t="s">
        <v>143</v>
      </c>
      <c r="F72" s="67"/>
      <c r="G72" s="321">
        <f>G69+G71</f>
        <v>1009811.4299999999</v>
      </c>
      <c r="H72" s="321">
        <f>H69+H71</f>
        <v>979578.51000000024</v>
      </c>
      <c r="I72" s="273"/>
      <c r="J72" s="321">
        <f>J69+J71</f>
        <v>984072.42000000016</v>
      </c>
      <c r="K72" s="365"/>
      <c r="L72" s="273"/>
      <c r="M72" s="403"/>
      <c r="N72" s="529"/>
    </row>
    <row r="73" spans="1:14" s="65" customFormat="1" ht="6.75" customHeight="1" thickTop="1" x14ac:dyDescent="0.2">
      <c r="A73" s="268"/>
      <c r="B73" s="395"/>
      <c r="C73" s="67"/>
      <c r="D73" s="268"/>
      <c r="E73" s="268"/>
      <c r="F73" s="268"/>
      <c r="G73" s="270"/>
      <c r="H73" s="270"/>
      <c r="I73" s="232"/>
      <c r="J73" s="232"/>
      <c r="K73" s="360"/>
      <c r="L73" s="402"/>
      <c r="M73" s="402"/>
      <c r="N73" s="525"/>
    </row>
    <row r="74" spans="1:14" s="68" customFormat="1" ht="16.5" customHeight="1" x14ac:dyDescent="0.2">
      <c r="A74" s="67"/>
      <c r="B74" s="394"/>
      <c r="D74" s="342"/>
      <c r="E74" s="67"/>
      <c r="G74" s="232"/>
      <c r="H74" s="232"/>
      <c r="I74" s="232"/>
      <c r="J74" s="232"/>
      <c r="K74" s="361"/>
      <c r="L74" s="402"/>
      <c r="M74" s="402"/>
      <c r="N74" s="525"/>
    </row>
    <row r="75" spans="1:14" s="68" customFormat="1" ht="23.25" x14ac:dyDescent="0.2">
      <c r="A75" s="67"/>
      <c r="B75" s="396"/>
      <c r="C75" s="67"/>
      <c r="D75" s="67"/>
      <c r="E75" s="67"/>
      <c r="F75" s="67"/>
      <c r="G75" s="232"/>
      <c r="H75" s="232"/>
      <c r="I75" s="232"/>
      <c r="J75" s="232"/>
      <c r="K75" s="361"/>
      <c r="L75" s="402"/>
      <c r="M75" s="402"/>
      <c r="N75" s="525"/>
    </row>
    <row r="76" spans="1:14" s="68" customFormat="1" ht="20.25" x14ac:dyDescent="0.2">
      <c r="A76" s="67"/>
      <c r="B76" s="394"/>
      <c r="C76" s="67"/>
      <c r="D76" s="67"/>
      <c r="E76" s="67"/>
      <c r="F76" s="67"/>
      <c r="G76" s="232"/>
      <c r="H76" s="232"/>
      <c r="I76" s="232"/>
      <c r="J76" s="232"/>
      <c r="K76" s="361"/>
      <c r="L76" s="402"/>
      <c r="M76" s="402"/>
      <c r="N76" s="525"/>
    </row>
    <row r="77" spans="1:14" s="76" customFormat="1" ht="20.25" x14ac:dyDescent="0.2">
      <c r="A77" s="79"/>
      <c r="B77" s="390"/>
      <c r="C77" s="79"/>
      <c r="D77" s="79"/>
      <c r="F77" s="79"/>
      <c r="G77" s="246"/>
      <c r="H77" s="232"/>
      <c r="I77" s="232"/>
      <c r="J77" s="232"/>
      <c r="K77" s="363"/>
      <c r="L77" s="402"/>
      <c r="M77" s="402"/>
      <c r="N77" s="525"/>
    </row>
    <row r="78" spans="1:14" s="76" customFormat="1" ht="20.25" x14ac:dyDescent="0.2">
      <c r="A78" s="79"/>
      <c r="B78" s="390"/>
      <c r="C78" s="79"/>
      <c r="D78" s="79"/>
      <c r="F78" s="79"/>
      <c r="G78" s="232"/>
      <c r="H78" s="232"/>
      <c r="I78" s="232"/>
      <c r="J78" s="232"/>
      <c r="K78" s="363"/>
      <c r="L78" s="402"/>
      <c r="M78" s="402"/>
      <c r="N78" s="525"/>
    </row>
    <row r="79" spans="1:14" s="76" customFormat="1" ht="20.25" x14ac:dyDescent="0.2">
      <c r="A79" s="79"/>
      <c r="B79" s="390"/>
      <c r="C79" s="79"/>
      <c r="D79" s="79"/>
      <c r="F79" s="79"/>
      <c r="G79" s="232"/>
      <c r="H79" s="232"/>
      <c r="I79" s="232"/>
      <c r="J79" s="232"/>
      <c r="K79" s="363"/>
      <c r="L79" s="402"/>
      <c r="M79" s="402"/>
      <c r="N79" s="525"/>
    </row>
    <row r="80" spans="1:14" s="76" customFormat="1" ht="20.25" x14ac:dyDescent="0.2">
      <c r="A80" s="79"/>
      <c r="B80" s="79"/>
      <c r="C80" s="79"/>
      <c r="D80" s="79"/>
      <c r="F80" s="79"/>
      <c r="G80" s="232"/>
      <c r="H80" s="232"/>
      <c r="I80" s="232"/>
      <c r="J80" s="232"/>
      <c r="K80" s="363"/>
      <c r="L80" s="402"/>
      <c r="M80" s="402"/>
      <c r="N80" s="525"/>
    </row>
    <row r="81" spans="1:14" s="76" customFormat="1" ht="20.25" x14ac:dyDescent="0.2">
      <c r="A81" s="79"/>
      <c r="B81" s="79"/>
      <c r="C81" s="79"/>
      <c r="D81" s="79"/>
      <c r="F81" s="79"/>
      <c r="G81" s="232"/>
      <c r="H81" s="232"/>
      <c r="I81" s="232"/>
      <c r="J81" s="232"/>
      <c r="K81" s="363"/>
      <c r="L81" s="402"/>
      <c r="M81" s="402"/>
      <c r="N81" s="525"/>
    </row>
    <row r="82" spans="1:14" s="76" customFormat="1" ht="20.25" x14ac:dyDescent="0.2">
      <c r="A82" s="79"/>
      <c r="B82" s="79"/>
      <c r="C82" s="79"/>
      <c r="D82" s="79"/>
      <c r="F82" s="79"/>
      <c r="G82" s="232"/>
      <c r="H82" s="232"/>
      <c r="I82" s="232"/>
      <c r="J82" s="232"/>
      <c r="K82" s="363"/>
      <c r="L82" s="402"/>
      <c r="M82" s="402"/>
      <c r="N82" s="525"/>
    </row>
    <row r="83" spans="1:14" s="76" customFormat="1" ht="20.25" x14ac:dyDescent="0.2">
      <c r="A83" s="79"/>
      <c r="B83" s="79"/>
      <c r="C83" s="67"/>
      <c r="D83" s="79"/>
      <c r="F83" s="79"/>
      <c r="G83" s="232"/>
      <c r="H83" s="232"/>
      <c r="I83" s="232"/>
      <c r="J83" s="232"/>
      <c r="K83" s="363"/>
      <c r="L83" s="402"/>
      <c r="M83" s="402"/>
      <c r="N83" s="525"/>
    </row>
    <row r="84" spans="1:14" s="76" customFormat="1" ht="20.25" x14ac:dyDescent="0.2">
      <c r="A84" s="79"/>
      <c r="B84" s="79"/>
      <c r="C84" s="79"/>
      <c r="D84" s="79"/>
      <c r="E84" s="79"/>
      <c r="F84" s="79"/>
      <c r="G84" s="232"/>
      <c r="H84" s="232"/>
      <c r="I84" s="232"/>
      <c r="J84" s="232"/>
      <c r="K84" s="363"/>
      <c r="L84" s="402"/>
      <c r="M84" s="402"/>
      <c r="N84" s="525"/>
    </row>
    <row r="85" spans="1:14" s="76" customFormat="1" ht="20.25" x14ac:dyDescent="0.2">
      <c r="A85" s="79"/>
      <c r="B85" s="79"/>
      <c r="C85" s="67"/>
      <c r="D85" s="67"/>
      <c r="G85" s="232"/>
      <c r="H85" s="232"/>
      <c r="I85" s="232"/>
      <c r="J85" s="232"/>
      <c r="K85" s="363"/>
      <c r="L85" s="402"/>
      <c r="M85" s="402"/>
      <c r="N85" s="525"/>
    </row>
    <row r="86" spans="1:14" s="76" customFormat="1" ht="20.25" x14ac:dyDescent="0.2">
      <c r="A86" s="79"/>
      <c r="B86" s="79"/>
      <c r="C86" s="79"/>
      <c r="D86" s="79"/>
      <c r="E86" s="79"/>
      <c r="F86" s="79"/>
      <c r="G86" s="232"/>
      <c r="H86" s="232"/>
      <c r="I86" s="232"/>
      <c r="J86" s="232"/>
      <c r="K86" s="363"/>
      <c r="L86" s="402"/>
      <c r="M86" s="402"/>
      <c r="N86" s="525"/>
    </row>
    <row r="87" spans="1:14" s="76" customFormat="1" ht="20.25" x14ac:dyDescent="0.2">
      <c r="A87" s="79"/>
      <c r="B87" s="79"/>
      <c r="C87" s="79"/>
      <c r="D87" s="79"/>
      <c r="E87" s="79"/>
      <c r="F87" s="79"/>
      <c r="G87" s="232"/>
      <c r="H87" s="232"/>
      <c r="I87" s="232"/>
      <c r="J87" s="232"/>
      <c r="K87" s="363"/>
      <c r="L87" s="402"/>
      <c r="M87" s="402"/>
      <c r="N87" s="525"/>
    </row>
    <row r="88" spans="1:14" s="76" customFormat="1" ht="20.25" x14ac:dyDescent="0.2">
      <c r="A88" s="79"/>
      <c r="B88" s="79"/>
      <c r="C88" s="79"/>
      <c r="D88" s="79"/>
      <c r="E88" s="79"/>
      <c r="F88" s="79"/>
      <c r="G88" s="232"/>
      <c r="H88" s="232"/>
      <c r="I88" s="232"/>
      <c r="J88" s="232"/>
      <c r="K88" s="363"/>
      <c r="L88" s="402"/>
      <c r="M88" s="402"/>
      <c r="N88" s="525"/>
    </row>
    <row r="89" spans="1:14" s="76" customFormat="1" ht="20.25" x14ac:dyDescent="0.2">
      <c r="A89" s="79"/>
      <c r="B89" s="79"/>
      <c r="C89" s="79"/>
      <c r="D89" s="79"/>
      <c r="E89" s="79"/>
      <c r="F89" s="79"/>
      <c r="G89" s="232"/>
      <c r="H89" s="232"/>
      <c r="I89" s="232"/>
      <c r="J89" s="232"/>
      <c r="K89" s="363"/>
      <c r="L89" s="402"/>
      <c r="M89" s="402"/>
      <c r="N89" s="525"/>
    </row>
    <row r="90" spans="1:14" s="76" customFormat="1" ht="20.25" x14ac:dyDescent="0.2">
      <c r="A90" s="79"/>
      <c r="B90" s="79"/>
      <c r="C90" s="67"/>
      <c r="D90" s="79"/>
      <c r="F90" s="79"/>
      <c r="G90" s="232"/>
      <c r="H90" s="232"/>
      <c r="I90" s="232"/>
      <c r="J90" s="232"/>
      <c r="K90" s="363"/>
      <c r="L90" s="402"/>
      <c r="M90" s="402"/>
      <c r="N90" s="525"/>
    </row>
    <row r="91" spans="1:14" s="76" customFormat="1" ht="20.25" x14ac:dyDescent="0.2">
      <c r="A91" s="79"/>
      <c r="B91" s="79"/>
      <c r="C91" s="79"/>
      <c r="D91" s="79"/>
      <c r="E91" s="79"/>
      <c r="F91" s="79"/>
      <c r="G91" s="232"/>
      <c r="H91" s="232"/>
      <c r="I91" s="232"/>
      <c r="J91" s="232"/>
      <c r="K91" s="363"/>
      <c r="L91" s="402"/>
      <c r="M91" s="402"/>
      <c r="N91" s="525"/>
    </row>
    <row r="92" spans="1:14" s="68" customFormat="1" ht="20.25" x14ac:dyDescent="0.2">
      <c r="A92" s="67"/>
      <c r="B92" s="67"/>
      <c r="C92" s="67"/>
      <c r="D92" s="67"/>
      <c r="E92" s="67"/>
      <c r="F92" s="67"/>
      <c r="G92" s="237"/>
      <c r="H92" s="237"/>
      <c r="I92" s="237"/>
      <c r="J92" s="237"/>
      <c r="K92" s="361"/>
      <c r="N92" s="525"/>
    </row>
    <row r="93" spans="1:14" s="68" customFormat="1" ht="20.25" x14ac:dyDescent="0.2">
      <c r="A93" s="67"/>
      <c r="B93" s="67"/>
      <c r="C93" s="67"/>
      <c r="D93" s="67"/>
      <c r="E93" s="67"/>
      <c r="F93" s="67"/>
      <c r="G93" s="237"/>
      <c r="H93" s="237"/>
      <c r="I93" s="237"/>
      <c r="J93" s="237"/>
      <c r="K93" s="361"/>
      <c r="N93" s="525"/>
    </row>
    <row r="94" spans="1:14" s="68" customFormat="1" ht="23.25" x14ac:dyDescent="0.2">
      <c r="A94" s="67"/>
      <c r="B94" s="271"/>
      <c r="C94" s="67"/>
      <c r="D94" s="67"/>
      <c r="E94" s="67"/>
      <c r="F94" s="67"/>
      <c r="G94" s="232"/>
      <c r="H94" s="232"/>
      <c r="I94" s="232"/>
      <c r="J94" s="232"/>
      <c r="K94" s="361"/>
      <c r="N94" s="525"/>
    </row>
    <row r="95" spans="1:14" s="76" customFormat="1" ht="20.25" x14ac:dyDescent="0.2">
      <c r="A95" s="79"/>
      <c r="B95" s="79"/>
      <c r="D95" s="79"/>
      <c r="E95" s="79"/>
      <c r="F95" s="79"/>
      <c r="G95" s="232"/>
      <c r="H95" s="232"/>
      <c r="I95" s="232"/>
      <c r="J95" s="232"/>
      <c r="K95" s="363"/>
      <c r="N95" s="525"/>
    </row>
    <row r="96" spans="1:14" s="76" customFormat="1" ht="20.25" x14ac:dyDescent="0.2">
      <c r="A96" s="79"/>
      <c r="B96" s="79"/>
      <c r="D96" s="79"/>
      <c r="E96" s="79"/>
      <c r="F96" s="79"/>
      <c r="G96" s="232"/>
      <c r="H96" s="232"/>
      <c r="I96" s="232"/>
      <c r="J96" s="232"/>
      <c r="K96" s="363"/>
      <c r="N96" s="525"/>
    </row>
    <row r="97" spans="1:14" s="68" customFormat="1" ht="20.25" x14ac:dyDescent="0.2">
      <c r="A97" s="67"/>
      <c r="B97" s="67"/>
      <c r="D97" s="79"/>
      <c r="E97" s="67"/>
      <c r="F97" s="67"/>
      <c r="G97" s="232"/>
      <c r="H97" s="232"/>
      <c r="I97" s="232"/>
      <c r="J97" s="232"/>
      <c r="K97" s="361"/>
      <c r="N97" s="525"/>
    </row>
    <row r="98" spans="1:14" s="68" customFormat="1" ht="23.25" x14ac:dyDescent="0.2">
      <c r="A98" s="67"/>
      <c r="B98" s="271"/>
      <c r="C98" s="67"/>
      <c r="D98" s="67"/>
      <c r="E98" s="67"/>
      <c r="F98" s="67"/>
      <c r="G98" s="237"/>
      <c r="H98" s="237"/>
      <c r="I98" s="237"/>
      <c r="J98" s="237"/>
      <c r="K98" s="361"/>
      <c r="N98" s="525"/>
    </row>
    <row r="99" spans="1:14" s="68" customFormat="1" ht="20.25" x14ac:dyDescent="0.2">
      <c r="A99" s="67"/>
      <c r="B99" s="67"/>
      <c r="C99" s="67"/>
      <c r="D99" s="67"/>
      <c r="E99" s="67"/>
      <c r="F99" s="67"/>
      <c r="G99" s="232"/>
      <c r="H99" s="232"/>
      <c r="I99" s="232"/>
      <c r="J99" s="232"/>
      <c r="K99" s="361"/>
      <c r="N99" s="525"/>
    </row>
    <row r="100" spans="1:14" s="82" customFormat="1" ht="26.25" x14ac:dyDescent="0.2">
      <c r="A100" s="268"/>
      <c r="B100" s="268"/>
      <c r="C100" s="268"/>
      <c r="D100" s="268"/>
      <c r="E100" s="268"/>
      <c r="F100" s="268"/>
      <c r="G100" s="269"/>
      <c r="H100" s="237"/>
      <c r="I100" s="237"/>
      <c r="J100" s="237"/>
      <c r="K100" s="364"/>
      <c r="N100" s="529"/>
    </row>
    <row r="101" spans="1:14" s="18" customFormat="1" ht="20.25" x14ac:dyDescent="0.3">
      <c r="A101" s="122"/>
      <c r="B101" s="122"/>
      <c r="C101" s="122"/>
      <c r="D101" s="122"/>
      <c r="E101" s="122"/>
      <c r="F101" s="122"/>
      <c r="G101" s="272"/>
      <c r="H101" s="277"/>
      <c r="I101" s="277"/>
      <c r="J101" s="277"/>
      <c r="K101" s="366"/>
      <c r="N101" s="530"/>
    </row>
    <row r="102" spans="1:14" ht="20.25" x14ac:dyDescent="0.3">
      <c r="H102" s="277"/>
      <c r="I102" s="277"/>
      <c r="J102" s="277"/>
    </row>
    <row r="103" spans="1:14" ht="20.25" x14ac:dyDescent="0.3">
      <c r="H103" s="277"/>
      <c r="I103" s="277"/>
      <c r="J103" s="277"/>
    </row>
    <row r="104" spans="1:14" ht="20.25" x14ac:dyDescent="0.3">
      <c r="H104" s="274"/>
      <c r="I104" s="274"/>
      <c r="J104" s="274"/>
    </row>
  </sheetData>
  <mergeCells count="3">
    <mergeCell ref="L8:M8"/>
    <mergeCell ref="G6:J6"/>
    <mergeCell ref="C43:F43"/>
  </mergeCells>
  <pageMargins left="0.65" right="0.15" top="0.25" bottom="0.25" header="0.3" footer="0.3"/>
  <pageSetup scale="44"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6"/>
  <sheetViews>
    <sheetView zoomScale="70" zoomScaleNormal="70" workbookViewId="0">
      <selection activeCell="J27" sqref="J27"/>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hidden="1" customWidth="1"/>
    <col min="13" max="13" width="23.125" style="18" hidden="1"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hidden="1" customHeight="1" x14ac:dyDescent="0.4">
      <c r="A3" s="58" t="str">
        <f>'February''23 State of Activities'!A3</f>
        <v>Ten Months Ended October 31, 2022 and 2021</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'February''23 State of Activities'!A4</f>
        <v>For the Years Ended December 31, 2022 and 2021</v>
      </c>
      <c r="B4" s="59"/>
      <c r="C4" s="60"/>
      <c r="D4" s="60"/>
      <c r="E4" s="60"/>
      <c r="F4" s="59"/>
      <c r="G4" s="230"/>
      <c r="H4" s="59"/>
      <c r="I4" s="59"/>
      <c r="J4" s="59"/>
      <c r="K4" s="59"/>
      <c r="L4" s="462"/>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763"/>
      <c r="H6" s="240" t="s">
        <v>49</v>
      </c>
      <c r="I6" s="240"/>
      <c r="J6" s="974" t="s">
        <v>49</v>
      </c>
      <c r="K6" s="974"/>
      <c r="L6" s="974"/>
      <c r="M6" s="974"/>
      <c r="N6" s="65"/>
      <c r="O6" s="415" t="s">
        <v>181</v>
      </c>
      <c r="P6" s="412"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67">
        <f>'February''23 State of Activities'!G8</f>
        <v>44985</v>
      </c>
      <c r="K8" s="668">
        <v>44561</v>
      </c>
      <c r="L8" s="669"/>
      <c r="M8" s="668">
        <f>'February''23 State of Activities'!J8</f>
        <v>44620</v>
      </c>
      <c r="N8" s="71"/>
      <c r="O8" s="1037" t="s">
        <v>583</v>
      </c>
      <c r="P8" s="1037"/>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0" t="s">
        <v>150</v>
      </c>
      <c r="D9" s="420"/>
      <c r="E9" s="420"/>
      <c r="F9" s="73"/>
      <c r="G9" s="264">
        <v>127719</v>
      </c>
      <c r="H9" s="264">
        <v>67566.5</v>
      </c>
      <c r="I9" s="322"/>
      <c r="J9" s="326">
        <f>'February''23 State of Activities'!G10</f>
        <v>19007</v>
      </c>
      <c r="K9" s="326">
        <f>85646.89+162.47</f>
        <v>85809.36</v>
      </c>
      <c r="L9" s="326"/>
      <c r="M9" s="326">
        <f>'February''23 State of Activities'!J10</f>
        <v>8308.49</v>
      </c>
      <c r="N9" s="68"/>
      <c r="O9" s="378">
        <f>J9-K9</f>
        <v>-66802.36</v>
      </c>
      <c r="P9" s="413">
        <f>O9/K9</f>
        <v>-0.77849735739784098</v>
      </c>
      <c r="Q9" s="68"/>
      <c r="R9" s="38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0" t="s">
        <v>214</v>
      </c>
      <c r="D10" s="420"/>
      <c r="E10" s="420"/>
      <c r="F10" s="73"/>
      <c r="G10" s="263">
        <v>875436</v>
      </c>
      <c r="H10" s="263">
        <v>372424.1</v>
      </c>
      <c r="I10" s="326"/>
      <c r="J10" s="322">
        <f>5970+(5970*0.14)+7000</f>
        <v>13805.8</v>
      </c>
      <c r="K10" s="322">
        <v>34505.879999999997</v>
      </c>
      <c r="L10" s="326"/>
      <c r="M10" s="322">
        <v>22322</v>
      </c>
      <c r="N10" s="68"/>
      <c r="O10" s="506">
        <f>J10-K10</f>
        <v>-20700.079999999998</v>
      </c>
      <c r="P10" s="413">
        <f>O10/K10</f>
        <v>-0.59990007500170983</v>
      </c>
      <c r="Q10" s="68"/>
      <c r="R10" s="38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0" t="s">
        <v>390</v>
      </c>
      <c r="D11" s="420"/>
      <c r="E11" s="420"/>
      <c r="F11" s="73"/>
      <c r="G11" s="263"/>
      <c r="H11" s="263"/>
      <c r="I11" s="326"/>
      <c r="J11" s="322">
        <f>29668+15310-12000</f>
        <v>32978</v>
      </c>
      <c r="K11" s="322">
        <v>0</v>
      </c>
      <c r="L11" s="326"/>
      <c r="M11" s="322"/>
      <c r="N11" s="68"/>
      <c r="O11" s="506">
        <f>J11-K11</f>
        <v>32978</v>
      </c>
      <c r="P11" s="413"/>
      <c r="Q11" s="68"/>
      <c r="R11" s="38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0" t="s">
        <v>102</v>
      </c>
      <c r="D12" s="420"/>
      <c r="E12" s="420"/>
      <c r="F12" s="73"/>
      <c r="G12" s="264"/>
      <c r="H12" s="264"/>
      <c r="I12" s="322"/>
      <c r="J12" s="322"/>
      <c r="K12" s="322"/>
      <c r="L12" s="322"/>
      <c r="M12" s="322"/>
      <c r="N12" s="68"/>
      <c r="O12" s="506"/>
      <c r="P12" s="424"/>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0" t="s">
        <v>215</v>
      </c>
      <c r="E13" s="420"/>
      <c r="F13" s="73"/>
      <c r="G13" s="264">
        <v>94235.25</v>
      </c>
      <c r="H13" s="264">
        <v>37190.379999999997</v>
      </c>
      <c r="I13" s="322"/>
      <c r="J13" s="322">
        <f>'February''23 Revenues &amp; Expenses'!I22</f>
        <v>0</v>
      </c>
      <c r="K13" s="322">
        <v>45500</v>
      </c>
      <c r="L13" s="322"/>
      <c r="M13" s="322">
        <v>37917</v>
      </c>
      <c r="N13" s="68"/>
      <c r="O13" s="506">
        <f t="shared" ref="O13:O29" si="0">J13-K13</f>
        <v>-45500</v>
      </c>
      <c r="P13" s="436">
        <f>O13/K13</f>
        <v>-1</v>
      </c>
      <c r="Q13" s="68"/>
      <c r="R13" s="845"/>
      <c r="S13" s="469"/>
      <c r="T13" s="468"/>
      <c r="U13" s="4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0" t="s">
        <v>159</v>
      </c>
      <c r="E14" s="420"/>
      <c r="F14" s="73"/>
      <c r="G14" s="264"/>
      <c r="H14" s="264"/>
      <c r="I14" s="322"/>
      <c r="J14" s="322">
        <f>'February''23 Revenues &amp; Expenses'!I30</f>
        <v>0</v>
      </c>
      <c r="K14" s="322">
        <v>18000</v>
      </c>
      <c r="L14" s="322"/>
      <c r="M14" s="322">
        <f>'February''23 State of Activities'!J16</f>
        <v>3000</v>
      </c>
      <c r="N14" s="68"/>
      <c r="O14" s="506">
        <f t="shared" si="0"/>
        <v>-18000</v>
      </c>
      <c r="P14" s="436">
        <f>O14/K14</f>
        <v>-1</v>
      </c>
      <c r="Q14" s="68"/>
      <c r="R14" s="68"/>
      <c r="S14" s="387"/>
      <c r="T14" s="470"/>
      <c r="U14" s="79"/>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0" t="s">
        <v>103</v>
      </c>
      <c r="D15" s="420"/>
      <c r="E15" s="420"/>
      <c r="F15" s="73"/>
      <c r="G15" s="264">
        <v>0</v>
      </c>
      <c r="H15" s="264">
        <v>3517</v>
      </c>
      <c r="I15" s="322"/>
      <c r="J15" s="322">
        <f>'February''23 State of Activities'!G18</f>
        <v>5998.07</v>
      </c>
      <c r="K15" s="322">
        <v>17445.740000000002</v>
      </c>
      <c r="L15" s="322"/>
      <c r="M15" s="322">
        <f>'February''23 State of Activities'!J18</f>
        <v>1970</v>
      </c>
      <c r="N15" s="68"/>
      <c r="O15" s="506">
        <f t="shared" si="0"/>
        <v>-11447.670000000002</v>
      </c>
      <c r="P15" s="436">
        <f>O15/K15</f>
        <v>-0.65618712648474642</v>
      </c>
      <c r="Q15" s="68"/>
      <c r="R15" s="68"/>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0" t="s">
        <v>216</v>
      </c>
      <c r="D16" s="420"/>
      <c r="E16" s="420"/>
      <c r="F16" s="73"/>
      <c r="G16" s="264">
        <v>31459</v>
      </c>
      <c r="H16" s="264">
        <v>13920.35</v>
      </c>
      <c r="I16" s="322"/>
      <c r="J16" s="322">
        <f>'February''23 Revenues &amp; Expenses'!H46</f>
        <v>0</v>
      </c>
      <c r="K16" s="322">
        <v>25000</v>
      </c>
      <c r="L16" s="322"/>
      <c r="M16" s="322">
        <v>21073</v>
      </c>
      <c r="N16" s="68"/>
      <c r="O16" s="506">
        <f t="shared" si="0"/>
        <v>-25000</v>
      </c>
      <c r="P16" s="436">
        <f>O16/K16</f>
        <v>-1</v>
      </c>
      <c r="Q16" s="68"/>
      <c r="R16" s="68"/>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0" t="s">
        <v>468</v>
      </c>
      <c r="D17" s="420"/>
      <c r="E17" s="420"/>
      <c r="F17" s="73"/>
      <c r="G17" s="264"/>
      <c r="H17" s="264"/>
      <c r="I17" s="322"/>
      <c r="J17" s="322">
        <v>0</v>
      </c>
      <c r="K17" s="322">
        <v>5350</v>
      </c>
      <c r="L17" s="322"/>
      <c r="M17" s="322"/>
      <c r="N17" s="68"/>
      <c r="O17" s="506">
        <f t="shared" si="0"/>
        <v>-5350</v>
      </c>
      <c r="P17" s="436"/>
      <c r="Q17" s="68"/>
      <c r="R17" s="68"/>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0" t="s">
        <v>380</v>
      </c>
      <c r="D18" s="420"/>
      <c r="E18" s="420"/>
      <c r="F18" s="73"/>
      <c r="G18" s="264"/>
      <c r="H18" s="264"/>
      <c r="I18" s="322"/>
      <c r="J18" s="322">
        <v>3339.95</v>
      </c>
      <c r="K18" s="322">
        <v>30028.48</v>
      </c>
      <c r="L18" s="322"/>
      <c r="M18" s="322">
        <v>26444</v>
      </c>
      <c r="N18" s="68"/>
      <c r="O18" s="506">
        <f t="shared" si="0"/>
        <v>-26688.53</v>
      </c>
      <c r="P18" s="413">
        <f>O18/K18</f>
        <v>-0.88877392395485888</v>
      </c>
      <c r="Q18" s="68"/>
      <c r="R18" s="68"/>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0" t="s">
        <v>392</v>
      </c>
      <c r="D19" s="420"/>
      <c r="E19" s="420"/>
      <c r="F19" s="73"/>
      <c r="G19" s="264"/>
      <c r="H19" s="264"/>
      <c r="I19" s="322"/>
      <c r="J19" s="322">
        <v>0</v>
      </c>
      <c r="K19" s="322">
        <v>20000</v>
      </c>
      <c r="L19" s="322"/>
      <c r="M19" s="322"/>
      <c r="N19" s="68"/>
      <c r="O19" s="506">
        <f t="shared" si="0"/>
        <v>-20000</v>
      </c>
      <c r="P19" s="413"/>
      <c r="Q19" s="68"/>
      <c r="R19" s="68"/>
      <c r="S19" s="387"/>
      <c r="T19" s="470"/>
      <c r="U19" s="361"/>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hidden="1" x14ac:dyDescent="0.2">
      <c r="A20" s="73"/>
      <c r="B20" s="73"/>
      <c r="C20" s="420" t="s">
        <v>410</v>
      </c>
      <c r="D20" s="420"/>
      <c r="E20" s="420"/>
      <c r="F20" s="73"/>
      <c r="G20" s="264"/>
      <c r="H20" s="264"/>
      <c r="I20" s="322"/>
      <c r="J20" s="322">
        <v>0</v>
      </c>
      <c r="K20" s="322">
        <v>0</v>
      </c>
      <c r="L20" s="322"/>
      <c r="M20" s="322"/>
      <c r="N20" s="68"/>
      <c r="O20" s="506">
        <f t="shared" si="0"/>
        <v>0</v>
      </c>
      <c r="P20" s="436"/>
      <c r="Q20" s="68"/>
      <c r="R20" s="68"/>
      <c r="S20" s="387"/>
      <c r="T20" s="470"/>
      <c r="U20" s="361"/>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hidden="1" x14ac:dyDescent="0.2">
      <c r="A21" s="73"/>
      <c r="B21" s="73"/>
      <c r="C21" s="420" t="s">
        <v>411</v>
      </c>
      <c r="D21" s="420"/>
      <c r="E21" s="420"/>
      <c r="F21" s="73"/>
      <c r="G21" s="264"/>
      <c r="H21" s="264"/>
      <c r="I21" s="322"/>
      <c r="J21" s="322">
        <v>0</v>
      </c>
      <c r="K21" s="322">
        <v>0</v>
      </c>
      <c r="L21" s="322"/>
      <c r="M21" s="322"/>
      <c r="N21" s="68"/>
      <c r="O21" s="506">
        <f t="shared" si="0"/>
        <v>0</v>
      </c>
      <c r="P21" s="436"/>
      <c r="Q21" s="68"/>
      <c r="R21" s="68"/>
      <c r="S21" s="387"/>
      <c r="T21" s="470"/>
      <c r="U21" s="361"/>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hidden="1" x14ac:dyDescent="0.2">
      <c r="A22" s="73"/>
      <c r="B22" s="73"/>
      <c r="C22" s="420" t="s">
        <v>335</v>
      </c>
      <c r="D22" s="420"/>
      <c r="E22" s="420"/>
      <c r="F22" s="73"/>
      <c r="G22" s="264"/>
      <c r="H22" s="264"/>
      <c r="I22" s="322"/>
      <c r="J22" s="322"/>
      <c r="K22" s="322"/>
      <c r="L22" s="322"/>
      <c r="M22" s="322"/>
      <c r="N22" s="68"/>
      <c r="O22" s="506">
        <f t="shared" si="0"/>
        <v>0</v>
      </c>
      <c r="P22" s="436"/>
      <c r="Q22" s="68"/>
      <c r="R22" s="68"/>
      <c r="S22" s="387"/>
      <c r="T22" s="470"/>
      <c r="U22" s="361"/>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hidden="1" customHeight="1" x14ac:dyDescent="0.2">
      <c r="A23" s="73"/>
      <c r="B23" s="73"/>
      <c r="C23" s="1036" t="s">
        <v>338</v>
      </c>
      <c r="D23" s="1036"/>
      <c r="E23" s="1036"/>
      <c r="F23" s="1036"/>
      <c r="G23" s="264"/>
      <c r="H23" s="264"/>
      <c r="I23" s="322"/>
      <c r="J23" s="322">
        <v>0</v>
      </c>
      <c r="K23" s="322">
        <v>0</v>
      </c>
      <c r="L23" s="322"/>
      <c r="M23" s="322">
        <f>K23</f>
        <v>0</v>
      </c>
      <c r="N23" s="68"/>
      <c r="O23" s="506">
        <f t="shared" si="0"/>
        <v>0</v>
      </c>
      <c r="P23" s="436"/>
      <c r="Q23" s="68"/>
      <c r="R23" s="68"/>
      <c r="S23" s="387"/>
      <c r="T23" s="470"/>
      <c r="U23" s="361"/>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73"/>
      <c r="C24" s="420" t="s">
        <v>344</v>
      </c>
      <c r="D24" s="420"/>
      <c r="E24" s="420"/>
      <c r="F24" s="73"/>
      <c r="G24" s="264">
        <v>1125</v>
      </c>
      <c r="H24" s="264">
        <v>6050</v>
      </c>
      <c r="I24" s="322"/>
      <c r="J24" s="322">
        <v>0</v>
      </c>
      <c r="K24" s="322">
        <v>3150</v>
      </c>
      <c r="L24" s="322"/>
      <c r="M24" s="322" t="e">
        <f>'February''23 State of Activities'!#REF!</f>
        <v>#REF!</v>
      </c>
      <c r="N24" s="68"/>
      <c r="O24" s="506">
        <f t="shared" si="0"/>
        <v>-3150</v>
      </c>
      <c r="P24" s="436"/>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420" t="s">
        <v>217</v>
      </c>
      <c r="D25" s="420"/>
      <c r="E25" s="420"/>
      <c r="F25" s="73"/>
      <c r="G25" s="265">
        <v>31250</v>
      </c>
      <c r="H25" s="265">
        <v>15624.98</v>
      </c>
      <c r="I25" s="322"/>
      <c r="J25" s="265">
        <f>'February''23 State of Activities'!G25*0.2</f>
        <v>1758</v>
      </c>
      <c r="K25" s="265">
        <f>'[3]December''21 State of Activities'!H26*0.2</f>
        <v>10548</v>
      </c>
      <c r="L25" s="322"/>
      <c r="M25" s="265">
        <f>'February''23 State of Activities'!J25*0.2</f>
        <v>1758</v>
      </c>
      <c r="N25" s="68"/>
      <c r="O25" s="377">
        <f t="shared" si="0"/>
        <v>-8790</v>
      </c>
      <c r="P25" s="414">
        <v>0</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0"/>
      <c r="D26" s="73" t="s">
        <v>105</v>
      </c>
      <c r="E26" s="420"/>
      <c r="F26" s="73"/>
      <c r="G26" s="234">
        <v>1161224.25</v>
      </c>
      <c r="H26" s="234">
        <v>516293.30999999994</v>
      </c>
      <c r="I26" s="232"/>
      <c r="J26" s="264">
        <f>SUM(J9:J25)</f>
        <v>76886.819999999992</v>
      </c>
      <c r="K26" s="264">
        <f>SUM(K9:K25)</f>
        <v>295337.45999999996</v>
      </c>
      <c r="L26" s="322"/>
      <c r="M26" s="264" t="e">
        <f>SUM(M9:M25)</f>
        <v>#REF!</v>
      </c>
      <c r="N26" s="68"/>
      <c r="O26" s="275">
        <f t="shared" si="0"/>
        <v>-218450.63999999996</v>
      </c>
      <c r="P26" s="436">
        <f>O26/K26</f>
        <v>-0.73966451800594468</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218</v>
      </c>
      <c r="D27" s="420"/>
      <c r="E27" s="420"/>
      <c r="F27" s="73"/>
      <c r="G27" s="241">
        <v>150176</v>
      </c>
      <c r="H27" s="241">
        <v>47700.27</v>
      </c>
      <c r="I27" s="232"/>
      <c r="J27" s="322">
        <f>20000/12*12</f>
        <v>20000</v>
      </c>
      <c r="K27" s="322">
        <v>18500</v>
      </c>
      <c r="L27" s="322"/>
      <c r="M27" s="322">
        <f>18500/12*10</f>
        <v>15416.666666666668</v>
      </c>
      <c r="N27" s="68"/>
      <c r="O27" s="506">
        <f t="shared" si="0"/>
        <v>1500</v>
      </c>
      <c r="P27" s="413">
        <f>O27/K27</f>
        <v>8.1081081081081086E-2</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73"/>
      <c r="C28" s="73" t="s">
        <v>219</v>
      </c>
      <c r="D28" s="420"/>
      <c r="E28" s="420"/>
      <c r="F28" s="73"/>
      <c r="G28" s="232"/>
      <c r="H28" s="232"/>
      <c r="I28" s="232"/>
      <c r="J28" s="265">
        <v>43041.19</v>
      </c>
      <c r="K28" s="265">
        <v>26400.720000000001</v>
      </c>
      <c r="L28" s="322"/>
      <c r="M28" s="265">
        <v>22282</v>
      </c>
      <c r="N28" s="68"/>
      <c r="O28" s="377">
        <f t="shared" si="0"/>
        <v>16640.47</v>
      </c>
      <c r="P28" s="463">
        <f>O28/K28</f>
        <v>0.63030364323397248</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0"/>
      <c r="D29" s="73" t="s">
        <v>107</v>
      </c>
      <c r="E29" s="420"/>
      <c r="F29" s="73"/>
      <c r="G29" s="234">
        <v>1311400.25</v>
      </c>
      <c r="H29" s="234">
        <v>563993.57999999996</v>
      </c>
      <c r="I29" s="232"/>
      <c r="J29" s="264">
        <f>SUM(J26:J28)</f>
        <v>139928.01</v>
      </c>
      <c r="K29" s="264">
        <f>SUM(K26:K28)</f>
        <v>340238.17999999993</v>
      </c>
      <c r="L29" s="322"/>
      <c r="M29" s="264" t="e">
        <f>SUM(M26:M28)</f>
        <v>#REF!</v>
      </c>
      <c r="N29" s="68"/>
      <c r="O29" s="275">
        <f t="shared" si="0"/>
        <v>-200310.16999999993</v>
      </c>
      <c r="P29" s="436">
        <f>O29/K29</f>
        <v>-0.58873513254744059</v>
      </c>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0.25" x14ac:dyDescent="0.2">
      <c r="A30" s="73"/>
      <c r="B30" s="73"/>
      <c r="C30" s="420"/>
      <c r="D30" s="73"/>
      <c r="E30" s="420"/>
      <c r="F30" s="73"/>
      <c r="G30" s="234"/>
      <c r="H30" s="234"/>
      <c r="I30" s="232"/>
      <c r="J30" s="322"/>
      <c r="K30" s="591"/>
      <c r="L30" s="322"/>
      <c r="M30" s="322"/>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74" customFormat="1" ht="21" thickBot="1" x14ac:dyDescent="0.25">
      <c r="A31" s="73"/>
      <c r="B31" s="87" t="s">
        <v>111</v>
      </c>
      <c r="C31" s="87"/>
      <c r="D31" s="87"/>
      <c r="E31" s="87"/>
      <c r="F31" s="87"/>
      <c r="G31" s="241"/>
      <c r="H31" s="68"/>
      <c r="I31" s="68"/>
      <c r="J31" s="322"/>
      <c r="K31" s="368"/>
      <c r="L31" s="368"/>
      <c r="M31" s="3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row>
    <row r="32" spans="1:61" s="68" customFormat="1" ht="20.25" x14ac:dyDescent="0.2">
      <c r="A32" s="67"/>
      <c r="B32" s="67"/>
      <c r="C32" s="79" t="s">
        <v>220</v>
      </c>
      <c r="D32" s="79"/>
      <c r="E32" s="79"/>
      <c r="F32" s="79"/>
      <c r="G32" s="232">
        <v>733747.79999999993</v>
      </c>
      <c r="H32" s="275">
        <v>361976</v>
      </c>
      <c r="I32" s="275"/>
      <c r="J32" s="322"/>
      <c r="K32" s="399"/>
      <c r="L32" s="399"/>
      <c r="M32" s="399"/>
    </row>
    <row r="33" spans="1:18" s="68" customFormat="1" ht="20.25" x14ac:dyDescent="0.2">
      <c r="A33" s="67"/>
      <c r="B33" s="67"/>
      <c r="C33" s="79"/>
      <c r="D33" s="976" t="s">
        <v>221</v>
      </c>
      <c r="E33" s="976"/>
      <c r="F33" s="976"/>
      <c r="G33" s="232"/>
      <c r="H33" s="275"/>
      <c r="I33" s="275"/>
      <c r="J33" s="322">
        <v>205058.36</v>
      </c>
      <c r="K33" s="322">
        <v>155035.70000000001</v>
      </c>
      <c r="L33" s="399"/>
      <c r="M33" s="322">
        <v>125923</v>
      </c>
      <c r="N33" s="368"/>
      <c r="O33" s="399">
        <f>J33-K33</f>
        <v>50022.659999999974</v>
      </c>
      <c r="P33" s="436">
        <f>O33/K33</f>
        <v>0.32265252454757176</v>
      </c>
    </row>
    <row r="34" spans="1:18" s="68" customFormat="1" ht="20.25" x14ac:dyDescent="0.2">
      <c r="A34" s="67"/>
      <c r="B34" s="67"/>
      <c r="C34" s="79"/>
      <c r="D34" s="976" t="s">
        <v>222</v>
      </c>
      <c r="E34" s="976"/>
      <c r="F34" s="976"/>
      <c r="G34" s="232"/>
      <c r="H34" s="275"/>
      <c r="I34" s="275"/>
      <c r="J34" s="322">
        <f>49459.05+28776.84</f>
        <v>78235.89</v>
      </c>
      <c r="K34" s="322">
        <f>43631.85+27917.65</f>
        <v>71549.5</v>
      </c>
      <c r="L34" s="399"/>
      <c r="M34" s="322">
        <v>58815</v>
      </c>
      <c r="N34" s="368"/>
      <c r="O34" s="399">
        <f>J34-K34</f>
        <v>6686.3899999999994</v>
      </c>
      <c r="P34" s="436">
        <f>O34/K34</f>
        <v>9.3451247038763369E-2</v>
      </c>
      <c r="R34" s="262"/>
    </row>
    <row r="35" spans="1:18" s="68" customFormat="1" ht="20.25" x14ac:dyDescent="0.2">
      <c r="A35" s="67"/>
      <c r="B35" s="67"/>
      <c r="C35" s="79"/>
      <c r="D35" s="976" t="s">
        <v>113</v>
      </c>
      <c r="E35" s="976"/>
      <c r="F35" s="976"/>
      <c r="G35" s="232"/>
      <c r="H35" s="275"/>
      <c r="I35" s="275"/>
      <c r="J35" s="322">
        <f>J33*0.213+J34*0.14</f>
        <v>54630.455279999995</v>
      </c>
      <c r="K35" s="322">
        <f>K33*0.213+K34*0.14</f>
        <v>43039.534100000004</v>
      </c>
      <c r="L35" s="399"/>
      <c r="M35" s="322">
        <f>M33*0.203+M34*0.15</f>
        <v>34384.619000000006</v>
      </c>
      <c r="N35" s="368"/>
      <c r="O35" s="399">
        <f>J35-K35</f>
        <v>11590.92117999999</v>
      </c>
      <c r="P35" s="436">
        <f>O35/K35</f>
        <v>0.26930870471481216</v>
      </c>
    </row>
    <row r="36" spans="1:18" s="68" customFormat="1" ht="20.25" x14ac:dyDescent="0.2">
      <c r="A36" s="67"/>
      <c r="B36" s="67"/>
      <c r="C36" s="79" t="s">
        <v>278</v>
      </c>
      <c r="D36" s="79"/>
      <c r="E36" s="79"/>
      <c r="F36" s="79"/>
      <c r="G36" s="232">
        <v>44745.18</v>
      </c>
      <c r="H36" s="232">
        <v>20974.21</v>
      </c>
      <c r="I36" s="232"/>
      <c r="J36" s="767"/>
      <c r="K36" s="767"/>
      <c r="L36" s="767"/>
      <c r="M36" s="767"/>
      <c r="N36" s="368"/>
      <c r="O36" s="824"/>
      <c r="P36" s="436"/>
    </row>
    <row r="37" spans="1:18" s="68" customFormat="1" ht="20.25" x14ac:dyDescent="0.2">
      <c r="A37" s="67"/>
      <c r="B37" s="67"/>
      <c r="C37" s="79"/>
      <c r="D37" s="976" t="s">
        <v>223</v>
      </c>
      <c r="E37" s="976"/>
      <c r="F37" s="976"/>
      <c r="G37" s="232"/>
      <c r="H37" s="232"/>
      <c r="I37" s="232"/>
      <c r="J37" s="322">
        <v>37936.65</v>
      </c>
      <c r="K37" s="322">
        <v>25112.19</v>
      </c>
      <c r="L37" s="322"/>
      <c r="M37" s="322">
        <v>20507</v>
      </c>
      <c r="N37" s="368"/>
      <c r="O37" s="399">
        <f t="shared" ref="O37:O55" si="1">J37-K37</f>
        <v>12824.460000000003</v>
      </c>
      <c r="P37" s="436">
        <f t="shared" ref="P37:P43" si="2">O37/K37</f>
        <v>0.51068664262256713</v>
      </c>
    </row>
    <row r="38" spans="1:18" s="68" customFormat="1" ht="20.25" x14ac:dyDescent="0.2">
      <c r="A38" s="67"/>
      <c r="B38" s="67"/>
      <c r="C38" s="79"/>
      <c r="D38" s="976" t="s">
        <v>224</v>
      </c>
      <c r="E38" s="976"/>
      <c r="F38" s="976"/>
      <c r="G38" s="232"/>
      <c r="H38" s="232"/>
      <c r="I38" s="232"/>
      <c r="J38" s="322">
        <v>25355.23</v>
      </c>
      <c r="K38" s="322">
        <v>23957.25</v>
      </c>
      <c r="L38" s="322"/>
      <c r="M38" s="322">
        <v>19947</v>
      </c>
      <c r="N38" s="368"/>
      <c r="O38" s="399">
        <f t="shared" si="1"/>
        <v>1397.9799999999996</v>
      </c>
      <c r="P38" s="436">
        <f t="shared" si="2"/>
        <v>5.8353108140541989E-2</v>
      </c>
    </row>
    <row r="39" spans="1:18" s="68" customFormat="1" ht="20.25" x14ac:dyDescent="0.2">
      <c r="A39" s="67"/>
      <c r="B39" s="67"/>
      <c r="C39" s="79"/>
      <c r="D39" s="976" t="s">
        <v>304</v>
      </c>
      <c r="E39" s="976"/>
      <c r="F39" s="976"/>
      <c r="G39" s="232"/>
      <c r="H39" s="232"/>
      <c r="I39" s="232"/>
      <c r="J39" s="322">
        <v>10951.57</v>
      </c>
      <c r="K39" s="322">
        <v>19504.66</v>
      </c>
      <c r="L39" s="322"/>
      <c r="M39" s="322">
        <v>17575</v>
      </c>
      <c r="N39" s="368"/>
      <c r="O39" s="399">
        <f t="shared" si="1"/>
        <v>-8553.09</v>
      </c>
      <c r="P39" s="436">
        <f t="shared" si="2"/>
        <v>-0.43851520610971945</v>
      </c>
    </row>
    <row r="40" spans="1:18" s="68" customFormat="1" ht="20.25" x14ac:dyDescent="0.2">
      <c r="A40" s="67"/>
      <c r="B40" s="67"/>
      <c r="C40" s="79"/>
      <c r="D40" s="976" t="s">
        <v>225</v>
      </c>
      <c r="E40" s="976"/>
      <c r="F40" s="976"/>
      <c r="G40" s="232"/>
      <c r="H40" s="232"/>
      <c r="I40" s="232"/>
      <c r="J40" s="322">
        <v>744</v>
      </c>
      <c r="K40" s="322">
        <v>663</v>
      </c>
      <c r="L40" s="322"/>
      <c r="M40" s="322">
        <v>648</v>
      </c>
      <c r="N40" s="368"/>
      <c r="O40" s="399">
        <f t="shared" si="1"/>
        <v>81</v>
      </c>
      <c r="P40" s="436">
        <f t="shared" si="2"/>
        <v>0.12217194570135746</v>
      </c>
    </row>
    <row r="41" spans="1:18" s="68" customFormat="1" ht="20.25" x14ac:dyDescent="0.2">
      <c r="A41" s="67"/>
      <c r="B41" s="67"/>
      <c r="C41" s="79" t="s">
        <v>497</v>
      </c>
      <c r="D41" s="79"/>
      <c r="E41" s="79"/>
      <c r="F41" s="79"/>
      <c r="G41" s="232">
        <v>27200</v>
      </c>
      <c r="H41" s="232">
        <v>11327</v>
      </c>
      <c r="I41" s="232"/>
      <c r="J41" s="322">
        <f>29230+1903</f>
        <v>31133</v>
      </c>
      <c r="K41" s="322">
        <f>1903+28481</f>
        <v>30384</v>
      </c>
      <c r="L41" s="322"/>
      <c r="M41" s="322">
        <v>25320</v>
      </c>
      <c r="N41" s="368"/>
      <c r="O41" s="399">
        <f t="shared" si="1"/>
        <v>749</v>
      </c>
      <c r="P41" s="436">
        <f t="shared" si="2"/>
        <v>2.4651132174828859E-2</v>
      </c>
    </row>
    <row r="42" spans="1:18" s="68" customFormat="1" ht="20.25" x14ac:dyDescent="0.2">
      <c r="A42" s="67"/>
      <c r="B42" s="67"/>
      <c r="C42" s="79" t="s">
        <v>104</v>
      </c>
      <c r="D42" s="79"/>
      <c r="E42" s="79"/>
      <c r="F42" s="79"/>
      <c r="G42" s="232">
        <v>150176</v>
      </c>
      <c r="H42" s="275">
        <v>47700.27</v>
      </c>
      <c r="I42" s="275"/>
      <c r="J42" s="322">
        <f>J25</f>
        <v>1758</v>
      </c>
      <c r="K42" s="322">
        <f>K25</f>
        <v>10548</v>
      </c>
      <c r="L42" s="399"/>
      <c r="M42" s="322">
        <v>8790</v>
      </c>
      <c r="N42" s="368"/>
      <c r="O42" s="399">
        <f t="shared" si="1"/>
        <v>-8790</v>
      </c>
      <c r="P42" s="436">
        <f t="shared" si="2"/>
        <v>-0.83333333333333337</v>
      </c>
    </row>
    <row r="43" spans="1:18" s="68" customFormat="1" ht="20.25" x14ac:dyDescent="0.2">
      <c r="A43" s="67"/>
      <c r="B43" s="67"/>
      <c r="C43" s="79" t="s">
        <v>313</v>
      </c>
      <c r="D43" s="79"/>
      <c r="E43" s="79"/>
      <c r="F43" s="79"/>
      <c r="G43" s="232"/>
      <c r="H43" s="275"/>
      <c r="I43" s="275"/>
      <c r="J43" s="322">
        <v>4738.88</v>
      </c>
      <c r="K43" s="322">
        <v>4231.88</v>
      </c>
      <c r="L43" s="399"/>
      <c r="M43" s="322">
        <v>3487</v>
      </c>
      <c r="N43" s="368"/>
      <c r="O43" s="399">
        <f t="shared" si="1"/>
        <v>507</v>
      </c>
      <c r="P43" s="436">
        <f t="shared" si="2"/>
        <v>0.11980490940196792</v>
      </c>
    </row>
    <row r="44" spans="1:18" s="68" customFormat="1" ht="20.25" x14ac:dyDescent="0.2">
      <c r="A44" s="67"/>
      <c r="B44" s="67"/>
      <c r="C44" s="79" t="s">
        <v>584</v>
      </c>
      <c r="D44" s="79"/>
      <c r="E44" s="79"/>
      <c r="F44" s="79"/>
      <c r="G44" s="232"/>
      <c r="H44" s="275"/>
      <c r="I44" s="275"/>
      <c r="J44" s="322">
        <f>149*3</f>
        <v>447</v>
      </c>
      <c r="K44" s="322"/>
      <c r="L44" s="399"/>
      <c r="M44" s="322"/>
      <c r="N44" s="368"/>
      <c r="O44" s="399">
        <f t="shared" si="1"/>
        <v>447</v>
      </c>
      <c r="P44" s="436"/>
    </row>
    <row r="45" spans="1:18" s="68" customFormat="1" ht="20.25" x14ac:dyDescent="0.2">
      <c r="A45" s="67"/>
      <c r="B45" s="67"/>
      <c r="C45" s="79" t="s">
        <v>227</v>
      </c>
      <c r="D45" s="79"/>
      <c r="E45" s="79"/>
      <c r="F45" s="79"/>
      <c r="G45" s="232"/>
      <c r="H45" s="275"/>
      <c r="I45" s="275"/>
      <c r="J45" s="322">
        <v>2293</v>
      </c>
      <c r="K45" s="322">
        <f>99+937</f>
        <v>1036</v>
      </c>
      <c r="L45" s="399"/>
      <c r="M45" s="322">
        <v>1036</v>
      </c>
      <c r="N45" s="368"/>
      <c r="O45" s="399">
        <f t="shared" si="1"/>
        <v>1257</v>
      </c>
      <c r="P45" s="436">
        <f>O45/K45</f>
        <v>1.2133204633204633</v>
      </c>
    </row>
    <row r="46" spans="1:18" s="68" customFormat="1" ht="20.25" x14ac:dyDescent="0.2">
      <c r="A46" s="67"/>
      <c r="B46" s="67"/>
      <c r="C46" s="79" t="s">
        <v>383</v>
      </c>
      <c r="D46" s="79"/>
      <c r="E46" s="79"/>
      <c r="F46" s="79"/>
      <c r="G46" s="232">
        <v>10993.12</v>
      </c>
      <c r="H46" s="275">
        <v>4904.57</v>
      </c>
      <c r="I46" s="275"/>
      <c r="J46" s="322">
        <v>8658.77</v>
      </c>
      <c r="K46" s="322">
        <f>7884.62+184.74</f>
        <v>8069.36</v>
      </c>
      <c r="L46" s="399"/>
      <c r="M46" s="322">
        <v>6679</v>
      </c>
      <c r="N46" s="368"/>
      <c r="O46" s="399">
        <f t="shared" si="1"/>
        <v>589.41000000000076</v>
      </c>
      <c r="P46" s="436">
        <f>O46/K46</f>
        <v>7.3042967472017703E-2</v>
      </c>
    </row>
    <row r="47" spans="1:18" s="68" customFormat="1" ht="20.25" x14ac:dyDescent="0.2">
      <c r="A47" s="67"/>
      <c r="B47" s="67"/>
      <c r="C47" s="79" t="s">
        <v>228</v>
      </c>
      <c r="D47" s="79"/>
      <c r="E47" s="79"/>
      <c r="F47" s="79"/>
      <c r="G47" s="232">
        <v>10250.949999999999</v>
      </c>
      <c r="H47" s="275">
        <v>3982.99</v>
      </c>
      <c r="I47" s="275"/>
      <c r="J47" s="322">
        <f>1142.73+590.91</f>
        <v>1733.6399999999999</v>
      </c>
      <c r="K47" s="322">
        <f>958.23+28.31+10.3+36.4+4907.37</f>
        <v>5940.61</v>
      </c>
      <c r="L47" s="399"/>
      <c r="M47" s="322">
        <v>787</v>
      </c>
      <c r="N47" s="368"/>
      <c r="O47" s="399">
        <f t="shared" si="1"/>
        <v>-4206.9699999999993</v>
      </c>
      <c r="P47" s="436">
        <f>O47/K47</f>
        <v>-0.7081713830734554</v>
      </c>
    </row>
    <row r="48" spans="1:18" s="68" customFormat="1" ht="20.25" x14ac:dyDescent="0.2">
      <c r="A48" s="67"/>
      <c r="B48" s="67"/>
      <c r="C48" s="79" t="s">
        <v>122</v>
      </c>
      <c r="D48" s="79"/>
      <c r="E48" s="79"/>
      <c r="F48" s="79"/>
      <c r="G48" s="232">
        <v>4412.53</v>
      </c>
      <c r="H48" s="276">
        <v>5667</v>
      </c>
      <c r="I48" s="276"/>
      <c r="J48" s="322">
        <v>5036.8900000000003</v>
      </c>
      <c r="K48" s="322">
        <v>3426.72</v>
      </c>
      <c r="L48" s="400"/>
      <c r="M48" s="322">
        <v>3427</v>
      </c>
      <c r="N48" s="368"/>
      <c r="O48" s="399">
        <f t="shared" si="1"/>
        <v>1610.1700000000005</v>
      </c>
      <c r="P48" s="436">
        <f>O48/K48</f>
        <v>0.46988665546061559</v>
      </c>
    </row>
    <row r="49" spans="1:18" s="68" customFormat="1" ht="20.25" x14ac:dyDescent="0.2">
      <c r="A49" s="67"/>
      <c r="B49" s="67"/>
      <c r="C49" s="79" t="s">
        <v>120</v>
      </c>
      <c r="D49" s="79"/>
      <c r="E49" s="79"/>
      <c r="F49" s="79"/>
      <c r="G49" s="232">
        <v>7901</v>
      </c>
      <c r="H49" s="275">
        <v>4149.6000000000004</v>
      </c>
      <c r="I49" s="275"/>
      <c r="J49" s="322">
        <v>658.61</v>
      </c>
      <c r="K49" s="322">
        <v>420.52</v>
      </c>
      <c r="L49" s="399"/>
      <c r="M49" s="322">
        <v>232</v>
      </c>
      <c r="N49" s="368"/>
      <c r="O49" s="399">
        <f t="shared" si="1"/>
        <v>238.09000000000003</v>
      </c>
      <c r="P49" s="436">
        <f>O49/K49</f>
        <v>0.56617996765908885</v>
      </c>
    </row>
    <row r="50" spans="1:18" s="68" customFormat="1" ht="20.25" hidden="1" x14ac:dyDescent="0.2">
      <c r="A50" s="67"/>
      <c r="B50" s="67"/>
      <c r="C50" s="79" t="s">
        <v>229</v>
      </c>
      <c r="D50" s="79"/>
      <c r="E50" s="79"/>
      <c r="F50" s="79"/>
      <c r="G50" s="232"/>
      <c r="H50" s="275"/>
      <c r="I50" s="275"/>
      <c r="J50" s="322"/>
      <c r="K50" s="322"/>
      <c r="L50" s="399"/>
      <c r="M50" s="322"/>
      <c r="N50" s="368"/>
      <c r="O50" s="399">
        <f t="shared" si="1"/>
        <v>0</v>
      </c>
      <c r="P50" s="436"/>
    </row>
    <row r="51" spans="1:18" s="76" customFormat="1" ht="20.25" x14ac:dyDescent="0.2">
      <c r="A51" s="79"/>
      <c r="B51" s="79"/>
      <c r="C51" s="79" t="s">
        <v>116</v>
      </c>
      <c r="D51" s="79"/>
      <c r="E51" s="79"/>
      <c r="F51" s="79"/>
      <c r="G51" s="232">
        <v>5428.37</v>
      </c>
      <c r="H51" s="275">
        <v>2024.52</v>
      </c>
      <c r="I51" s="275"/>
      <c r="J51" s="322">
        <v>277.69</v>
      </c>
      <c r="K51" s="322">
        <v>225.92</v>
      </c>
      <c r="L51" s="399"/>
      <c r="M51" s="322">
        <v>214</v>
      </c>
      <c r="N51" s="367"/>
      <c r="O51" s="399">
        <f t="shared" si="1"/>
        <v>51.77000000000001</v>
      </c>
      <c r="P51" s="436">
        <f>O51/K51</f>
        <v>0.22915191218130318</v>
      </c>
    </row>
    <row r="52" spans="1:18" s="76" customFormat="1" ht="20.25" x14ac:dyDescent="0.2">
      <c r="A52" s="79"/>
      <c r="B52" s="79"/>
      <c r="C52" s="79" t="s">
        <v>32</v>
      </c>
      <c r="D52" s="79"/>
      <c r="E52" s="79"/>
      <c r="F52" s="79"/>
      <c r="G52" s="232"/>
      <c r="H52" s="275"/>
      <c r="I52" s="275"/>
      <c r="J52" s="322">
        <v>585.52</v>
      </c>
      <c r="K52" s="322"/>
      <c r="L52" s="399"/>
      <c r="M52" s="322"/>
      <c r="N52" s="367"/>
      <c r="O52" s="399">
        <f t="shared" si="1"/>
        <v>585.52</v>
      </c>
      <c r="P52" s="436"/>
    </row>
    <row r="53" spans="1:18" s="76" customFormat="1" ht="20.25" x14ac:dyDescent="0.2">
      <c r="A53" s="79"/>
      <c r="B53" s="79"/>
      <c r="C53" s="79" t="s">
        <v>230</v>
      </c>
      <c r="D53" s="79"/>
      <c r="E53" s="79"/>
      <c r="F53" s="79"/>
      <c r="G53" s="232">
        <v>83462.91</v>
      </c>
      <c r="H53" s="232">
        <v>18995.71</v>
      </c>
      <c r="I53" s="232"/>
      <c r="J53" s="398">
        <v>1269.29</v>
      </c>
      <c r="K53" s="398">
        <f>292.24+4514.12-K43+84.23</f>
        <v>658.70999999999958</v>
      </c>
      <c r="L53" s="322"/>
      <c r="M53" s="398">
        <v>309</v>
      </c>
      <c r="N53" s="367"/>
      <c r="O53" s="702">
        <f t="shared" si="1"/>
        <v>610.58000000000038</v>
      </c>
      <c r="P53" s="508">
        <f>O53/K53</f>
        <v>0.92693294469493526</v>
      </c>
    </row>
    <row r="54" spans="1:18" s="68" customFormat="1" ht="21" thickBot="1" x14ac:dyDescent="0.25">
      <c r="A54" s="67"/>
      <c r="B54" s="67"/>
      <c r="C54" s="67"/>
      <c r="D54" s="73" t="s">
        <v>128</v>
      </c>
      <c r="E54" s="67"/>
      <c r="F54" s="67"/>
      <c r="G54" s="241">
        <v>1078317.8599999999</v>
      </c>
      <c r="H54" s="241">
        <v>481701.87000000005</v>
      </c>
      <c r="I54" s="232"/>
      <c r="J54" s="465">
        <f>SUM(J33:J53)</f>
        <v>471502.44528000004</v>
      </c>
      <c r="K54" s="465">
        <f>SUM(K33:K53)</f>
        <v>403803.55409999995</v>
      </c>
      <c r="L54" s="322"/>
      <c r="M54" s="465">
        <f>SUM(M33:M53)</f>
        <v>328080.61900000001</v>
      </c>
      <c r="O54" s="465">
        <f t="shared" si="1"/>
        <v>67698.891180000093</v>
      </c>
      <c r="P54" s="463">
        <f>O54/K54</f>
        <v>0.16765303448328442</v>
      </c>
      <c r="R54" s="341"/>
    </row>
    <row r="55" spans="1:18" s="68" customFormat="1" ht="21" thickBot="1" x14ac:dyDescent="0.25">
      <c r="A55" s="67"/>
      <c r="B55" s="67"/>
      <c r="C55" s="67"/>
      <c r="D55" s="67" t="s">
        <v>129</v>
      </c>
      <c r="E55" s="67"/>
      <c r="F55" s="67"/>
      <c r="G55" s="241">
        <v>233082.39000000013</v>
      </c>
      <c r="H55" s="241">
        <v>82291.709999999905</v>
      </c>
      <c r="I55" s="232"/>
      <c r="J55" s="466">
        <f>J29-J54</f>
        <v>-331574.43528000003</v>
      </c>
      <c r="K55" s="466">
        <f>K29-K54</f>
        <v>-63565.374100000015</v>
      </c>
      <c r="L55" s="322"/>
      <c r="M55" s="466" t="e">
        <f>M29-M54</f>
        <v>#REF!</v>
      </c>
      <c r="O55" s="377">
        <f t="shared" si="1"/>
        <v>-268009.06118000002</v>
      </c>
      <c r="P55" s="463">
        <f>O55/K55</f>
        <v>4.2162744257333014</v>
      </c>
    </row>
    <row r="56" spans="1:18" s="68" customFormat="1" ht="20.25" x14ac:dyDescent="0.2">
      <c r="A56" s="67"/>
      <c r="B56" s="67"/>
      <c r="C56" s="67"/>
      <c r="D56" s="67"/>
      <c r="E56" s="67"/>
      <c r="F56" s="67"/>
      <c r="G56" s="232"/>
      <c r="H56" s="232"/>
      <c r="I56" s="232"/>
      <c r="J56" s="322"/>
      <c r="K56" s="322"/>
      <c r="L56" s="322"/>
      <c r="M56" s="322"/>
    </row>
    <row r="57" spans="1:18" s="65" customFormat="1" ht="26.25" x14ac:dyDescent="0.2">
      <c r="A57" s="268"/>
      <c r="B57" s="268"/>
      <c r="C57" s="79"/>
      <c r="E57" s="79"/>
      <c r="F57" s="79"/>
      <c r="G57" s="270"/>
      <c r="H57" s="232"/>
      <c r="I57" s="232"/>
      <c r="J57" s="322"/>
      <c r="K57" s="322"/>
      <c r="L57" s="322"/>
      <c r="M57" s="322"/>
      <c r="O57" s="275">
        <f>J57-K57</f>
        <v>0</v>
      </c>
      <c r="P57" s="413"/>
    </row>
    <row r="58" spans="1:18" s="68" customFormat="1" ht="20.25" x14ac:dyDescent="0.2">
      <c r="A58" s="67"/>
      <c r="B58" s="67"/>
      <c r="C58" s="79" t="s">
        <v>469</v>
      </c>
      <c r="E58" s="67"/>
      <c r="G58" s="232"/>
      <c r="H58" s="232"/>
      <c r="I58" s="232"/>
      <c r="J58" s="322">
        <f>J41</f>
        <v>31133</v>
      </c>
      <c r="K58" s="322">
        <f>K41</f>
        <v>30384</v>
      </c>
      <c r="L58" s="322"/>
      <c r="M58" s="322">
        <f>M41</f>
        <v>25320</v>
      </c>
      <c r="O58" s="275">
        <f>J58-K58</f>
        <v>749</v>
      </c>
      <c r="P58" s="413">
        <v>3.5414486921529216E-2</v>
      </c>
    </row>
    <row r="59" spans="1:18" s="68" customFormat="1" ht="24" thickBot="1" x14ac:dyDescent="0.25">
      <c r="A59" s="67"/>
      <c r="B59" s="396"/>
      <c r="C59" s="67"/>
      <c r="D59" s="979" t="s">
        <v>232</v>
      </c>
      <c r="E59" s="979"/>
      <c r="F59" s="979"/>
      <c r="G59" s="232"/>
      <c r="H59" s="232"/>
      <c r="I59" s="232"/>
      <c r="J59" s="467">
        <f>J55+J57+J58</f>
        <v>-300441.43528000003</v>
      </c>
      <c r="K59" s="467">
        <f>K55+K57+K58</f>
        <v>-33181.374100000015</v>
      </c>
      <c r="L59" s="326"/>
      <c r="M59" s="467" t="e">
        <f>M55+M57+M58</f>
        <v>#REF!</v>
      </c>
      <c r="N59" s="387"/>
      <c r="O59" s="464">
        <f>J59-K59</f>
        <v>-267260.06118000002</v>
      </c>
      <c r="P59" s="499">
        <v>2.1062768618503362E-2</v>
      </c>
    </row>
    <row r="60" spans="1:18" s="68" customFormat="1" ht="42" customHeight="1" thickTop="1" x14ac:dyDescent="0.2">
      <c r="A60" s="67"/>
      <c r="B60" s="67"/>
      <c r="C60" s="67"/>
      <c r="D60" s="67"/>
      <c r="E60" s="67"/>
      <c r="F60" s="67"/>
      <c r="G60" s="232"/>
      <c r="H60" s="232"/>
      <c r="I60" s="232"/>
      <c r="J60" s="322"/>
      <c r="K60" s="322"/>
      <c r="L60" s="322"/>
      <c r="M60" s="322"/>
    </row>
    <row r="61" spans="1:18" s="76" customFormat="1" ht="20.25" x14ac:dyDescent="0.2">
      <c r="A61" s="79"/>
      <c r="B61" s="79"/>
      <c r="C61" s="79"/>
      <c r="D61" s="79"/>
      <c r="F61" s="79" t="s">
        <v>309</v>
      </c>
      <c r="G61" s="246"/>
      <c r="H61" s="232"/>
      <c r="I61" s="232"/>
      <c r="J61" s="322">
        <v>227490</v>
      </c>
      <c r="K61" s="322">
        <v>206080</v>
      </c>
      <c r="L61" s="322"/>
      <c r="M61" s="322">
        <v>173371</v>
      </c>
      <c r="O61" s="247"/>
    </row>
    <row r="62" spans="1:18" s="76" customFormat="1" ht="21" thickBot="1" x14ac:dyDescent="0.25">
      <c r="A62" s="79"/>
      <c r="B62" s="79"/>
      <c r="C62" s="79"/>
      <c r="D62" s="79"/>
      <c r="F62" s="79" t="s">
        <v>314</v>
      </c>
      <c r="G62" s="232"/>
      <c r="H62" s="232"/>
      <c r="I62" s="232"/>
      <c r="J62" s="608">
        <f>(J54-J41-J42)/J61</f>
        <v>1.9280471461602711</v>
      </c>
      <c r="K62" s="608">
        <f>(K54-K41-K42)/K61</f>
        <v>1.7608285816187885</v>
      </c>
      <c r="L62" s="609"/>
      <c r="M62" s="608">
        <f>(M54-M41-M42)/M61</f>
        <v>1.6956158700128625</v>
      </c>
    </row>
    <row r="63" spans="1:18" s="76" customFormat="1" ht="20.25" x14ac:dyDescent="0.2">
      <c r="A63" s="79"/>
      <c r="B63" s="79"/>
      <c r="C63" s="79"/>
      <c r="D63" s="79"/>
      <c r="F63" s="79"/>
      <c r="G63" s="232"/>
      <c r="H63" s="232"/>
      <c r="I63" s="232"/>
      <c r="J63" s="322"/>
      <c r="K63" s="322"/>
      <c r="L63" s="322"/>
      <c r="M63" s="322"/>
    </row>
    <row r="64" spans="1:18" s="76" customFormat="1" ht="20.25" x14ac:dyDescent="0.2">
      <c r="A64" s="79"/>
      <c r="B64" s="79"/>
      <c r="C64" s="79"/>
      <c r="D64" s="79"/>
      <c r="F64" s="79" t="s">
        <v>310</v>
      </c>
      <c r="G64" s="232"/>
      <c r="H64" s="232"/>
      <c r="I64" s="232"/>
      <c r="J64" s="322">
        <v>11449</v>
      </c>
      <c r="K64" s="322">
        <v>10428</v>
      </c>
      <c r="L64" s="322"/>
      <c r="M64" s="322">
        <v>8636</v>
      </c>
      <c r="P64" s="247"/>
    </row>
    <row r="65" spans="1:13" s="76" customFormat="1" ht="21" thickBot="1" x14ac:dyDescent="0.25">
      <c r="A65" s="79"/>
      <c r="B65" s="79"/>
      <c r="C65" s="79"/>
      <c r="D65" s="79"/>
      <c r="F65" s="79" t="s">
        <v>372</v>
      </c>
      <c r="G65" s="232"/>
      <c r="H65" s="232"/>
      <c r="I65" s="232"/>
      <c r="J65" s="608">
        <f>(J54-J41-J42)/J64</f>
        <v>38.31002229714386</v>
      </c>
      <c r="K65" s="608">
        <f>(K54-K41-K42)/K64</f>
        <v>34.797809177215186</v>
      </c>
      <c r="L65" s="322"/>
      <c r="M65" s="608">
        <f>(M54-M41-M42)/M64</f>
        <v>34.040136521537747</v>
      </c>
    </row>
    <row r="66" spans="1:13" s="76" customFormat="1" ht="20.25" x14ac:dyDescent="0.2">
      <c r="A66" s="79"/>
      <c r="B66" s="79"/>
      <c r="C66" s="79"/>
      <c r="D66" s="79"/>
      <c r="F66" s="79"/>
      <c r="G66" s="232"/>
      <c r="H66" s="232"/>
      <c r="I66" s="232"/>
      <c r="J66" s="322"/>
      <c r="K66" s="322"/>
      <c r="L66" s="322"/>
      <c r="M66" s="322"/>
    </row>
    <row r="67" spans="1:13" s="76" customFormat="1" ht="20.25" x14ac:dyDescent="0.2">
      <c r="A67" s="79"/>
      <c r="B67" s="79"/>
      <c r="C67" s="67"/>
      <c r="D67" s="79"/>
      <c r="F67" s="79" t="s">
        <v>311</v>
      </c>
      <c r="G67" s="232"/>
      <c r="H67" s="232"/>
      <c r="I67" s="232"/>
      <c r="J67" s="322">
        <v>2840</v>
      </c>
      <c r="K67" s="322">
        <v>2714</v>
      </c>
      <c r="L67" s="322"/>
      <c r="M67" s="322">
        <v>2171</v>
      </c>
    </row>
    <row r="68" spans="1:13" s="76" customFormat="1" ht="21" thickBot="1" x14ac:dyDescent="0.25">
      <c r="A68" s="79"/>
      <c r="B68" s="79"/>
      <c r="C68" s="79"/>
      <c r="D68" s="79"/>
      <c r="E68" s="79"/>
      <c r="F68" s="79" t="s">
        <v>373</v>
      </c>
      <c r="G68" s="232"/>
      <c r="H68" s="232"/>
      <c r="I68" s="232"/>
      <c r="J68" s="608">
        <f>J9/J67</f>
        <v>6.6926056338028168</v>
      </c>
      <c r="K68" s="608">
        <f>K9/K67</f>
        <v>31.617302873986734</v>
      </c>
      <c r="L68" s="322"/>
      <c r="M68" s="608">
        <f>M9/M67</f>
        <v>3.8270336250575769</v>
      </c>
    </row>
    <row r="69" spans="1:13" s="76" customFormat="1" ht="20.25" x14ac:dyDescent="0.2">
      <c r="A69" s="79"/>
      <c r="B69" s="79"/>
      <c r="C69" s="67"/>
      <c r="D69" s="67"/>
      <c r="G69" s="232"/>
      <c r="H69" s="232"/>
      <c r="I69" s="232"/>
      <c r="J69" s="322"/>
      <c r="K69" s="322"/>
      <c r="L69" s="322"/>
      <c r="M69" s="322"/>
    </row>
    <row r="70" spans="1:13" s="76" customFormat="1" ht="20.25" x14ac:dyDescent="0.2">
      <c r="A70" s="79"/>
      <c r="B70" s="79"/>
      <c r="C70" s="79"/>
      <c r="D70" s="79"/>
      <c r="E70" s="79"/>
      <c r="F70" s="79"/>
      <c r="G70" s="232"/>
      <c r="H70" s="232"/>
      <c r="I70" s="232"/>
      <c r="J70" s="232"/>
      <c r="K70" s="232"/>
      <c r="L70" s="232"/>
      <c r="M70" s="232"/>
    </row>
    <row r="71" spans="1:13" s="76" customFormat="1" ht="20.25" x14ac:dyDescent="0.2">
      <c r="A71" s="79"/>
      <c r="B71" s="79"/>
      <c r="C71" s="79"/>
      <c r="D71" s="79"/>
      <c r="E71" s="79"/>
      <c r="F71" s="79"/>
      <c r="G71" s="232"/>
      <c r="H71" s="232"/>
      <c r="I71" s="232"/>
      <c r="J71" s="232"/>
      <c r="K71" s="232"/>
      <c r="L71" s="232"/>
      <c r="M71" s="232"/>
    </row>
    <row r="72" spans="1:13" s="76" customFormat="1" ht="20.25" x14ac:dyDescent="0.2">
      <c r="A72" s="79"/>
      <c r="B72" s="79"/>
      <c r="C72" s="67"/>
      <c r="D72" s="79"/>
      <c r="F72" s="79"/>
      <c r="G72" s="232"/>
      <c r="H72" s="232"/>
      <c r="I72" s="232"/>
      <c r="J72" s="232"/>
      <c r="K72" s="232"/>
      <c r="L72" s="232"/>
      <c r="M72" s="232"/>
    </row>
    <row r="73" spans="1:13" s="76" customFormat="1" ht="20.25" x14ac:dyDescent="0.2">
      <c r="A73" s="79"/>
      <c r="B73" s="79"/>
      <c r="C73" s="79"/>
      <c r="D73" s="79"/>
      <c r="E73" s="79"/>
      <c r="F73" s="79"/>
      <c r="G73" s="232"/>
      <c r="H73" s="232"/>
      <c r="I73" s="232"/>
      <c r="J73" s="232"/>
      <c r="K73" s="232"/>
      <c r="L73" s="232"/>
      <c r="M73" s="232"/>
    </row>
    <row r="74" spans="1:13" s="68" customFormat="1" ht="20.25" x14ac:dyDescent="0.2">
      <c r="A74" s="67"/>
      <c r="B74" s="67"/>
      <c r="C74" s="67"/>
      <c r="D74" s="67"/>
      <c r="E74" s="67"/>
      <c r="F74" s="67"/>
      <c r="G74" s="237"/>
      <c r="H74" s="237"/>
      <c r="I74" s="237"/>
      <c r="J74" s="237"/>
      <c r="K74" s="237"/>
      <c r="L74" s="237"/>
      <c r="M74" s="237"/>
    </row>
    <row r="75" spans="1:13" s="68" customFormat="1" ht="20.25" x14ac:dyDescent="0.2">
      <c r="A75" s="67"/>
      <c r="B75" s="67"/>
      <c r="C75" s="67"/>
      <c r="D75" s="67"/>
      <c r="E75" s="67"/>
      <c r="F75" s="67"/>
      <c r="G75" s="237"/>
      <c r="H75" s="237"/>
      <c r="I75" s="237"/>
      <c r="J75" s="237"/>
      <c r="K75" s="237"/>
      <c r="L75" s="237"/>
      <c r="M75" s="237"/>
    </row>
    <row r="76" spans="1:13" s="68" customFormat="1" ht="23.25" x14ac:dyDescent="0.2">
      <c r="A76" s="67"/>
      <c r="B76" s="271"/>
      <c r="C76" s="67"/>
      <c r="D76" s="67"/>
      <c r="E76" s="67"/>
      <c r="F76" s="67"/>
      <c r="G76" s="232"/>
      <c r="H76" s="232"/>
      <c r="I76" s="232"/>
      <c r="J76" s="232"/>
      <c r="K76" s="232"/>
      <c r="L76" s="232"/>
      <c r="M76" s="232"/>
    </row>
    <row r="77" spans="1:13" s="76" customFormat="1" ht="20.25" x14ac:dyDescent="0.2">
      <c r="A77" s="79"/>
      <c r="B77" s="79"/>
      <c r="D77" s="79"/>
      <c r="E77" s="79"/>
      <c r="F77" s="79"/>
      <c r="G77" s="232"/>
      <c r="H77" s="232"/>
      <c r="I77" s="232"/>
      <c r="J77" s="232"/>
      <c r="K77" s="232"/>
      <c r="L77" s="232"/>
      <c r="M77" s="232"/>
    </row>
    <row r="78" spans="1:13" s="76" customFormat="1" ht="20.25" x14ac:dyDescent="0.2">
      <c r="A78" s="79"/>
      <c r="B78" s="79"/>
      <c r="D78" s="79"/>
      <c r="E78" s="79"/>
      <c r="F78" s="79"/>
      <c r="G78" s="232"/>
      <c r="H78" s="232"/>
      <c r="I78" s="232"/>
      <c r="J78" s="232"/>
      <c r="K78" s="232"/>
      <c r="L78" s="232"/>
      <c r="M78" s="232"/>
    </row>
    <row r="79" spans="1:13" s="68" customFormat="1" ht="20.25" x14ac:dyDescent="0.2">
      <c r="A79" s="67"/>
      <c r="B79" s="67"/>
      <c r="D79" s="79"/>
      <c r="E79" s="67"/>
      <c r="F79" s="67"/>
      <c r="G79" s="232"/>
      <c r="H79" s="232"/>
      <c r="I79" s="232"/>
      <c r="J79" s="232"/>
      <c r="K79" s="232"/>
      <c r="L79" s="232"/>
      <c r="M79" s="232"/>
    </row>
    <row r="80" spans="1:13" s="68" customFormat="1" ht="23.25" x14ac:dyDescent="0.2">
      <c r="A80" s="67"/>
      <c r="B80" s="271"/>
      <c r="C80" s="67"/>
      <c r="D80" s="67"/>
      <c r="E80" s="67"/>
      <c r="F80" s="67"/>
      <c r="G80" s="237"/>
      <c r="H80" s="237"/>
      <c r="I80" s="237"/>
      <c r="J80" s="237"/>
      <c r="K80" s="237"/>
      <c r="L80" s="237"/>
      <c r="M80" s="237"/>
    </row>
    <row r="81" spans="1:13" s="68" customFormat="1" ht="20.25" x14ac:dyDescent="0.2">
      <c r="A81" s="67"/>
      <c r="B81" s="67"/>
      <c r="C81" s="67"/>
      <c r="D81" s="67"/>
      <c r="E81" s="67"/>
      <c r="F81" s="67"/>
      <c r="G81" s="232"/>
      <c r="H81" s="232"/>
      <c r="I81" s="232"/>
      <c r="J81" s="232"/>
      <c r="K81" s="232"/>
      <c r="L81" s="232"/>
      <c r="M81" s="232"/>
    </row>
    <row r="82" spans="1:13" s="82" customFormat="1" ht="26.25" x14ac:dyDescent="0.2">
      <c r="A82" s="268"/>
      <c r="B82" s="268"/>
      <c r="C82" s="268"/>
      <c r="D82" s="268"/>
      <c r="E82" s="268"/>
      <c r="F82" s="268"/>
      <c r="G82" s="269"/>
      <c r="H82" s="237"/>
      <c r="I82" s="237"/>
      <c r="J82" s="237"/>
      <c r="K82" s="237"/>
      <c r="L82" s="237"/>
      <c r="M82" s="237"/>
    </row>
    <row r="83" spans="1:13" s="18" customFormat="1" ht="20.25" x14ac:dyDescent="0.3">
      <c r="A83" s="122"/>
      <c r="B83" s="122"/>
      <c r="C83" s="122"/>
      <c r="D83" s="122"/>
      <c r="E83" s="122"/>
      <c r="F83" s="122"/>
      <c r="G83" s="272"/>
      <c r="H83" s="277"/>
      <c r="I83" s="277"/>
      <c r="J83" s="277"/>
      <c r="K83" s="277"/>
      <c r="L83" s="277"/>
      <c r="M83" s="277"/>
    </row>
    <row r="84" spans="1:13" ht="20.25" x14ac:dyDescent="0.3">
      <c r="H84" s="277"/>
      <c r="I84" s="277"/>
      <c r="J84" s="277"/>
      <c r="K84" s="277"/>
      <c r="L84" s="277"/>
      <c r="M84" s="277"/>
    </row>
    <row r="85" spans="1:13" ht="20.25" x14ac:dyDescent="0.3">
      <c r="H85" s="277"/>
      <c r="I85" s="277"/>
      <c r="J85" s="277"/>
      <c r="K85" s="277"/>
      <c r="L85" s="277"/>
      <c r="M85" s="277"/>
    </row>
    <row r="86" spans="1:13" ht="20.25" x14ac:dyDescent="0.3">
      <c r="H86" s="274"/>
      <c r="I86" s="274"/>
      <c r="J86" s="274"/>
      <c r="K86" s="274"/>
      <c r="L86" s="274"/>
      <c r="M86" s="274"/>
    </row>
  </sheetData>
  <mergeCells count="11">
    <mergeCell ref="J6:M6"/>
    <mergeCell ref="C23:F23"/>
    <mergeCell ref="D33:F33"/>
    <mergeCell ref="O8:P8"/>
    <mergeCell ref="D37:F37"/>
    <mergeCell ref="D59:F59"/>
    <mergeCell ref="D38:F38"/>
    <mergeCell ref="D39:F39"/>
    <mergeCell ref="D40:F40"/>
    <mergeCell ref="D34:F34"/>
    <mergeCell ref="D35:F35"/>
  </mergeCells>
  <pageMargins left="0.2" right="0.2" top="0.25" bottom="0.5" header="0.3" footer="0.3"/>
  <pageSetup scale="5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31"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2"/>
      <c r="M1" s="59"/>
      <c r="N1" s="59"/>
      <c r="O1" s="59"/>
      <c r="P1" s="59"/>
      <c r="Q1" s="59"/>
      <c r="R1" s="726"/>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2"/>
      <c r="M2" s="59"/>
      <c r="N2" s="59"/>
      <c r="O2" s="59"/>
      <c r="P2" s="59"/>
      <c r="Q2" s="59"/>
      <c r="R2" s="726"/>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'February''23 State of Activities'!A3</f>
        <v>Ten Months Ended October 31, 2022 and 2021</v>
      </c>
      <c r="B3" s="59"/>
      <c r="C3" s="60"/>
      <c r="D3" s="60"/>
      <c r="E3" s="60"/>
      <c r="F3" s="59"/>
      <c r="G3" s="230"/>
      <c r="H3" s="59"/>
      <c r="I3" s="59"/>
      <c r="J3" s="59"/>
      <c r="K3" s="59"/>
      <c r="L3" s="462"/>
      <c r="M3" s="59"/>
      <c r="N3" s="59"/>
      <c r="O3" s="59"/>
      <c r="P3" s="59"/>
      <c r="Q3" s="59"/>
      <c r="R3" s="726"/>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'February''23 State of Activities'!A4</f>
        <v>For the Years Ended December 31, 2022 and 2021</v>
      </c>
      <c r="B4" s="59"/>
      <c r="C4" s="60"/>
      <c r="D4" s="60"/>
      <c r="E4" s="60"/>
      <c r="F4" s="59"/>
      <c r="G4" s="230"/>
      <c r="H4" s="59"/>
      <c r="I4" s="59"/>
      <c r="J4" s="59"/>
      <c r="K4" s="59"/>
      <c r="L4" s="462"/>
      <c r="M4" s="59"/>
      <c r="N4" s="59"/>
      <c r="O4" s="59"/>
      <c r="P4" s="59"/>
      <c r="Q4" s="59"/>
      <c r="R4" s="726"/>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727"/>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504"/>
      <c r="H6" s="240" t="s">
        <v>49</v>
      </c>
      <c r="I6" s="240"/>
      <c r="J6" s="974" t="s">
        <v>49</v>
      </c>
      <c r="K6" s="974"/>
      <c r="L6" s="974"/>
      <c r="M6" s="974"/>
      <c r="N6" s="65"/>
      <c r="O6" s="415" t="s">
        <v>181</v>
      </c>
      <c r="P6" s="412" t="s">
        <v>193</v>
      </c>
      <c r="Q6" s="65"/>
      <c r="R6" s="728"/>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c r="R7" s="728"/>
    </row>
    <row r="8" spans="1:128" s="72" customFormat="1" ht="21" thickBot="1" x14ac:dyDescent="0.35">
      <c r="A8" s="69"/>
      <c r="B8" s="153" t="s">
        <v>100</v>
      </c>
      <c r="C8" s="153"/>
      <c r="D8" s="153"/>
      <c r="E8" s="153"/>
      <c r="F8" s="153"/>
      <c r="G8" s="281">
        <v>41090</v>
      </c>
      <c r="H8" s="281">
        <v>41274</v>
      </c>
      <c r="I8" s="323"/>
      <c r="J8" s="667">
        <f>'February''23 State of Activities'!G8</f>
        <v>44985</v>
      </c>
      <c r="K8" s="668">
        <f>'February''23 State of Activities'!H8</f>
        <v>44926</v>
      </c>
      <c r="L8" s="669"/>
      <c r="M8" s="668">
        <f>'February''23 State of Activities'!J8</f>
        <v>44620</v>
      </c>
      <c r="N8" s="71"/>
      <c r="O8" s="1037" t="s">
        <v>391</v>
      </c>
      <c r="P8" s="1037"/>
      <c r="Q8" s="71"/>
      <c r="R8" s="729"/>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0" t="s">
        <v>150</v>
      </c>
      <c r="D9" s="420"/>
      <c r="E9" s="420"/>
      <c r="F9" s="73"/>
      <c r="G9" s="264">
        <v>127719</v>
      </c>
      <c r="H9" s="264">
        <v>67566.5</v>
      </c>
      <c r="I9" s="322"/>
      <c r="J9" s="326">
        <v>41504.339999999997</v>
      </c>
      <c r="K9" s="326">
        <v>158721</v>
      </c>
      <c r="L9" s="326"/>
      <c r="M9" s="326">
        <v>78675.460000000006</v>
      </c>
      <c r="N9" s="68"/>
      <c r="O9" s="378">
        <f>J9-M9</f>
        <v>-37171.12000000001</v>
      </c>
      <c r="P9" s="413">
        <f>O9/M9</f>
        <v>-0.47246142571012623</v>
      </c>
      <c r="Q9" s="68"/>
      <c r="R9" s="72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0" t="s">
        <v>214</v>
      </c>
      <c r="D10" s="420"/>
      <c r="E10" s="420"/>
      <c r="F10" s="73"/>
      <c r="G10" s="263">
        <v>875436</v>
      </c>
      <c r="H10" s="263">
        <v>372424.1</v>
      </c>
      <c r="I10" s="326"/>
      <c r="J10" s="322"/>
      <c r="K10" s="322">
        <v>12278.42</v>
      </c>
      <c r="L10" s="326"/>
      <c r="M10" s="322"/>
      <c r="N10" s="68"/>
      <c r="O10" s="506">
        <f>J10-M10</f>
        <v>0</v>
      </c>
      <c r="P10" s="436" t="e">
        <f>O10/M10</f>
        <v>#DIV/0!</v>
      </c>
      <c r="Q10" s="68"/>
      <c r="R10" s="72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0" t="s">
        <v>390</v>
      </c>
      <c r="D11" s="420"/>
      <c r="E11" s="420"/>
      <c r="F11" s="73"/>
      <c r="G11" s="263"/>
      <c r="H11" s="263"/>
      <c r="I11" s="326"/>
      <c r="J11" s="322">
        <f>'February''23 Revenues &amp; Expenses'!I8-K11-5010</f>
        <v>14042</v>
      </c>
      <c r="K11" s="322">
        <v>10616</v>
      </c>
      <c r="L11" s="326"/>
      <c r="M11" s="322"/>
      <c r="N11" s="68"/>
      <c r="O11" s="506">
        <f>J11-M11</f>
        <v>14042</v>
      </c>
      <c r="P11" s="436"/>
      <c r="Q11" s="68"/>
      <c r="R11" s="72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0" t="s">
        <v>102</v>
      </c>
      <c r="D12" s="420"/>
      <c r="E12" s="420"/>
      <c r="F12" s="73"/>
      <c r="G12" s="264"/>
      <c r="H12" s="264"/>
      <c r="I12" s="322"/>
      <c r="J12" s="322"/>
      <c r="K12" s="322"/>
      <c r="L12" s="322"/>
      <c r="M12" s="322"/>
      <c r="N12" s="68"/>
      <c r="O12" s="506"/>
      <c r="P12" s="424"/>
      <c r="Q12" s="68"/>
      <c r="R12" s="72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0" t="s">
        <v>215</v>
      </c>
      <c r="E13" s="420"/>
      <c r="F13" s="73"/>
      <c r="G13" s="264">
        <v>94235.25</v>
      </c>
      <c r="H13" s="264">
        <v>37190.379999999997</v>
      </c>
      <c r="I13" s="322"/>
      <c r="J13" s="322">
        <f>3750*6</f>
        <v>22500</v>
      </c>
      <c r="K13" s="322">
        <f>3708.33*12</f>
        <v>44499.96</v>
      </c>
      <c r="L13" s="322"/>
      <c r="M13" s="322">
        <f>3708.33*4</f>
        <v>14833.32</v>
      </c>
      <c r="N13" s="68"/>
      <c r="O13" s="506">
        <f t="shared" ref="O13:O18" si="0">J13-M13</f>
        <v>7666.68</v>
      </c>
      <c r="P13" s="436">
        <f>O13/M13</f>
        <v>0.51685529604970437</v>
      </c>
      <c r="Q13" s="68"/>
      <c r="R13" s="322"/>
      <c r="S13" s="469"/>
      <c r="T13" s="468"/>
      <c r="U13" s="4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0" t="s">
        <v>159</v>
      </c>
      <c r="E14" s="420"/>
      <c r="F14" s="73"/>
      <c r="G14" s="264"/>
      <c r="H14" s="264"/>
      <c r="I14" s="322"/>
      <c r="J14" s="322">
        <f>'February''23 State of Activities'!G16</f>
        <v>3000</v>
      </c>
      <c r="K14" s="322">
        <v>13000</v>
      </c>
      <c r="L14" s="322"/>
      <c r="M14" s="322">
        <v>4333.33</v>
      </c>
      <c r="N14" s="68"/>
      <c r="O14" s="506">
        <f t="shared" si="0"/>
        <v>-1333.33</v>
      </c>
      <c r="P14" s="436">
        <f>O14/M14</f>
        <v>-0.30769177514751933</v>
      </c>
      <c r="Q14" s="68"/>
      <c r="R14" s="728">
        <v>7500</v>
      </c>
      <c r="S14" s="387"/>
      <c r="T14" s="470"/>
      <c r="U14" s="361"/>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0" t="s">
        <v>103</v>
      </c>
      <c r="D15" s="420"/>
      <c r="E15" s="420"/>
      <c r="F15" s="73"/>
      <c r="G15" s="264">
        <v>0</v>
      </c>
      <c r="H15" s="264">
        <v>3517</v>
      </c>
      <c r="I15" s="322"/>
      <c r="J15" s="322">
        <f>'February''23 State of Activities'!G18</f>
        <v>5998.07</v>
      </c>
      <c r="K15" s="322">
        <f>'February''23 State of Activities'!H18</f>
        <v>17485.37</v>
      </c>
      <c r="L15" s="322"/>
      <c r="M15" s="322">
        <f>'February''23 State of Activities'!J18</f>
        <v>1970</v>
      </c>
      <c r="N15" s="68"/>
      <c r="O15" s="506">
        <f t="shared" si="0"/>
        <v>4028.0699999999997</v>
      </c>
      <c r="P15" s="436">
        <f>O15/M15</f>
        <v>2.044705583756345</v>
      </c>
      <c r="Q15" s="68"/>
      <c r="R15" s="728"/>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0" t="s">
        <v>216</v>
      </c>
      <c r="D16" s="420"/>
      <c r="E16" s="420"/>
      <c r="F16" s="73"/>
      <c r="G16" s="264">
        <v>31459</v>
      </c>
      <c r="H16" s="264">
        <v>13920.35</v>
      </c>
      <c r="I16" s="322"/>
      <c r="J16" s="322">
        <f>'February''23 Revenues &amp; Expenses'!H43</f>
        <v>0</v>
      </c>
      <c r="K16" s="322">
        <v>25000</v>
      </c>
      <c r="L16" s="322"/>
      <c r="M16" s="322">
        <v>8153.81</v>
      </c>
      <c r="N16" s="68"/>
      <c r="O16" s="506">
        <f t="shared" si="0"/>
        <v>-8153.81</v>
      </c>
      <c r="P16" s="436">
        <f>O16/M16</f>
        <v>-1</v>
      </c>
      <c r="Q16" s="68"/>
      <c r="R16" s="728">
        <v>11805.12</v>
      </c>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0" t="s">
        <v>380</v>
      </c>
      <c r="D17" s="420"/>
      <c r="E17" s="420"/>
      <c r="F17" s="73"/>
      <c r="G17" s="264"/>
      <c r="H17" s="264"/>
      <c r="I17" s="322"/>
      <c r="J17" s="322"/>
      <c r="K17" s="322">
        <v>22918.98</v>
      </c>
      <c r="L17" s="322"/>
      <c r="M17" s="322"/>
      <c r="N17" s="68"/>
      <c r="O17" s="506">
        <f t="shared" si="0"/>
        <v>0</v>
      </c>
      <c r="P17" s="436"/>
      <c r="Q17" s="68"/>
      <c r="R17" s="728"/>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0" t="s">
        <v>392</v>
      </c>
      <c r="D18" s="420"/>
      <c r="E18" s="420"/>
      <c r="F18" s="73"/>
      <c r="G18" s="264"/>
      <c r="H18" s="264"/>
      <c r="I18" s="322"/>
      <c r="J18" s="322">
        <f>'February''23 Revenues &amp; Expenses'!H57</f>
        <v>0</v>
      </c>
      <c r="K18" s="322">
        <v>23967.15</v>
      </c>
      <c r="L18" s="322"/>
      <c r="M18" s="322"/>
      <c r="N18" s="68"/>
      <c r="O18" s="506">
        <f t="shared" si="0"/>
        <v>0</v>
      </c>
      <c r="P18" s="436"/>
      <c r="Q18" s="68"/>
      <c r="R18" s="728"/>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0" t="s">
        <v>335</v>
      </c>
      <c r="D19" s="420"/>
      <c r="E19" s="420"/>
      <c r="F19" s="73"/>
      <c r="G19" s="264"/>
      <c r="H19" s="264"/>
      <c r="I19" s="322"/>
      <c r="J19" s="322">
        <f>'February''23 State of Activities'!G11</f>
        <v>0</v>
      </c>
      <c r="K19" s="322">
        <v>1968.5</v>
      </c>
      <c r="L19" s="322"/>
      <c r="M19" s="322">
        <f>2100.03-1250</f>
        <v>850.0300000000002</v>
      </c>
      <c r="N19" s="68"/>
      <c r="O19" s="506">
        <f t="shared" ref="O19:O20" si="1">J19-M19</f>
        <v>-850.0300000000002</v>
      </c>
      <c r="P19" s="436"/>
      <c r="Q19" s="68"/>
      <c r="R19" s="728">
        <f>186.59-R20</f>
        <v>162.31</v>
      </c>
      <c r="S19" s="387"/>
      <c r="T19" s="470"/>
      <c r="U19" s="361"/>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1036" t="s">
        <v>338</v>
      </c>
      <c r="D20" s="1036"/>
      <c r="E20" s="1036"/>
      <c r="F20" s="1036"/>
      <c r="G20" s="264"/>
      <c r="H20" s="264"/>
      <c r="I20" s="322"/>
      <c r="J20" s="322">
        <v>0</v>
      </c>
      <c r="K20" s="322">
        <v>1127.23</v>
      </c>
      <c r="L20" s="322"/>
      <c r="M20" s="322">
        <v>177.19</v>
      </c>
      <c r="N20" s="68"/>
      <c r="O20" s="506">
        <f t="shared" si="1"/>
        <v>-177.19</v>
      </c>
      <c r="P20" s="436"/>
      <c r="Q20" s="68"/>
      <c r="R20" s="728">
        <v>24.28</v>
      </c>
      <c r="S20" s="387"/>
      <c r="T20" s="470"/>
      <c r="U20" s="361"/>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0" t="s">
        <v>344</v>
      </c>
      <c r="D21" s="420"/>
      <c r="E21" s="420"/>
      <c r="F21" s="73"/>
      <c r="G21" s="264">
        <v>1125</v>
      </c>
      <c r="H21" s="264">
        <v>6050</v>
      </c>
      <c r="I21" s="322"/>
      <c r="J21" s="322" t="e">
        <f>'February''23 State of Activities'!#REF!</f>
        <v>#REF!</v>
      </c>
      <c r="K21" s="322" t="e">
        <f>'February''23 State of Activities'!#REF!</f>
        <v>#REF!</v>
      </c>
      <c r="L21" s="322"/>
      <c r="M21" s="322" t="e">
        <f>'February''23 State of Activities'!#REF!</f>
        <v>#REF!</v>
      </c>
      <c r="N21" s="68"/>
      <c r="O21" s="506" t="e">
        <f>J21-M21</f>
        <v>#REF!</v>
      </c>
      <c r="P21" s="436"/>
      <c r="Q21" s="68"/>
      <c r="R21" s="72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0" t="s">
        <v>217</v>
      </c>
      <c r="D22" s="420"/>
      <c r="E22" s="420"/>
      <c r="F22" s="73"/>
      <c r="G22" s="265">
        <v>31250</v>
      </c>
      <c r="H22" s="265">
        <v>15624.98</v>
      </c>
      <c r="I22" s="322"/>
      <c r="J22" s="265">
        <f>'February''23 State of Activities'!G25*0.2</f>
        <v>1758</v>
      </c>
      <c r="K22" s="265">
        <f>'February''23 State of Activities'!H25*0.2</f>
        <v>10548</v>
      </c>
      <c r="L22" s="322"/>
      <c r="M22" s="265">
        <f>'February''23 State of Activities'!J25*0.2</f>
        <v>1758</v>
      </c>
      <c r="N22" s="68"/>
      <c r="O22" s="507">
        <f>J22-M22</f>
        <v>0</v>
      </c>
      <c r="P22" s="414">
        <v>0</v>
      </c>
      <c r="Q22" s="68"/>
      <c r="R22" s="72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0"/>
      <c r="D23" s="73" t="s">
        <v>105</v>
      </c>
      <c r="E23" s="420"/>
      <c r="F23" s="73"/>
      <c r="G23" s="234">
        <v>1161224.25</v>
      </c>
      <c r="H23" s="234">
        <v>516293.30999999994</v>
      </c>
      <c r="I23" s="232"/>
      <c r="J23" s="264" t="e">
        <f>SUM(J9:J22)</f>
        <v>#REF!</v>
      </c>
      <c r="K23" s="264" t="e">
        <f>SUM(K9:K22)</f>
        <v>#REF!</v>
      </c>
      <c r="L23" s="322"/>
      <c r="M23" s="264" t="e">
        <f>SUM(M9:M22)</f>
        <v>#REF!</v>
      </c>
      <c r="N23" s="68"/>
      <c r="O23" s="275" t="e">
        <f>SUM(O9:O22)</f>
        <v>#REF!</v>
      </c>
      <c r="P23" s="436" t="e">
        <f>O23/M23</f>
        <v>#REF!</v>
      </c>
      <c r="Q23" s="68"/>
      <c r="R23" s="72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218</v>
      </c>
      <c r="D24" s="420"/>
      <c r="E24" s="420"/>
      <c r="F24" s="73"/>
      <c r="G24" s="241">
        <v>150176</v>
      </c>
      <c r="H24" s="241">
        <v>47700.27</v>
      </c>
      <c r="I24" s="232"/>
      <c r="J24" s="322">
        <f>19000/12*6</f>
        <v>9500</v>
      </c>
      <c r="K24" s="322">
        <v>19000</v>
      </c>
      <c r="L24" s="322"/>
      <c r="M24" s="322">
        <v>6333</v>
      </c>
      <c r="N24" s="68"/>
      <c r="O24" s="506">
        <f>J24-M24</f>
        <v>3167</v>
      </c>
      <c r="P24" s="413">
        <f>O24/M24</f>
        <v>0.50007895152376436</v>
      </c>
      <c r="Q24" s="68"/>
      <c r="R24" s="322"/>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219</v>
      </c>
      <c r="D25" s="420"/>
      <c r="E25" s="420"/>
      <c r="F25" s="73"/>
      <c r="G25" s="232"/>
      <c r="H25" s="232"/>
      <c r="I25" s="232"/>
      <c r="J25" s="265">
        <v>13582.02</v>
      </c>
      <c r="K25" s="265">
        <v>37834.400000000001</v>
      </c>
      <c r="L25" s="322"/>
      <c r="M25" s="265">
        <v>14484</v>
      </c>
      <c r="N25" s="68"/>
      <c r="O25" s="377">
        <f>J25-M25</f>
        <v>-901.97999999999956</v>
      </c>
      <c r="P25" s="463">
        <f>O25/M25</f>
        <v>-6.2274233637116788E-2</v>
      </c>
      <c r="Q25" s="68"/>
      <c r="R25" s="72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0"/>
      <c r="D26" s="73" t="s">
        <v>107</v>
      </c>
      <c r="E26" s="420"/>
      <c r="F26" s="73"/>
      <c r="G26" s="234">
        <v>1311400.25</v>
      </c>
      <c r="H26" s="234">
        <v>563993.57999999996</v>
      </c>
      <c r="I26" s="232"/>
      <c r="J26" s="264" t="e">
        <f>SUM(J23:J25)</f>
        <v>#REF!</v>
      </c>
      <c r="K26" s="264" t="e">
        <f>SUM(K23:K25)</f>
        <v>#REF!</v>
      </c>
      <c r="L26" s="322"/>
      <c r="M26" s="264" t="e">
        <f>SUM(M23:M25)</f>
        <v>#REF!</v>
      </c>
      <c r="N26" s="68"/>
      <c r="O26" s="275" t="e">
        <f>J26-M26</f>
        <v>#REF!</v>
      </c>
      <c r="P26" s="436" t="e">
        <f>O26/M26</f>
        <v>#REF!</v>
      </c>
      <c r="Q26" s="68"/>
      <c r="R26" s="72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0"/>
      <c r="D27" s="73"/>
      <c r="E27" s="420"/>
      <c r="F27" s="73"/>
      <c r="G27" s="234"/>
      <c r="H27" s="234"/>
      <c r="I27" s="232"/>
      <c r="J27" s="322"/>
      <c r="K27" s="591"/>
      <c r="L27" s="322"/>
      <c r="M27" s="322"/>
      <c r="N27" s="68"/>
      <c r="O27" s="68"/>
      <c r="P27" s="68"/>
      <c r="Q27" s="68"/>
      <c r="R27" s="72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111</v>
      </c>
      <c r="C28" s="87"/>
      <c r="D28" s="87"/>
      <c r="E28" s="87"/>
      <c r="F28" s="87"/>
      <c r="G28" s="241"/>
      <c r="H28" s="68"/>
      <c r="I28" s="68"/>
      <c r="J28" s="322"/>
      <c r="K28" s="368"/>
      <c r="L28" s="368"/>
      <c r="M28" s="368"/>
      <c r="N28" s="68"/>
      <c r="O28" s="68"/>
      <c r="P28" s="68"/>
      <c r="Q28" s="68"/>
      <c r="R28" s="72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220</v>
      </c>
      <c r="D29" s="79"/>
      <c r="E29" s="79"/>
      <c r="F29" s="79"/>
      <c r="G29" s="232">
        <v>733747.79999999993</v>
      </c>
      <c r="H29" s="275">
        <v>361976</v>
      </c>
      <c r="I29" s="275"/>
      <c r="J29" s="322"/>
      <c r="K29" s="399"/>
      <c r="L29" s="399"/>
      <c r="M29" s="399"/>
      <c r="R29" s="728"/>
    </row>
    <row r="30" spans="1:61" s="68" customFormat="1" x14ac:dyDescent="0.2">
      <c r="A30" s="67"/>
      <c r="B30" s="67"/>
      <c r="C30" s="79"/>
      <c r="D30" s="976" t="s">
        <v>221</v>
      </c>
      <c r="E30" s="976"/>
      <c r="F30" s="976"/>
      <c r="G30" s="232"/>
      <c r="H30" s="275"/>
      <c r="I30" s="275"/>
      <c r="J30" s="322">
        <v>64964.65</v>
      </c>
      <c r="K30" s="322">
        <v>162253.75</v>
      </c>
      <c r="L30" s="399"/>
      <c r="M30" s="322">
        <v>82702.42</v>
      </c>
      <c r="O30" s="275">
        <f t="shared" ref="O30:O50" si="2">J30-M30</f>
        <v>-17737.769999999997</v>
      </c>
      <c r="P30" s="436">
        <f>O30/M30</f>
        <v>-0.21447703706856458</v>
      </c>
      <c r="R30" s="728">
        <f>J30</f>
        <v>64964.65</v>
      </c>
    </row>
    <row r="31" spans="1:61" s="68" customFormat="1" x14ac:dyDescent="0.2">
      <c r="A31" s="67"/>
      <c r="B31" s="67"/>
      <c r="C31" s="79"/>
      <c r="D31" s="976" t="s">
        <v>222</v>
      </c>
      <c r="E31" s="976"/>
      <c r="F31" s="976"/>
      <c r="G31" s="232"/>
      <c r="H31" s="275"/>
      <c r="I31" s="275"/>
      <c r="J31" s="322">
        <f>23219.46+7406.6</f>
        <v>30626.059999999998</v>
      </c>
      <c r="K31" s="322">
        <f>37966.12+23862.63+605.03+106.59</f>
        <v>62540.369999999995</v>
      </c>
      <c r="L31" s="399"/>
      <c r="M31" s="322">
        <f>18368.1+11845.56</f>
        <v>30213.659999999996</v>
      </c>
      <c r="O31" s="275">
        <f t="shared" si="2"/>
        <v>412.40000000000146</v>
      </c>
      <c r="P31" s="436">
        <f>O31/M31</f>
        <v>1.3649455246401843E-2</v>
      </c>
      <c r="R31" s="728">
        <f>J31</f>
        <v>30626.059999999998</v>
      </c>
    </row>
    <row r="32" spans="1:61" s="68" customFormat="1" x14ac:dyDescent="0.2">
      <c r="A32" s="67"/>
      <c r="B32" s="67"/>
      <c r="C32" s="79"/>
      <c r="D32" s="976" t="s">
        <v>113</v>
      </c>
      <c r="E32" s="976"/>
      <c r="F32" s="976"/>
      <c r="G32" s="232"/>
      <c r="H32" s="275"/>
      <c r="I32" s="275"/>
      <c r="J32" s="322">
        <v>15442.94</v>
      </c>
      <c r="K32" s="322">
        <v>42279.58</v>
      </c>
      <c r="L32" s="399"/>
      <c r="M32" s="322">
        <f>(M30+M31)*0.18</f>
        <v>20324.894399999997</v>
      </c>
      <c r="O32" s="275">
        <f t="shared" si="2"/>
        <v>-4881.9543999999969</v>
      </c>
      <c r="P32" s="436">
        <f>O32/M32</f>
        <v>-0.24019580638017965</v>
      </c>
      <c r="R32" s="262">
        <f>J32</f>
        <v>15442.94</v>
      </c>
    </row>
    <row r="33" spans="1:19" s="68" customFormat="1" x14ac:dyDescent="0.2">
      <c r="A33" s="67"/>
      <c r="B33" s="67"/>
      <c r="C33" s="79" t="s">
        <v>278</v>
      </c>
      <c r="D33" s="79"/>
      <c r="E33" s="79"/>
      <c r="F33" s="79"/>
      <c r="G33" s="232">
        <v>44745.18</v>
      </c>
      <c r="H33" s="232">
        <v>20974.21</v>
      </c>
      <c r="I33" s="232"/>
      <c r="J33" s="322"/>
      <c r="K33" s="591"/>
      <c r="L33" s="322"/>
      <c r="M33" s="591"/>
      <c r="O33" s="275">
        <f t="shared" si="2"/>
        <v>0</v>
      </c>
      <c r="P33" s="436"/>
      <c r="R33" s="728"/>
      <c r="S33" s="68">
        <f>R32/(R30+R31)</f>
        <v>0.16155272829336662</v>
      </c>
    </row>
    <row r="34" spans="1:19" s="68" customFormat="1" x14ac:dyDescent="0.2">
      <c r="A34" s="67"/>
      <c r="B34" s="67"/>
      <c r="C34" s="79"/>
      <c r="D34" s="976" t="s">
        <v>223</v>
      </c>
      <c r="E34" s="976"/>
      <c r="F34" s="976"/>
      <c r="G34" s="232"/>
      <c r="H34" s="232"/>
      <c r="I34" s="232"/>
      <c r="J34" s="322">
        <v>7876.42</v>
      </c>
      <c r="K34" s="322">
        <v>25472.83</v>
      </c>
      <c r="L34" s="322"/>
      <c r="M34" s="322">
        <v>8106.06</v>
      </c>
      <c r="O34" s="275">
        <f t="shared" si="2"/>
        <v>-229.64000000000033</v>
      </c>
      <c r="P34" s="436">
        <f t="shared" ref="P34:P41" si="3">O34/M34</f>
        <v>-2.832942267883538E-2</v>
      </c>
      <c r="R34" s="728">
        <v>7876.42</v>
      </c>
    </row>
    <row r="35" spans="1:19" s="68" customFormat="1" x14ac:dyDescent="0.2">
      <c r="A35" s="67"/>
      <c r="B35" s="67"/>
      <c r="C35" s="79"/>
      <c r="D35" s="976" t="s">
        <v>224</v>
      </c>
      <c r="E35" s="976"/>
      <c r="F35" s="976"/>
      <c r="G35" s="232"/>
      <c r="H35" s="232"/>
      <c r="I35" s="232"/>
      <c r="J35" s="322">
        <v>11303.34</v>
      </c>
      <c r="K35" s="322">
        <v>17989.87</v>
      </c>
      <c r="L35" s="322"/>
      <c r="M35" s="322">
        <v>5932.49</v>
      </c>
      <c r="O35" s="275">
        <f t="shared" si="2"/>
        <v>5370.85</v>
      </c>
      <c r="P35" s="436">
        <f t="shared" si="3"/>
        <v>0.90532811686155401</v>
      </c>
      <c r="R35" s="728">
        <v>11303.34</v>
      </c>
    </row>
    <row r="36" spans="1:19" s="68" customFormat="1" x14ac:dyDescent="0.2">
      <c r="A36" s="67"/>
      <c r="B36" s="67"/>
      <c r="C36" s="79"/>
      <c r="D36" s="976" t="s">
        <v>304</v>
      </c>
      <c r="E36" s="976"/>
      <c r="F36" s="976"/>
      <c r="G36" s="232"/>
      <c r="H36" s="232"/>
      <c r="I36" s="232"/>
      <c r="J36" s="322">
        <v>11898.19</v>
      </c>
      <c r="K36" s="322">
        <v>16090.9</v>
      </c>
      <c r="L36" s="322"/>
      <c r="M36" s="322">
        <v>7105.84</v>
      </c>
      <c r="O36" s="275">
        <f t="shared" si="2"/>
        <v>4792.3500000000004</v>
      </c>
      <c r="P36" s="436">
        <f t="shared" si="3"/>
        <v>0.6744241356405436</v>
      </c>
      <c r="R36" s="728">
        <v>11898.19</v>
      </c>
    </row>
    <row r="37" spans="1:19" s="68" customFormat="1" x14ac:dyDescent="0.2">
      <c r="A37" s="67"/>
      <c r="B37" s="67"/>
      <c r="C37" s="79"/>
      <c r="D37" s="976" t="s">
        <v>225</v>
      </c>
      <c r="E37" s="976"/>
      <c r="F37" s="976"/>
      <c r="G37" s="232"/>
      <c r="H37" s="232"/>
      <c r="I37" s="232"/>
      <c r="J37" s="322">
        <v>307</v>
      </c>
      <c r="K37" s="322">
        <v>1427.75</v>
      </c>
      <c r="L37" s="322"/>
      <c r="M37" s="322">
        <v>79</v>
      </c>
      <c r="O37" s="275">
        <f t="shared" si="2"/>
        <v>228</v>
      </c>
      <c r="P37" s="436">
        <f t="shared" si="3"/>
        <v>2.8860759493670884</v>
      </c>
      <c r="R37" s="728">
        <v>307</v>
      </c>
    </row>
    <row r="38" spans="1:19" s="68" customFormat="1" x14ac:dyDescent="0.2">
      <c r="A38" s="67"/>
      <c r="B38" s="67"/>
      <c r="C38" s="79" t="s">
        <v>226</v>
      </c>
      <c r="D38" s="79"/>
      <c r="E38" s="79"/>
      <c r="F38" s="79"/>
      <c r="G38" s="232">
        <v>27200</v>
      </c>
      <c r="H38" s="232">
        <v>11327</v>
      </c>
      <c r="I38" s="232"/>
      <c r="J38" s="322">
        <v>15180</v>
      </c>
      <c r="K38" s="322">
        <f>22438.68+1591</f>
        <v>24029.68</v>
      </c>
      <c r="L38" s="322"/>
      <c r="M38" s="322">
        <f>530.32+7060.24</f>
        <v>7590.5599999999995</v>
      </c>
      <c r="O38" s="275">
        <f t="shared" si="2"/>
        <v>7589.4400000000005</v>
      </c>
      <c r="P38" s="436">
        <f t="shared" si="3"/>
        <v>0.99985244830420961</v>
      </c>
      <c r="R38" s="728">
        <f>930+14250</f>
        <v>15180</v>
      </c>
    </row>
    <row r="39" spans="1:19" s="68" customFormat="1" x14ac:dyDescent="0.2">
      <c r="A39" s="67"/>
      <c r="B39" s="67"/>
      <c r="C39" s="79" t="s">
        <v>104</v>
      </c>
      <c r="D39" s="79"/>
      <c r="E39" s="79"/>
      <c r="F39" s="79"/>
      <c r="G39" s="232">
        <v>150176</v>
      </c>
      <c r="H39" s="275">
        <v>47700.27</v>
      </c>
      <c r="I39" s="275"/>
      <c r="J39" s="322">
        <f>J22</f>
        <v>1758</v>
      </c>
      <c r="K39" s="322">
        <f>K22</f>
        <v>10548</v>
      </c>
      <c r="L39" s="399"/>
      <c r="M39" s="322">
        <f>M22</f>
        <v>1758</v>
      </c>
      <c r="O39" s="275">
        <f t="shared" si="2"/>
        <v>0</v>
      </c>
      <c r="P39" s="436">
        <f t="shared" si="3"/>
        <v>0</v>
      </c>
      <c r="R39" s="728"/>
    </row>
    <row r="40" spans="1:19" s="68" customFormat="1" x14ac:dyDescent="0.2">
      <c r="A40" s="67"/>
      <c r="B40" s="67"/>
      <c r="C40" s="79" t="s">
        <v>313</v>
      </c>
      <c r="D40" s="79"/>
      <c r="E40" s="79"/>
      <c r="F40" s="79"/>
      <c r="G40" s="232"/>
      <c r="H40" s="275"/>
      <c r="I40" s="275"/>
      <c r="J40" s="322">
        <f>1268+392</f>
        <v>1660</v>
      </c>
      <c r="K40" s="322">
        <v>4497</v>
      </c>
      <c r="L40" s="399"/>
      <c r="M40" s="322">
        <v>1388</v>
      </c>
      <c r="O40" s="275">
        <f t="shared" si="2"/>
        <v>272</v>
      </c>
      <c r="P40" s="436">
        <f t="shared" si="3"/>
        <v>0.19596541786743515</v>
      </c>
      <c r="R40" s="728">
        <v>2437</v>
      </c>
    </row>
    <row r="41" spans="1:19" s="68" customFormat="1" x14ac:dyDescent="0.2">
      <c r="A41" s="67"/>
      <c r="B41" s="67"/>
      <c r="C41" s="79" t="s">
        <v>227</v>
      </c>
      <c r="D41" s="79"/>
      <c r="E41" s="79"/>
      <c r="F41" s="79"/>
      <c r="G41" s="232"/>
      <c r="H41" s="275"/>
      <c r="I41" s="275"/>
      <c r="J41" s="322">
        <v>954</v>
      </c>
      <c r="K41" s="322">
        <f>75+874</f>
        <v>949</v>
      </c>
      <c r="L41" s="399"/>
      <c r="M41" s="322">
        <f>393+75</f>
        <v>468</v>
      </c>
      <c r="O41" s="275">
        <f t="shared" si="2"/>
        <v>486</v>
      </c>
      <c r="P41" s="436">
        <f t="shared" si="3"/>
        <v>1.0384615384615385</v>
      </c>
      <c r="R41" s="728">
        <f>105+877</f>
        <v>982</v>
      </c>
      <c r="S41" s="732">
        <f>R41</f>
        <v>982</v>
      </c>
    </row>
    <row r="42" spans="1:19" s="68" customFormat="1" x14ac:dyDescent="0.2">
      <c r="A42" s="67"/>
      <c r="B42" s="67"/>
      <c r="C42" s="79" t="s">
        <v>383</v>
      </c>
      <c r="D42" s="79"/>
      <c r="E42" s="79"/>
      <c r="F42" s="79"/>
      <c r="G42" s="232">
        <v>10993.12</v>
      </c>
      <c r="H42" s="275">
        <v>4904.57</v>
      </c>
      <c r="I42" s="275"/>
      <c r="J42" s="322">
        <f>1600.82+472.16</f>
        <v>2072.98</v>
      </c>
      <c r="K42" s="322">
        <v>4436.1400000000003</v>
      </c>
      <c r="L42" s="399"/>
      <c r="M42" s="322">
        <f>18.18+1152.17</f>
        <v>1170.3500000000001</v>
      </c>
      <c r="O42" s="275">
        <f t="shared" si="2"/>
        <v>902.62999999999988</v>
      </c>
      <c r="P42" s="436">
        <f>O42/M42</f>
        <v>0.77124791728969944</v>
      </c>
      <c r="R42" s="728">
        <f>757.49+3120.83+26.18</f>
        <v>3904.4999999999995</v>
      </c>
    </row>
    <row r="43" spans="1:19" s="68" customFormat="1" x14ac:dyDescent="0.2">
      <c r="A43" s="67"/>
      <c r="B43" s="67"/>
      <c r="C43" s="79" t="s">
        <v>228</v>
      </c>
      <c r="D43" s="79"/>
      <c r="E43" s="79"/>
      <c r="F43" s="79"/>
      <c r="G43" s="232">
        <v>10250.949999999999</v>
      </c>
      <c r="H43" s="275">
        <v>3982.99</v>
      </c>
      <c r="I43" s="275"/>
      <c r="J43" s="322">
        <f>41.5+32.88</f>
        <v>74.38</v>
      </c>
      <c r="K43" s="322">
        <f>223.01+568.51</f>
        <v>791.52</v>
      </c>
      <c r="L43" s="399"/>
      <c r="M43" s="322">
        <f>11.58+94.37+34.1+4.4</f>
        <v>144.45000000000002</v>
      </c>
      <c r="O43" s="275">
        <f t="shared" si="2"/>
        <v>-70.070000000000022</v>
      </c>
      <c r="P43" s="436">
        <f>O43/M43</f>
        <v>-0.48508134302526834</v>
      </c>
      <c r="R43" s="728">
        <f>9.2+72.5+8.53+225.13</f>
        <v>315.36</v>
      </c>
      <c r="S43" s="732">
        <f>R43</f>
        <v>315.36</v>
      </c>
    </row>
    <row r="44" spans="1:19" s="68" customFormat="1" x14ac:dyDescent="0.2">
      <c r="A44" s="67"/>
      <c r="B44" s="67"/>
      <c r="C44" s="79" t="s">
        <v>122</v>
      </c>
      <c r="D44" s="79"/>
      <c r="E44" s="79"/>
      <c r="F44" s="79"/>
      <c r="G44" s="232">
        <v>4412.53</v>
      </c>
      <c r="H44" s="276">
        <v>5667</v>
      </c>
      <c r="I44" s="276"/>
      <c r="J44" s="322">
        <f>473.98+380.58+21.4+125</f>
        <v>1000.9599999999999</v>
      </c>
      <c r="K44" s="322">
        <v>1826.56</v>
      </c>
      <c r="L44" s="400"/>
      <c r="M44" s="322">
        <f>72.06+953.27</f>
        <v>1025.33</v>
      </c>
      <c r="O44" s="275">
        <f t="shared" si="2"/>
        <v>-24.370000000000005</v>
      </c>
      <c r="P44" s="436">
        <f>O44/M44</f>
        <v>-2.3767957633152259E-2</v>
      </c>
      <c r="R44" s="728">
        <f>108.49+189+1123.3</f>
        <v>1420.79</v>
      </c>
    </row>
    <row r="45" spans="1:19" s="68" customFormat="1" x14ac:dyDescent="0.2">
      <c r="A45" s="67"/>
      <c r="B45" s="67"/>
      <c r="C45" s="79" t="s">
        <v>120</v>
      </c>
      <c r="D45" s="79"/>
      <c r="E45" s="79"/>
      <c r="F45" s="79"/>
      <c r="G45" s="232">
        <v>7901</v>
      </c>
      <c r="H45" s="275">
        <v>4149.6000000000004</v>
      </c>
      <c r="I45" s="275"/>
      <c r="J45" s="322">
        <f>84.85+28.27</f>
        <v>113.11999999999999</v>
      </c>
      <c r="K45" s="322">
        <v>396.82</v>
      </c>
      <c r="L45" s="399"/>
      <c r="M45" s="322">
        <f>150.1</f>
        <v>150.1</v>
      </c>
      <c r="O45" s="275">
        <f t="shared" si="2"/>
        <v>-36.980000000000004</v>
      </c>
      <c r="P45" s="436">
        <f>O45/M45</f>
        <v>-0.24636908727514994</v>
      </c>
      <c r="R45" s="728">
        <f>0.1+152.24</f>
        <v>152.34</v>
      </c>
      <c r="S45" s="732">
        <f>R45</f>
        <v>152.34</v>
      </c>
    </row>
    <row r="46" spans="1:19" s="68" customFormat="1" hidden="1" x14ac:dyDescent="0.2">
      <c r="A46" s="67"/>
      <c r="B46" s="67"/>
      <c r="C46" s="79" t="s">
        <v>229</v>
      </c>
      <c r="D46" s="79"/>
      <c r="E46" s="79"/>
      <c r="F46" s="79"/>
      <c r="G46" s="232"/>
      <c r="H46" s="275"/>
      <c r="I46" s="275"/>
      <c r="J46" s="322"/>
      <c r="K46" s="322"/>
      <c r="L46" s="399"/>
      <c r="M46" s="322"/>
      <c r="O46" s="275">
        <f t="shared" si="2"/>
        <v>0</v>
      </c>
      <c r="P46" s="436"/>
      <c r="R46" s="728"/>
    </row>
    <row r="47" spans="1:19" s="76" customFormat="1" x14ac:dyDescent="0.2">
      <c r="A47" s="79"/>
      <c r="B47" s="79"/>
      <c r="C47" s="79" t="s">
        <v>116</v>
      </c>
      <c r="D47" s="79"/>
      <c r="E47" s="79"/>
      <c r="F47" s="79"/>
      <c r="G47" s="232">
        <v>5428.37</v>
      </c>
      <c r="H47" s="275">
        <v>2024.52</v>
      </c>
      <c r="I47" s="275"/>
      <c r="J47" s="322">
        <f>144.57+13.67</f>
        <v>158.23999999999998</v>
      </c>
      <c r="K47" s="322">
        <v>422.62</v>
      </c>
      <c r="L47" s="399"/>
      <c r="M47" s="322">
        <v>151.52000000000001</v>
      </c>
      <c r="O47" s="275">
        <f t="shared" si="2"/>
        <v>6.7199999999999704</v>
      </c>
      <c r="P47" s="436">
        <f>O47/M47</f>
        <v>4.4350580781414795E-2</v>
      </c>
      <c r="R47" s="728">
        <v>207.91</v>
      </c>
    </row>
    <row r="48" spans="1:19" s="76" customFormat="1" x14ac:dyDescent="0.2">
      <c r="A48" s="79"/>
      <c r="B48" s="79"/>
      <c r="C48" s="79" t="s">
        <v>230</v>
      </c>
      <c r="D48" s="79"/>
      <c r="E48" s="79"/>
      <c r="F48" s="79"/>
      <c r="G48" s="232">
        <v>83462.91</v>
      </c>
      <c r="H48" s="232">
        <v>18995.71</v>
      </c>
      <c r="I48" s="232"/>
      <c r="J48" s="398">
        <f>43.18+110</f>
        <v>153.18</v>
      </c>
      <c r="K48" s="398">
        <f>248.22+18.56+28.25+5</f>
        <v>300.02999999999997</v>
      </c>
      <c r="L48" s="322"/>
      <c r="M48" s="398">
        <v>58.6</v>
      </c>
      <c r="O48" s="509">
        <f t="shared" si="2"/>
        <v>94.580000000000013</v>
      </c>
      <c r="P48" s="508">
        <f>O48/M48</f>
        <v>1.6139931740614337</v>
      </c>
      <c r="R48" s="728">
        <f>25+228.45+110</f>
        <v>363.45</v>
      </c>
    </row>
    <row r="49" spans="1:21" s="68" customFormat="1" ht="21" thickBot="1" x14ac:dyDescent="0.25">
      <c r="A49" s="67"/>
      <c r="B49" s="67"/>
      <c r="C49" s="67"/>
      <c r="D49" s="73" t="s">
        <v>128</v>
      </c>
      <c r="E49" s="67"/>
      <c r="F49" s="67"/>
      <c r="G49" s="241">
        <v>1078317.8599999999</v>
      </c>
      <c r="H49" s="241">
        <v>481701.87000000005</v>
      </c>
      <c r="I49" s="232"/>
      <c r="J49" s="465">
        <f>SUM(J30:J48)</f>
        <v>165543.45999999996</v>
      </c>
      <c r="K49" s="465">
        <f>SUM(K30:K48)</f>
        <v>376252.4200000001</v>
      </c>
      <c r="L49" s="322"/>
      <c r="M49" s="465">
        <f>SUM(M30:M48)</f>
        <v>168369.27439999997</v>
      </c>
      <c r="O49" s="465">
        <f t="shared" si="2"/>
        <v>-2825.8144000000029</v>
      </c>
      <c r="P49" s="463">
        <f>O49/M49</f>
        <v>-1.6783432785287357E-2</v>
      </c>
      <c r="R49" s="728"/>
      <c r="U49" s="341"/>
    </row>
    <row r="50" spans="1:21" s="68" customFormat="1" ht="21" thickBot="1" x14ac:dyDescent="0.25">
      <c r="A50" s="67"/>
      <c r="B50" s="67"/>
      <c r="C50" s="67"/>
      <c r="D50" s="67" t="s">
        <v>129</v>
      </c>
      <c r="E50" s="67"/>
      <c r="F50" s="67"/>
      <c r="G50" s="241">
        <v>233082.39000000013</v>
      </c>
      <c r="H50" s="241">
        <v>82291.709999999905</v>
      </c>
      <c r="I50" s="232"/>
      <c r="J50" s="466" t="e">
        <f>J26-J49</f>
        <v>#REF!</v>
      </c>
      <c r="K50" s="466" t="e">
        <f>K26-K49</f>
        <v>#REF!</v>
      </c>
      <c r="L50" s="322"/>
      <c r="M50" s="466" t="e">
        <f>M26-M49</f>
        <v>#REF!</v>
      </c>
      <c r="O50" s="377" t="e">
        <f t="shared" si="2"/>
        <v>#REF!</v>
      </c>
      <c r="P50" s="463" t="e">
        <f>O50/M50</f>
        <v>#REF!</v>
      </c>
      <c r="R50" s="728">
        <f>SUM(R29:R49)</f>
        <v>167381.94999999998</v>
      </c>
    </row>
    <row r="51" spans="1:21" s="68" customFormat="1" x14ac:dyDescent="0.2">
      <c r="A51" s="67"/>
      <c r="B51" s="67"/>
      <c r="C51" s="67"/>
      <c r="D51" s="67"/>
      <c r="E51" s="67"/>
      <c r="F51" s="67"/>
      <c r="G51" s="232"/>
      <c r="H51" s="232"/>
      <c r="I51" s="232"/>
      <c r="J51" s="322"/>
      <c r="K51" s="322"/>
      <c r="L51" s="322"/>
      <c r="M51" s="322"/>
      <c r="R51" s="728"/>
    </row>
    <row r="52" spans="1:21" s="65" customFormat="1" ht="26.25" x14ac:dyDescent="0.2">
      <c r="A52" s="268"/>
      <c r="B52" s="268"/>
      <c r="C52" s="79" t="s">
        <v>265</v>
      </c>
      <c r="E52" s="79"/>
      <c r="F52" s="79"/>
      <c r="G52" s="270"/>
      <c r="H52" s="232"/>
      <c r="I52" s="232"/>
      <c r="J52" s="322"/>
      <c r="K52" s="322">
        <v>-69500</v>
      </c>
      <c r="L52" s="322"/>
      <c r="M52" s="322"/>
      <c r="O52" s="275">
        <f>J52-M52</f>
        <v>0</v>
      </c>
      <c r="P52" s="413"/>
      <c r="R52" s="728"/>
    </row>
    <row r="53" spans="1:21" s="68" customFormat="1" x14ac:dyDescent="0.2">
      <c r="A53" s="67"/>
      <c r="B53" s="67"/>
      <c r="C53" s="79" t="s">
        <v>231</v>
      </c>
      <c r="E53" s="67"/>
      <c r="G53" s="232"/>
      <c r="H53" s="232"/>
      <c r="I53" s="232"/>
      <c r="J53" s="322">
        <f>J38</f>
        <v>15180</v>
      </c>
      <c r="K53" s="322">
        <f>K38</f>
        <v>24029.68</v>
      </c>
      <c r="L53" s="322"/>
      <c r="M53" s="322">
        <f>M38</f>
        <v>7590.5599999999995</v>
      </c>
      <c r="O53" s="275">
        <f>J53-M53</f>
        <v>7589.4400000000005</v>
      </c>
      <c r="P53" s="413">
        <v>3.5414486921529216E-2</v>
      </c>
      <c r="R53" s="728"/>
    </row>
    <row r="54" spans="1:21" s="68" customFormat="1" ht="24" thickBot="1" x14ac:dyDescent="0.25">
      <c r="A54" s="67"/>
      <c r="B54" s="396"/>
      <c r="C54" s="67"/>
      <c r="D54" s="979" t="s">
        <v>232</v>
      </c>
      <c r="E54" s="979"/>
      <c r="F54" s="979"/>
      <c r="G54" s="232"/>
      <c r="H54" s="232"/>
      <c r="I54" s="232"/>
      <c r="J54" s="467" t="e">
        <f>J50+J52+J53</f>
        <v>#REF!</v>
      </c>
      <c r="K54" s="467" t="e">
        <f>K50+K52+K53</f>
        <v>#REF!</v>
      </c>
      <c r="L54" s="326"/>
      <c r="M54" s="467" t="e">
        <f>M50+M52+M53</f>
        <v>#REF!</v>
      </c>
      <c r="N54" s="387"/>
      <c r="O54" s="464" t="e">
        <f>J54-M54</f>
        <v>#REF!</v>
      </c>
      <c r="P54" s="499">
        <v>2.1062768618503362E-2</v>
      </c>
      <c r="R54" s="728"/>
    </row>
    <row r="55" spans="1:21" s="68" customFormat="1" ht="42" customHeight="1" thickTop="1" x14ac:dyDescent="0.2">
      <c r="A55" s="67"/>
      <c r="B55" s="67"/>
      <c r="C55" s="67"/>
      <c r="D55" s="67"/>
      <c r="E55" s="67"/>
      <c r="F55" s="67"/>
      <c r="G55" s="232"/>
      <c r="H55" s="232"/>
      <c r="I55" s="232"/>
      <c r="J55" s="322"/>
      <c r="K55" s="322"/>
      <c r="L55" s="322"/>
      <c r="M55" s="322"/>
      <c r="R55" s="728"/>
    </row>
    <row r="56" spans="1:21" s="76" customFormat="1" x14ac:dyDescent="0.2">
      <c r="A56" s="79"/>
      <c r="B56" s="79"/>
      <c r="C56" s="79"/>
      <c r="D56" s="79"/>
      <c r="F56" s="79" t="s">
        <v>309</v>
      </c>
      <c r="G56" s="246"/>
      <c r="H56" s="232"/>
      <c r="I56" s="232"/>
      <c r="J56" s="322">
        <v>62742</v>
      </c>
      <c r="K56" s="322">
        <v>227723</v>
      </c>
      <c r="L56" s="322"/>
      <c r="M56" s="322">
        <v>74506</v>
      </c>
      <c r="O56" s="247"/>
      <c r="R56" s="728"/>
    </row>
    <row r="57" spans="1:21" s="76" customFormat="1" ht="21" thickBot="1" x14ac:dyDescent="0.25">
      <c r="A57" s="79"/>
      <c r="B57" s="79"/>
      <c r="C57" s="79"/>
      <c r="D57" s="79"/>
      <c r="F57" s="79" t="s">
        <v>314</v>
      </c>
      <c r="G57" s="232"/>
      <c r="H57" s="232"/>
      <c r="I57" s="232"/>
      <c r="J57" s="608">
        <f>(J49-J38-J39)/J56</f>
        <v>2.3685164642504217</v>
      </c>
      <c r="K57" s="608">
        <f>(K49-K38-K39)/K56</f>
        <v>1.5003962709080774</v>
      </c>
      <c r="L57" s="609"/>
      <c r="M57" s="608">
        <f>(M49-M38-M39)/M56</f>
        <v>2.1343343408584539</v>
      </c>
      <c r="R57" s="728"/>
    </row>
    <row r="58" spans="1:21" s="76" customFormat="1" x14ac:dyDescent="0.2">
      <c r="A58" s="79"/>
      <c r="B58" s="79"/>
      <c r="C58" s="79"/>
      <c r="D58" s="79"/>
      <c r="F58" s="79"/>
      <c r="G58" s="232"/>
      <c r="H58" s="232"/>
      <c r="I58" s="232"/>
      <c r="J58" s="322"/>
      <c r="K58" s="322"/>
      <c r="L58" s="322"/>
      <c r="M58" s="322"/>
      <c r="R58" s="728"/>
    </row>
    <row r="59" spans="1:21" s="76" customFormat="1" x14ac:dyDescent="0.2">
      <c r="A59" s="79"/>
      <c r="B59" s="79"/>
      <c r="C59" s="79"/>
      <c r="D59" s="79"/>
      <c r="F59" s="79" t="s">
        <v>310</v>
      </c>
      <c r="G59" s="232"/>
      <c r="H59" s="232"/>
      <c r="I59" s="232"/>
      <c r="J59" s="322">
        <v>4125</v>
      </c>
      <c r="K59" s="322">
        <v>16457</v>
      </c>
      <c r="L59" s="322"/>
      <c r="M59" s="322">
        <v>5516</v>
      </c>
      <c r="P59" s="247"/>
      <c r="R59" s="728"/>
    </row>
    <row r="60" spans="1:21" s="76" customFormat="1" ht="21" thickBot="1" x14ac:dyDescent="0.25">
      <c r="A60" s="79"/>
      <c r="B60" s="79"/>
      <c r="C60" s="79"/>
      <c r="D60" s="79"/>
      <c r="F60" s="79" t="s">
        <v>372</v>
      </c>
      <c r="G60" s="232"/>
      <c r="H60" s="232"/>
      <c r="I60" s="232"/>
      <c r="J60" s="608">
        <f>(J49-J38-J39)/J59</f>
        <v>36.025566060606053</v>
      </c>
      <c r="K60" s="608">
        <f>(K49-K38-K39)/K59</f>
        <v>20.761666160296535</v>
      </c>
      <c r="L60" s="322"/>
      <c r="M60" s="608">
        <f>(M49-M38-M39)/M59</f>
        <v>28.828991007976789</v>
      </c>
      <c r="R60" s="728"/>
    </row>
    <row r="61" spans="1:21" s="76" customFormat="1" x14ac:dyDescent="0.2">
      <c r="A61" s="79"/>
      <c r="B61" s="79"/>
      <c r="C61" s="79"/>
      <c r="D61" s="79"/>
      <c r="F61" s="79"/>
      <c r="G61" s="232"/>
      <c r="H61" s="232"/>
      <c r="I61" s="232"/>
      <c r="J61" s="322"/>
      <c r="K61" s="322"/>
      <c r="L61" s="322"/>
      <c r="M61" s="322"/>
      <c r="R61" s="728"/>
    </row>
    <row r="62" spans="1:21" s="76" customFormat="1" x14ac:dyDescent="0.2">
      <c r="A62" s="79"/>
      <c r="B62" s="79"/>
      <c r="C62" s="67"/>
      <c r="D62" s="79"/>
      <c r="F62" s="79" t="s">
        <v>311</v>
      </c>
      <c r="G62" s="232"/>
      <c r="H62" s="232"/>
      <c r="I62" s="232"/>
      <c r="J62" s="322">
        <v>1517</v>
      </c>
      <c r="K62" s="322">
        <v>7208</v>
      </c>
      <c r="L62" s="322"/>
      <c r="M62" s="322">
        <v>2389</v>
      </c>
      <c r="R62" s="728"/>
    </row>
    <row r="63" spans="1:21" s="76" customFormat="1" ht="21" thickBot="1" x14ac:dyDescent="0.25">
      <c r="A63" s="79"/>
      <c r="B63" s="79"/>
      <c r="C63" s="79"/>
      <c r="D63" s="79"/>
      <c r="E63" s="79"/>
      <c r="F63" s="79" t="s">
        <v>373</v>
      </c>
      <c r="G63" s="232"/>
      <c r="H63" s="232"/>
      <c r="I63" s="232"/>
      <c r="J63" s="608">
        <f>J9/J62</f>
        <v>27.359485827290705</v>
      </c>
      <c r="K63" s="608">
        <f>K9/K62</f>
        <v>22.020116537180911</v>
      </c>
      <c r="L63" s="322"/>
      <c r="M63" s="608">
        <f>M9/M62</f>
        <v>32.932381749686066</v>
      </c>
      <c r="R63" s="728"/>
    </row>
    <row r="64" spans="1:21" s="76" customFormat="1" x14ac:dyDescent="0.2">
      <c r="A64" s="79"/>
      <c r="B64" s="79"/>
      <c r="C64" s="67"/>
      <c r="D64" s="67"/>
      <c r="G64" s="232"/>
      <c r="H64" s="232"/>
      <c r="I64" s="232"/>
      <c r="J64" s="322"/>
      <c r="K64" s="322"/>
      <c r="L64" s="322"/>
      <c r="M64" s="322"/>
      <c r="R64" s="728"/>
    </row>
    <row r="65" spans="1:18" s="76" customFormat="1" x14ac:dyDescent="0.2">
      <c r="A65" s="79"/>
      <c r="B65" s="79"/>
      <c r="C65" s="79"/>
      <c r="D65" s="79"/>
      <c r="E65" s="79"/>
      <c r="F65" s="79"/>
      <c r="G65" s="232"/>
      <c r="H65" s="232"/>
      <c r="I65" s="232"/>
      <c r="J65" s="232"/>
      <c r="K65" s="232"/>
      <c r="L65" s="232"/>
      <c r="M65" s="232"/>
      <c r="R65" s="728"/>
    </row>
    <row r="66" spans="1:18" s="76" customFormat="1" x14ac:dyDescent="0.2">
      <c r="A66" s="79"/>
      <c r="B66" s="79"/>
      <c r="C66" s="79"/>
      <c r="D66" s="79"/>
      <c r="E66" s="79"/>
      <c r="F66" s="79"/>
      <c r="G66" s="232"/>
      <c r="H66" s="232"/>
      <c r="I66" s="232"/>
      <c r="J66" s="232"/>
      <c r="K66" s="232"/>
      <c r="L66" s="232"/>
      <c r="M66" s="232"/>
      <c r="R66" s="728"/>
    </row>
    <row r="67" spans="1:18" s="76" customFormat="1" x14ac:dyDescent="0.2">
      <c r="A67" s="79"/>
      <c r="B67" s="79"/>
      <c r="C67" s="67"/>
      <c r="D67" s="79"/>
      <c r="F67" s="79"/>
      <c r="G67" s="232"/>
      <c r="H67" s="232"/>
      <c r="I67" s="232"/>
      <c r="J67" s="232"/>
      <c r="K67" s="232"/>
      <c r="L67" s="232"/>
      <c r="M67" s="232"/>
      <c r="R67" s="728"/>
    </row>
    <row r="68" spans="1:18" s="76" customFormat="1" x14ac:dyDescent="0.2">
      <c r="A68" s="79"/>
      <c r="B68" s="79"/>
      <c r="C68" s="79"/>
      <c r="D68" s="79"/>
      <c r="E68" s="79"/>
      <c r="F68" s="79"/>
      <c r="G68" s="232"/>
      <c r="H68" s="232"/>
      <c r="I68" s="232"/>
      <c r="J68" s="232"/>
      <c r="K68" s="232"/>
      <c r="L68" s="232"/>
      <c r="M68" s="232"/>
      <c r="R68" s="728"/>
    </row>
    <row r="69" spans="1:18" s="68" customFormat="1" x14ac:dyDescent="0.2">
      <c r="A69" s="67"/>
      <c r="B69" s="67"/>
      <c r="C69" s="67"/>
      <c r="D69" s="67"/>
      <c r="E69" s="67"/>
      <c r="F69" s="67"/>
      <c r="G69" s="237"/>
      <c r="H69" s="237"/>
      <c r="I69" s="237"/>
      <c r="J69" s="237"/>
      <c r="K69" s="237"/>
      <c r="L69" s="237"/>
      <c r="M69" s="237"/>
      <c r="R69" s="728"/>
    </row>
    <row r="70" spans="1:18" s="68" customFormat="1" x14ac:dyDescent="0.2">
      <c r="A70" s="67"/>
      <c r="B70" s="67"/>
      <c r="C70" s="67"/>
      <c r="D70" s="67"/>
      <c r="E70" s="67"/>
      <c r="F70" s="67"/>
      <c r="G70" s="237"/>
      <c r="H70" s="237"/>
      <c r="I70" s="237"/>
      <c r="J70" s="237"/>
      <c r="K70" s="237"/>
      <c r="L70" s="237"/>
      <c r="M70" s="237"/>
      <c r="R70" s="728"/>
    </row>
    <row r="71" spans="1:18" s="68" customFormat="1" ht="23.25" x14ac:dyDescent="0.2">
      <c r="A71" s="67"/>
      <c r="B71" s="271"/>
      <c r="C71" s="67"/>
      <c r="D71" s="67"/>
      <c r="E71" s="67"/>
      <c r="F71" s="67"/>
      <c r="G71" s="232"/>
      <c r="H71" s="232"/>
      <c r="I71" s="232"/>
      <c r="J71" s="232"/>
      <c r="K71" s="232"/>
      <c r="L71" s="232"/>
      <c r="M71" s="232"/>
      <c r="R71" s="728"/>
    </row>
    <row r="72" spans="1:18" s="76" customFormat="1" x14ac:dyDescent="0.2">
      <c r="A72" s="79"/>
      <c r="B72" s="79"/>
      <c r="D72" s="79"/>
      <c r="E72" s="79"/>
      <c r="F72" s="79"/>
      <c r="G72" s="232"/>
      <c r="H72" s="232"/>
      <c r="I72" s="232"/>
      <c r="J72" s="232"/>
      <c r="K72" s="232"/>
      <c r="L72" s="232"/>
      <c r="M72" s="232"/>
      <c r="R72" s="728"/>
    </row>
    <row r="73" spans="1:18" s="76" customFormat="1" x14ac:dyDescent="0.2">
      <c r="A73" s="79"/>
      <c r="B73" s="79"/>
      <c r="D73" s="79"/>
      <c r="E73" s="79"/>
      <c r="F73" s="79"/>
      <c r="G73" s="232"/>
      <c r="H73" s="232"/>
      <c r="I73" s="232"/>
      <c r="J73" s="232"/>
      <c r="K73" s="232"/>
      <c r="L73" s="232"/>
      <c r="M73" s="232"/>
      <c r="R73" s="728"/>
    </row>
    <row r="74" spans="1:18" s="68" customFormat="1" x14ac:dyDescent="0.2">
      <c r="A74" s="67"/>
      <c r="B74" s="67"/>
      <c r="D74" s="79"/>
      <c r="E74" s="67"/>
      <c r="F74" s="67"/>
      <c r="G74" s="232"/>
      <c r="H74" s="232"/>
      <c r="I74" s="232"/>
      <c r="J74" s="232"/>
      <c r="K74" s="232"/>
      <c r="L74" s="232"/>
      <c r="M74" s="232"/>
      <c r="R74" s="728"/>
    </row>
    <row r="75" spans="1:18" s="68" customFormat="1" ht="23.25" x14ac:dyDescent="0.2">
      <c r="A75" s="67"/>
      <c r="B75" s="271"/>
      <c r="C75" s="67"/>
      <c r="D75" s="67"/>
      <c r="E75" s="67"/>
      <c r="F75" s="67"/>
      <c r="G75" s="237"/>
      <c r="H75" s="237"/>
      <c r="I75" s="237"/>
      <c r="J75" s="237"/>
      <c r="K75" s="237"/>
      <c r="L75" s="237"/>
      <c r="M75" s="237"/>
      <c r="R75" s="728"/>
    </row>
    <row r="76" spans="1:18" s="68" customFormat="1" x14ac:dyDescent="0.2">
      <c r="A76" s="67"/>
      <c r="B76" s="67"/>
      <c r="C76" s="67"/>
      <c r="D76" s="67"/>
      <c r="E76" s="67"/>
      <c r="F76" s="67"/>
      <c r="G76" s="232"/>
      <c r="H76" s="232"/>
      <c r="I76" s="232"/>
      <c r="J76" s="232"/>
      <c r="K76" s="232"/>
      <c r="L76" s="232"/>
      <c r="M76" s="232"/>
      <c r="R76" s="728"/>
    </row>
    <row r="77" spans="1:18" s="82" customFormat="1" ht="26.25" x14ac:dyDescent="0.2">
      <c r="A77" s="268"/>
      <c r="B77" s="268"/>
      <c r="C77" s="268"/>
      <c r="D77" s="268"/>
      <c r="E77" s="268"/>
      <c r="F77" s="268"/>
      <c r="G77" s="269"/>
      <c r="H77" s="237"/>
      <c r="I77" s="237"/>
      <c r="J77" s="237"/>
      <c r="K77" s="237"/>
      <c r="L77" s="237"/>
      <c r="M77" s="237"/>
      <c r="R77" s="730"/>
    </row>
    <row r="78" spans="1:18" s="18" customFormat="1" x14ac:dyDescent="0.3">
      <c r="A78" s="122"/>
      <c r="B78" s="122"/>
      <c r="C78" s="122"/>
      <c r="D78" s="122"/>
      <c r="E78" s="122"/>
      <c r="F78" s="122"/>
      <c r="G78" s="272"/>
      <c r="H78" s="277"/>
      <c r="I78" s="277"/>
      <c r="J78" s="277"/>
      <c r="K78" s="277"/>
      <c r="L78" s="277"/>
      <c r="M78" s="277"/>
      <c r="R78" s="731"/>
    </row>
    <row r="79" spans="1:18" x14ac:dyDescent="0.3">
      <c r="H79" s="277"/>
      <c r="I79" s="277"/>
      <c r="J79" s="277"/>
      <c r="K79" s="277"/>
      <c r="L79" s="277"/>
      <c r="M79" s="277"/>
    </row>
    <row r="80" spans="1:18" x14ac:dyDescent="0.3">
      <c r="H80" s="277"/>
      <c r="I80" s="277"/>
      <c r="J80" s="277"/>
      <c r="K80" s="277"/>
      <c r="L80" s="277"/>
      <c r="M80" s="277"/>
    </row>
    <row r="81" spans="8:13" x14ac:dyDescent="0.3">
      <c r="H81" s="274"/>
      <c r="I81" s="274"/>
      <c r="J81" s="274"/>
      <c r="K81" s="274"/>
      <c r="L81" s="274"/>
      <c r="M81" s="274"/>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3"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94</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213</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378</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0"/>
      <c r="H4" s="59"/>
      <c r="I4" s="59"/>
      <c r="J4" s="59"/>
      <c r="K4" s="59"/>
      <c r="L4" s="462"/>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1"/>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108</v>
      </c>
      <c r="B6" s="64"/>
      <c r="C6" s="64"/>
      <c r="D6" s="64"/>
      <c r="E6" s="64"/>
      <c r="F6" s="64"/>
      <c r="G6" s="694"/>
      <c r="H6" s="240" t="s">
        <v>49</v>
      </c>
      <c r="I6" s="240"/>
      <c r="J6" s="974" t="s">
        <v>49</v>
      </c>
      <c r="K6" s="974"/>
      <c r="L6" s="974"/>
      <c r="M6" s="974"/>
      <c r="N6" s="65"/>
      <c r="O6" s="415" t="s">
        <v>181</v>
      </c>
      <c r="P6" s="412" t="s">
        <v>193</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2"/>
    </row>
    <row r="8" spans="1:128" s="72" customFormat="1" ht="21" thickBot="1" x14ac:dyDescent="0.35">
      <c r="A8" s="69"/>
      <c r="B8" s="153" t="s">
        <v>100</v>
      </c>
      <c r="C8" s="153"/>
      <c r="D8" s="153"/>
      <c r="E8" s="153"/>
      <c r="F8" s="153"/>
      <c r="G8" s="281">
        <v>41090</v>
      </c>
      <c r="H8" s="281">
        <v>41274</v>
      </c>
      <c r="I8" s="323"/>
      <c r="J8" s="667">
        <v>43830</v>
      </c>
      <c r="K8" s="668">
        <f>'February''23 State of Activities'!H8</f>
        <v>44926</v>
      </c>
      <c r="L8" s="669"/>
      <c r="M8" s="667">
        <v>44196</v>
      </c>
      <c r="N8" s="71"/>
      <c r="O8" s="1037" t="s">
        <v>381</v>
      </c>
      <c r="P8" s="1037"/>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0" t="s">
        <v>150</v>
      </c>
      <c r="D9" s="420"/>
      <c r="E9" s="420"/>
      <c r="F9" s="73"/>
      <c r="G9" s="264">
        <v>127719</v>
      </c>
      <c r="H9" s="264">
        <v>67566.5</v>
      </c>
      <c r="I9" s="322"/>
      <c r="J9" s="326">
        <v>160000</v>
      </c>
      <c r="K9" s="326">
        <f>'February''23 State of Activities'!H10</f>
        <v>84477.91</v>
      </c>
      <c r="L9" s="326"/>
      <c r="M9" s="326">
        <v>160000</v>
      </c>
      <c r="N9" s="68"/>
      <c r="O9" s="378">
        <f>M9-J9</f>
        <v>0</v>
      </c>
      <c r="P9" s="413">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0" t="s">
        <v>214</v>
      </c>
      <c r="D10" s="420"/>
      <c r="E10" s="420"/>
      <c r="F10" s="73"/>
      <c r="G10" s="263">
        <v>875436</v>
      </c>
      <c r="H10" s="263">
        <v>372424.1</v>
      </c>
      <c r="I10" s="326"/>
      <c r="J10" s="322">
        <v>5000</v>
      </c>
      <c r="K10" s="322">
        <f>10471.96+(5268.48+3381.01)*1.14</f>
        <v>20332.378599999996</v>
      </c>
      <c r="L10" s="326"/>
      <c r="M10" s="322">
        <v>10000</v>
      </c>
      <c r="N10" s="68"/>
      <c r="O10" s="506">
        <f>M10-J10</f>
        <v>5000</v>
      </c>
      <c r="P10" s="436">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0" t="s">
        <v>102</v>
      </c>
      <c r="D11" s="420"/>
      <c r="E11" s="420"/>
      <c r="F11" s="73"/>
      <c r="G11" s="264"/>
      <c r="H11" s="264"/>
      <c r="I11" s="322"/>
      <c r="J11" s="322"/>
      <c r="K11" s="322"/>
      <c r="L11" s="322"/>
      <c r="M11" s="322"/>
      <c r="N11" s="68"/>
      <c r="O11" s="506"/>
      <c r="P11" s="424"/>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0" t="s">
        <v>215</v>
      </c>
      <c r="E12" s="420"/>
      <c r="F12" s="73"/>
      <c r="G12" s="264">
        <v>94235.25</v>
      </c>
      <c r="H12" s="264">
        <v>37190.379999999997</v>
      </c>
      <c r="I12" s="322"/>
      <c r="J12" s="322">
        <f>3708.33*12</f>
        <v>44499.96</v>
      </c>
      <c r="K12" s="322">
        <f>3541.67*12</f>
        <v>42500.04</v>
      </c>
      <c r="L12" s="322"/>
      <c r="M12" s="322">
        <v>44500</v>
      </c>
      <c r="N12" s="68"/>
      <c r="O12" s="506">
        <f t="shared" ref="O12:O19" si="0">M12-J12</f>
        <v>4.0000000000873115E-2</v>
      </c>
      <c r="P12" s="436">
        <f t="shared" ref="P12:P18" si="1">O12/M12</f>
        <v>8.9887640451400261E-7</v>
      </c>
      <c r="Q12" s="68"/>
      <c r="R12" s="468"/>
      <c r="S12" s="469"/>
      <c r="T12" s="468"/>
      <c r="U12" s="4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0" t="s">
        <v>159</v>
      </c>
      <c r="E13" s="420"/>
      <c r="F13" s="73"/>
      <c r="G13" s="264"/>
      <c r="H13" s="264"/>
      <c r="I13" s="322"/>
      <c r="J13" s="322">
        <v>13000</v>
      </c>
      <c r="K13" s="322">
        <f>750*12</f>
        <v>9000</v>
      </c>
      <c r="L13" s="322"/>
      <c r="M13" s="322">
        <v>18000</v>
      </c>
      <c r="N13" s="68"/>
      <c r="O13" s="506">
        <f t="shared" si="0"/>
        <v>5000</v>
      </c>
      <c r="P13" s="436">
        <f t="shared" si="1"/>
        <v>0.27777777777777779</v>
      </c>
      <c r="Q13" s="68"/>
      <c r="R13" s="68"/>
      <c r="S13" s="387"/>
      <c r="T13" s="470"/>
      <c r="U13" s="361"/>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0" t="s">
        <v>103</v>
      </c>
      <c r="D14" s="420"/>
      <c r="E14" s="420"/>
      <c r="F14" s="73"/>
      <c r="G14" s="264">
        <v>0</v>
      </c>
      <c r="H14" s="264">
        <v>3517</v>
      </c>
      <c r="I14" s="322"/>
      <c r="J14" s="322">
        <v>15000</v>
      </c>
      <c r="K14" s="322">
        <f>'February''23 State of Activities'!H18</f>
        <v>17485.37</v>
      </c>
      <c r="L14" s="322"/>
      <c r="M14" s="322">
        <v>20000</v>
      </c>
      <c r="N14" s="68"/>
      <c r="O14" s="506">
        <f t="shared" si="0"/>
        <v>5000</v>
      </c>
      <c r="P14" s="436">
        <f t="shared" si="1"/>
        <v>0.25</v>
      </c>
      <c r="Q14" s="68"/>
      <c r="R14" s="68"/>
      <c r="S14" s="387"/>
      <c r="T14" s="470"/>
      <c r="U14" s="361"/>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0" t="s">
        <v>379</v>
      </c>
      <c r="D15" s="420"/>
      <c r="E15" s="420"/>
      <c r="F15" s="73"/>
      <c r="G15" s="264">
        <v>31459</v>
      </c>
      <c r="H15" s="264">
        <v>13920.35</v>
      </c>
      <c r="I15" s="322"/>
      <c r="J15" s="322">
        <v>25000</v>
      </c>
      <c r="K15" s="322">
        <v>25000</v>
      </c>
      <c r="L15" s="322"/>
      <c r="M15" s="322">
        <v>25000</v>
      </c>
      <c r="N15" s="68"/>
      <c r="O15" s="506">
        <f t="shared" si="0"/>
        <v>0</v>
      </c>
      <c r="P15" s="436">
        <f t="shared" si="1"/>
        <v>0</v>
      </c>
      <c r="Q15" s="68"/>
      <c r="R15" s="68"/>
      <c r="S15" s="387"/>
      <c r="T15" s="470"/>
      <c r="U15" s="361"/>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0" t="s">
        <v>380</v>
      </c>
      <c r="D16" s="420"/>
      <c r="E16" s="420"/>
      <c r="F16" s="73"/>
      <c r="G16" s="264"/>
      <c r="H16" s="264"/>
      <c r="I16" s="322"/>
      <c r="J16" s="322">
        <v>20000</v>
      </c>
      <c r="K16" s="322"/>
      <c r="L16" s="322"/>
      <c r="M16" s="322">
        <v>15000</v>
      </c>
      <c r="N16" s="68"/>
      <c r="O16" s="506">
        <f t="shared" si="0"/>
        <v>-5000</v>
      </c>
      <c r="P16" s="436">
        <f t="shared" si="1"/>
        <v>-0.33333333333333331</v>
      </c>
      <c r="Q16" s="68"/>
      <c r="R16" s="68"/>
      <c r="S16" s="387"/>
      <c r="T16" s="470"/>
      <c r="U16" s="361"/>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0" t="s">
        <v>335</v>
      </c>
      <c r="D17" s="420"/>
      <c r="E17" s="420"/>
      <c r="F17" s="73"/>
      <c r="G17" s="264"/>
      <c r="H17" s="264"/>
      <c r="I17" s="322"/>
      <c r="J17" s="322">
        <v>2000</v>
      </c>
      <c r="K17" s="322"/>
      <c r="L17" s="322"/>
      <c r="M17" s="322">
        <v>1000</v>
      </c>
      <c r="N17" s="68"/>
      <c r="O17" s="506">
        <f t="shared" si="0"/>
        <v>-1000</v>
      </c>
      <c r="P17" s="436">
        <f t="shared" si="1"/>
        <v>-1</v>
      </c>
      <c r="Q17" s="68"/>
      <c r="R17" s="68"/>
      <c r="S17" s="387"/>
      <c r="T17" s="470"/>
      <c r="U17" s="361"/>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1036" t="s">
        <v>338</v>
      </c>
      <c r="D18" s="1036"/>
      <c r="E18" s="1036"/>
      <c r="F18" s="1036"/>
      <c r="G18" s="264"/>
      <c r="H18" s="264"/>
      <c r="I18" s="322"/>
      <c r="J18" s="322">
        <v>2000</v>
      </c>
      <c r="K18" s="322"/>
      <c r="L18" s="322"/>
      <c r="M18" s="322">
        <v>3000</v>
      </c>
      <c r="N18" s="68"/>
      <c r="O18" s="506">
        <f t="shared" si="0"/>
        <v>1000</v>
      </c>
      <c r="P18" s="436">
        <f t="shared" si="1"/>
        <v>0.33333333333333331</v>
      </c>
      <c r="Q18" s="68"/>
      <c r="R18" s="68"/>
      <c r="S18" s="387"/>
      <c r="T18" s="470"/>
      <c r="U18" s="361"/>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0" t="s">
        <v>382</v>
      </c>
      <c r="D19" s="420"/>
      <c r="E19" s="420"/>
      <c r="F19" s="73"/>
      <c r="G19" s="264">
        <v>1125</v>
      </c>
      <c r="H19" s="264">
        <v>6050</v>
      </c>
      <c r="I19" s="322"/>
      <c r="J19" s="322">
        <v>2000</v>
      </c>
      <c r="K19" s="322" t="e">
        <f>'February''23 State of Activities'!#REF!</f>
        <v>#REF!</v>
      </c>
      <c r="L19" s="322"/>
      <c r="M19" s="322" t="e">
        <f>'February''23 State of Activities'!#REF!</f>
        <v>#REF!</v>
      </c>
      <c r="N19" s="68"/>
      <c r="O19" s="506" t="e">
        <f t="shared" si="0"/>
        <v>#REF!</v>
      </c>
      <c r="P19" s="436"/>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1036" t="s">
        <v>336</v>
      </c>
      <c r="D20" s="1036"/>
      <c r="E20" s="1036"/>
      <c r="F20" s="1036"/>
      <c r="G20" s="264"/>
      <c r="H20" s="264"/>
      <c r="I20" s="322"/>
      <c r="J20" s="322"/>
      <c r="K20" s="322">
        <v>659.25</v>
      </c>
      <c r="L20" s="322"/>
      <c r="M20" s="322"/>
      <c r="N20" s="68"/>
      <c r="O20" s="506">
        <f>J20-M20</f>
        <v>0</v>
      </c>
      <c r="P20" s="436"/>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0" t="s">
        <v>217</v>
      </c>
      <c r="D21" s="420"/>
      <c r="E21" s="420"/>
      <c r="F21" s="73"/>
      <c r="G21" s="265">
        <v>31250</v>
      </c>
      <c r="H21" s="265">
        <v>15624.98</v>
      </c>
      <c r="I21" s="322"/>
      <c r="J21" s="265">
        <v>9315</v>
      </c>
      <c r="K21" s="265">
        <f>'February''23 State of Activities'!H25*0.2</f>
        <v>10548</v>
      </c>
      <c r="L21" s="322"/>
      <c r="M21" s="265">
        <v>9315</v>
      </c>
      <c r="N21" s="68"/>
      <c r="O21" s="507">
        <f>J21-M21</f>
        <v>0</v>
      </c>
      <c r="P21" s="414">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0"/>
      <c r="D22" s="73" t="s">
        <v>105</v>
      </c>
      <c r="E22" s="420"/>
      <c r="F22" s="73"/>
      <c r="G22" s="234">
        <v>1161224.25</v>
      </c>
      <c r="H22" s="234">
        <v>516293.30999999994</v>
      </c>
      <c r="I22" s="232"/>
      <c r="J22" s="264">
        <f>SUM(J9:J21)</f>
        <v>297814.95999999996</v>
      </c>
      <c r="K22" s="264" t="e">
        <f>SUM(K9:K21)</f>
        <v>#REF!</v>
      </c>
      <c r="L22" s="322"/>
      <c r="M22" s="264" t="e">
        <f>SUM(M9:M21)</f>
        <v>#REF!</v>
      </c>
      <c r="N22" s="68"/>
      <c r="O22" s="275" t="e">
        <f>SUM(O9:O21)</f>
        <v>#REF!</v>
      </c>
      <c r="P22" s="436" t="e">
        <f>O22/M22</f>
        <v>#REF!</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218</v>
      </c>
      <c r="D23" s="420"/>
      <c r="E23" s="420"/>
      <c r="F23" s="73"/>
      <c r="G23" s="241">
        <v>150176</v>
      </c>
      <c r="H23" s="241">
        <v>47700.27</v>
      </c>
      <c r="I23" s="232"/>
      <c r="J23" s="322">
        <v>19000</v>
      </c>
      <c r="K23" s="322">
        <v>19000</v>
      </c>
      <c r="L23" s="322"/>
      <c r="M23" s="322">
        <v>19000</v>
      </c>
      <c r="N23" s="68"/>
      <c r="O23" s="506">
        <f>J23-M23</f>
        <v>0</v>
      </c>
      <c r="P23" s="413">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219</v>
      </c>
      <c r="D24" s="420"/>
      <c r="E24" s="420"/>
      <c r="F24" s="73"/>
      <c r="G24" s="232"/>
      <c r="H24" s="232"/>
      <c r="I24" s="232"/>
      <c r="J24" s="265">
        <v>40000</v>
      </c>
      <c r="K24" s="265">
        <v>37641.19</v>
      </c>
      <c r="L24" s="322"/>
      <c r="M24" s="265">
        <v>38000</v>
      </c>
      <c r="N24" s="68"/>
      <c r="O24" s="377">
        <f>M24-J24</f>
        <v>-2000</v>
      </c>
      <c r="P24" s="463">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0"/>
      <c r="D25" s="73" t="s">
        <v>107</v>
      </c>
      <c r="E25" s="420"/>
      <c r="F25" s="73"/>
      <c r="G25" s="234">
        <v>1311400.25</v>
      </c>
      <c r="H25" s="234">
        <v>563993.57999999996</v>
      </c>
      <c r="I25" s="232"/>
      <c r="J25" s="264">
        <f>SUM(J22:J24)</f>
        <v>356814.95999999996</v>
      </c>
      <c r="K25" s="264" t="e">
        <f>SUM(K22:K24)</f>
        <v>#REF!</v>
      </c>
      <c r="L25" s="322"/>
      <c r="M25" s="264" t="e">
        <f>SUM(M22:M24)</f>
        <v>#REF!</v>
      </c>
      <c r="N25" s="68"/>
      <c r="O25" s="275" t="e">
        <f>M25-J25</f>
        <v>#REF!</v>
      </c>
      <c r="P25" s="436" t="e">
        <f>O25/M25</f>
        <v>#REF!</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0"/>
      <c r="D26" s="73"/>
      <c r="E26" s="420"/>
      <c r="F26" s="73"/>
      <c r="G26" s="234"/>
      <c r="H26" s="234"/>
      <c r="I26" s="232"/>
      <c r="J26" s="322"/>
      <c r="K26" s="322"/>
      <c r="L26" s="322"/>
      <c r="M26" s="322"/>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111</v>
      </c>
      <c r="C27" s="87"/>
      <c r="D27" s="87"/>
      <c r="E27" s="87"/>
      <c r="F27" s="87"/>
      <c r="G27" s="241"/>
      <c r="H27" s="68"/>
      <c r="I27" s="68"/>
      <c r="J27" s="322"/>
      <c r="K27" s="368"/>
      <c r="L27" s="368"/>
      <c r="M27" s="3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220</v>
      </c>
      <c r="D28" s="79"/>
      <c r="E28" s="79"/>
      <c r="F28" s="79"/>
      <c r="G28" s="232">
        <v>733747.79999999993</v>
      </c>
      <c r="H28" s="275">
        <v>361976</v>
      </c>
      <c r="I28" s="275"/>
      <c r="J28" s="322"/>
      <c r="K28" s="399"/>
      <c r="L28" s="399"/>
      <c r="M28" s="399"/>
    </row>
    <row r="29" spans="1:61" s="68" customFormat="1" ht="20.25" x14ac:dyDescent="0.2">
      <c r="A29" s="67"/>
      <c r="B29" s="67"/>
      <c r="C29" s="79"/>
      <c r="D29" s="976" t="s">
        <v>221</v>
      </c>
      <c r="E29" s="976"/>
      <c r="F29" s="976"/>
      <c r="G29" s="232"/>
      <c r="H29" s="275"/>
      <c r="I29" s="275"/>
      <c r="J29" s="699">
        <f>110984.34+54648</f>
        <v>165632.34</v>
      </c>
      <c r="K29" s="699">
        <v>146508.01999999999</v>
      </c>
      <c r="L29" s="699"/>
      <c r="M29" s="699">
        <v>170000</v>
      </c>
      <c r="O29" s="506">
        <f t="shared" ref="O29:O47" si="2">M29-J29</f>
        <v>4367.6600000000035</v>
      </c>
      <c r="P29" s="436">
        <f>O29/M29</f>
        <v>2.5692117647058844E-2</v>
      </c>
    </row>
    <row r="30" spans="1:61" s="68" customFormat="1" ht="20.25" x14ac:dyDescent="0.2">
      <c r="A30" s="67"/>
      <c r="B30" s="67"/>
      <c r="C30" s="79"/>
      <c r="D30" s="976" t="s">
        <v>222</v>
      </c>
      <c r="E30" s="976"/>
      <c r="F30" s="976"/>
      <c r="G30" s="232"/>
      <c r="H30" s="275"/>
      <c r="I30" s="275"/>
      <c r="J30" s="699">
        <v>63684</v>
      </c>
      <c r="K30" s="699">
        <f>35778.69+23251.49+605.09+292.95</f>
        <v>59928.22</v>
      </c>
      <c r="L30" s="699"/>
      <c r="M30" s="699">
        <f>(22.5*(64*26+100))+(19.06*(50*26+100))</f>
        <v>66374</v>
      </c>
      <c r="O30" s="506">
        <f t="shared" si="2"/>
        <v>2690</v>
      </c>
      <c r="P30" s="436">
        <f>O30/M30</f>
        <v>4.0527917558079968E-2</v>
      </c>
      <c r="R30" s="262"/>
    </row>
    <row r="31" spans="1:61" s="68" customFormat="1" ht="20.25" x14ac:dyDescent="0.2">
      <c r="A31" s="67"/>
      <c r="B31" s="67"/>
      <c r="C31" s="79"/>
      <c r="D31" s="976" t="s">
        <v>113</v>
      </c>
      <c r="E31" s="976"/>
      <c r="F31" s="976"/>
      <c r="G31" s="232"/>
      <c r="H31" s="275"/>
      <c r="I31" s="275"/>
      <c r="J31" s="699">
        <f>(J29+J30)*0.185</f>
        <v>42423.522899999996</v>
      </c>
      <c r="K31" s="699">
        <f>(K29+K30)*0.192</f>
        <v>39635.75808</v>
      </c>
      <c r="L31" s="699"/>
      <c r="M31" s="699">
        <f>(M29+M30)*0.185</f>
        <v>43729.19</v>
      </c>
      <c r="O31" s="506">
        <f t="shared" si="2"/>
        <v>1305.667100000006</v>
      </c>
      <c r="P31" s="436">
        <f>O31/M31</f>
        <v>2.9858021609821858E-2</v>
      </c>
    </row>
    <row r="32" spans="1:61" s="68" customFormat="1" ht="20.25" x14ac:dyDescent="0.2">
      <c r="A32" s="67"/>
      <c r="B32" s="67"/>
      <c r="C32" s="79" t="s">
        <v>278</v>
      </c>
      <c r="D32" s="79"/>
      <c r="E32" s="79"/>
      <c r="F32" s="79"/>
      <c r="G32" s="232">
        <v>44745.18</v>
      </c>
      <c r="H32" s="232">
        <v>20974.21</v>
      </c>
      <c r="I32" s="232"/>
      <c r="J32" s="699"/>
      <c r="K32" s="700"/>
      <c r="L32" s="699"/>
      <c r="M32" s="699"/>
      <c r="O32" s="506">
        <f t="shared" si="2"/>
        <v>0</v>
      </c>
      <c r="P32" s="436"/>
    </row>
    <row r="33" spans="1:16" s="68" customFormat="1" ht="20.25" x14ac:dyDescent="0.2">
      <c r="A33" s="67"/>
      <c r="B33" s="67"/>
      <c r="C33" s="79"/>
      <c r="D33" s="976" t="s">
        <v>223</v>
      </c>
      <c r="E33" s="976"/>
      <c r="F33" s="976"/>
      <c r="G33" s="232"/>
      <c r="H33" s="232"/>
      <c r="I33" s="232"/>
      <c r="J33" s="699">
        <f>17368.36/8*12</f>
        <v>26052.54</v>
      </c>
      <c r="K33" s="699">
        <v>27183.82</v>
      </c>
      <c r="L33" s="699"/>
      <c r="M33" s="699">
        <v>27500</v>
      </c>
      <c r="O33" s="506">
        <f t="shared" si="2"/>
        <v>1447.4599999999991</v>
      </c>
      <c r="P33" s="436">
        <f t="shared" ref="P33:P40" si="3">O33/M33</f>
        <v>5.2634909090909059E-2</v>
      </c>
    </row>
    <row r="34" spans="1:16" s="68" customFormat="1" ht="20.25" x14ac:dyDescent="0.2">
      <c r="A34" s="67"/>
      <c r="B34" s="67"/>
      <c r="C34" s="79"/>
      <c r="D34" s="976" t="s">
        <v>224</v>
      </c>
      <c r="E34" s="976"/>
      <c r="F34" s="976"/>
      <c r="G34" s="232"/>
      <c r="H34" s="232"/>
      <c r="I34" s="232"/>
      <c r="J34" s="699">
        <f>12089.81/8*12+800-400</f>
        <v>18534.715</v>
      </c>
      <c r="K34" s="699">
        <v>15510.83</v>
      </c>
      <c r="L34" s="699"/>
      <c r="M34" s="699">
        <v>19374</v>
      </c>
      <c r="O34" s="506">
        <f t="shared" si="2"/>
        <v>839.28499999999985</v>
      </c>
      <c r="P34" s="436">
        <f t="shared" si="3"/>
        <v>4.3320171363683282E-2</v>
      </c>
    </row>
    <row r="35" spans="1:16" s="68" customFormat="1" ht="20.25" x14ac:dyDescent="0.2">
      <c r="A35" s="67"/>
      <c r="B35" s="67"/>
      <c r="C35" s="79"/>
      <c r="D35" s="976" t="s">
        <v>304</v>
      </c>
      <c r="E35" s="976"/>
      <c r="F35" s="976"/>
      <c r="G35" s="232"/>
      <c r="H35" s="232"/>
      <c r="I35" s="232"/>
      <c r="J35" s="699">
        <f>10143.6/8*12</f>
        <v>15215.400000000001</v>
      </c>
      <c r="K35" s="699">
        <v>12450.36</v>
      </c>
      <c r="L35" s="699"/>
      <c r="M35" s="699">
        <v>15000</v>
      </c>
      <c r="O35" s="506">
        <f t="shared" si="2"/>
        <v>-215.40000000000146</v>
      </c>
      <c r="P35" s="436">
        <f t="shared" si="3"/>
        <v>-1.4360000000000097E-2</v>
      </c>
    </row>
    <row r="36" spans="1:16" s="68" customFormat="1" ht="20.25" x14ac:dyDescent="0.2">
      <c r="A36" s="67"/>
      <c r="B36" s="67"/>
      <c r="C36" s="79"/>
      <c r="D36" s="976" t="s">
        <v>225</v>
      </c>
      <c r="E36" s="976"/>
      <c r="F36" s="976"/>
      <c r="G36" s="232"/>
      <c r="H36" s="232"/>
      <c r="I36" s="232"/>
      <c r="J36" s="699">
        <v>513.5</v>
      </c>
      <c r="K36" s="699">
        <v>377</v>
      </c>
      <c r="L36" s="699"/>
      <c r="M36" s="699">
        <v>250</v>
      </c>
      <c r="O36" s="506">
        <f t="shared" si="2"/>
        <v>-263.5</v>
      </c>
      <c r="P36" s="436">
        <f t="shared" si="3"/>
        <v>-1.054</v>
      </c>
    </row>
    <row r="37" spans="1:16" s="68" customFormat="1" ht="20.25" x14ac:dyDescent="0.2">
      <c r="A37" s="67"/>
      <c r="B37" s="67"/>
      <c r="C37" s="79" t="s">
        <v>226</v>
      </c>
      <c r="D37" s="79"/>
      <c r="E37" s="79"/>
      <c r="F37" s="79"/>
      <c r="G37" s="232">
        <v>27200</v>
      </c>
      <c r="H37" s="232">
        <v>11327</v>
      </c>
      <c r="I37" s="232"/>
      <c r="J37" s="699">
        <f>22772+1411</f>
        <v>24183</v>
      </c>
      <c r="K37" s="699">
        <v>25080</v>
      </c>
      <c r="L37" s="699"/>
      <c r="M37" s="699">
        <f>20430+6774</f>
        <v>27204</v>
      </c>
      <c r="O37" s="506">
        <f t="shared" si="2"/>
        <v>3021</v>
      </c>
      <c r="P37" s="436">
        <f t="shared" si="3"/>
        <v>0.11104984561093957</v>
      </c>
    </row>
    <row r="38" spans="1:16" s="68" customFormat="1" ht="20.25" x14ac:dyDescent="0.2">
      <c r="A38" s="67"/>
      <c r="B38" s="67"/>
      <c r="C38" s="79" t="s">
        <v>104</v>
      </c>
      <c r="D38" s="79"/>
      <c r="E38" s="79"/>
      <c r="F38" s="79"/>
      <c r="G38" s="232">
        <v>150176</v>
      </c>
      <c r="H38" s="275">
        <v>47700.27</v>
      </c>
      <c r="I38" s="275"/>
      <c r="J38" s="699">
        <f>J21</f>
        <v>9315</v>
      </c>
      <c r="K38" s="699">
        <f>K21</f>
        <v>10548</v>
      </c>
      <c r="L38" s="699"/>
      <c r="M38" s="699">
        <f>M21</f>
        <v>9315</v>
      </c>
      <c r="O38" s="506">
        <f t="shared" si="2"/>
        <v>0</v>
      </c>
      <c r="P38" s="436">
        <f t="shared" si="3"/>
        <v>0</v>
      </c>
    </row>
    <row r="39" spans="1:16" s="68" customFormat="1" ht="20.25" x14ac:dyDescent="0.2">
      <c r="A39" s="67"/>
      <c r="B39" s="67"/>
      <c r="C39" s="79" t="s">
        <v>313</v>
      </c>
      <c r="D39" s="79"/>
      <c r="E39" s="79"/>
      <c r="F39" s="79"/>
      <c r="G39" s="232"/>
      <c r="H39" s="275"/>
      <c r="I39" s="275"/>
      <c r="J39" s="699">
        <f>2845+(332.08+24.92)*4</f>
        <v>4273</v>
      </c>
      <c r="K39" s="699">
        <v>4075</v>
      </c>
      <c r="L39" s="699"/>
      <c r="M39" s="699">
        <f>360*12</f>
        <v>4320</v>
      </c>
      <c r="O39" s="506">
        <f t="shared" si="2"/>
        <v>47</v>
      </c>
      <c r="P39" s="436">
        <f t="shared" si="3"/>
        <v>1.087962962962963E-2</v>
      </c>
    </row>
    <row r="40" spans="1:16" s="68" customFormat="1" ht="20.25" x14ac:dyDescent="0.2">
      <c r="A40" s="67"/>
      <c r="B40" s="67"/>
      <c r="C40" s="79" t="s">
        <v>227</v>
      </c>
      <c r="D40" s="79"/>
      <c r="E40" s="79"/>
      <c r="F40" s="79"/>
      <c r="G40" s="232"/>
      <c r="H40" s="275"/>
      <c r="I40" s="275"/>
      <c r="J40" s="699">
        <f>393+75</f>
        <v>468</v>
      </c>
      <c r="K40" s="699">
        <v>1496.32</v>
      </c>
      <c r="L40" s="699"/>
      <c r="M40" s="699">
        <v>500</v>
      </c>
      <c r="O40" s="506">
        <f t="shared" si="2"/>
        <v>32</v>
      </c>
      <c r="P40" s="436">
        <f t="shared" si="3"/>
        <v>6.4000000000000001E-2</v>
      </c>
    </row>
    <row r="41" spans="1:16" s="68" customFormat="1" ht="20.25" x14ac:dyDescent="0.2">
      <c r="A41" s="67"/>
      <c r="B41" s="67"/>
      <c r="C41" s="79" t="s">
        <v>383</v>
      </c>
      <c r="D41" s="79"/>
      <c r="E41" s="79"/>
      <c r="F41" s="79"/>
      <c r="G41" s="232">
        <v>10993.12</v>
      </c>
      <c r="H41" s="275">
        <v>4904.57</v>
      </c>
      <c r="I41" s="275"/>
      <c r="J41" s="699">
        <f>2414+307*4</f>
        <v>3642</v>
      </c>
      <c r="K41" s="699">
        <v>3429.9</v>
      </c>
      <c r="L41" s="699"/>
      <c r="M41" s="699">
        <f>307*12</f>
        <v>3684</v>
      </c>
      <c r="O41" s="506">
        <f t="shared" si="2"/>
        <v>42</v>
      </c>
      <c r="P41" s="436">
        <f>O41/M41</f>
        <v>1.1400651465798045E-2</v>
      </c>
    </row>
    <row r="42" spans="1:16" s="68" customFormat="1" ht="20.25" x14ac:dyDescent="0.2">
      <c r="A42" s="67"/>
      <c r="B42" s="67"/>
      <c r="C42" s="79" t="s">
        <v>228</v>
      </c>
      <c r="D42" s="79"/>
      <c r="E42" s="79"/>
      <c r="F42" s="79"/>
      <c r="G42" s="232">
        <v>10250.949999999999</v>
      </c>
      <c r="H42" s="275">
        <v>3982.99</v>
      </c>
      <c r="I42" s="275"/>
      <c r="J42" s="699">
        <v>600</v>
      </c>
      <c r="K42" s="699">
        <f>56.6+402.81</f>
        <v>459.41</v>
      </c>
      <c r="L42" s="699"/>
      <c r="M42" s="699">
        <v>600</v>
      </c>
      <c r="O42" s="506">
        <f t="shared" si="2"/>
        <v>0</v>
      </c>
      <c r="P42" s="436">
        <f>O42/M42</f>
        <v>0</v>
      </c>
    </row>
    <row r="43" spans="1:16" s="68" customFormat="1" ht="20.25" x14ac:dyDescent="0.2">
      <c r="A43" s="67"/>
      <c r="B43" s="67"/>
      <c r="C43" s="79" t="s">
        <v>122</v>
      </c>
      <c r="D43" s="79"/>
      <c r="E43" s="79"/>
      <c r="F43" s="79"/>
      <c r="G43" s="232">
        <v>4412.53</v>
      </c>
      <c r="H43" s="276">
        <v>5667</v>
      </c>
      <c r="I43" s="276"/>
      <c r="J43" s="699">
        <f>122.96+1237.38+391.65</f>
        <v>1751.9900000000002</v>
      </c>
      <c r="K43" s="699">
        <v>1040.8800000000001</v>
      </c>
      <c r="L43" s="701"/>
      <c r="M43" s="701">
        <f>394*4</f>
        <v>1576</v>
      </c>
      <c r="O43" s="506">
        <f t="shared" si="2"/>
        <v>-175.99000000000024</v>
      </c>
      <c r="P43" s="436">
        <f>O43/M43</f>
        <v>-0.11166878172588847</v>
      </c>
    </row>
    <row r="44" spans="1:16" s="68" customFormat="1" ht="20.25" x14ac:dyDescent="0.2">
      <c r="A44" s="67"/>
      <c r="B44" s="67"/>
      <c r="C44" s="79" t="s">
        <v>120</v>
      </c>
      <c r="D44" s="79"/>
      <c r="E44" s="79"/>
      <c r="F44" s="79"/>
      <c r="G44" s="232">
        <v>7901</v>
      </c>
      <c r="H44" s="275">
        <v>4149.6000000000004</v>
      </c>
      <c r="I44" s="275"/>
      <c r="J44" s="699">
        <f>367.55/8*12</f>
        <v>551.32500000000005</v>
      </c>
      <c r="K44" s="699">
        <v>436.35</v>
      </c>
      <c r="L44" s="699"/>
      <c r="M44" s="699">
        <v>600</v>
      </c>
      <c r="O44" s="506">
        <f t="shared" si="2"/>
        <v>48.674999999999955</v>
      </c>
      <c r="P44" s="436">
        <f>O44/M44</f>
        <v>8.1124999999999919E-2</v>
      </c>
    </row>
    <row r="45" spans="1:16" s="68" customFormat="1" ht="20.25" hidden="1" x14ac:dyDescent="0.2">
      <c r="A45" s="67"/>
      <c r="B45" s="67"/>
      <c r="C45" s="79" t="s">
        <v>229</v>
      </c>
      <c r="D45" s="79"/>
      <c r="E45" s="79"/>
      <c r="F45" s="79"/>
      <c r="G45" s="232"/>
      <c r="H45" s="275"/>
      <c r="I45" s="275"/>
      <c r="J45" s="699"/>
      <c r="K45" s="699"/>
      <c r="L45" s="699"/>
      <c r="M45" s="699">
        <v>0</v>
      </c>
      <c r="O45" s="506">
        <f t="shared" si="2"/>
        <v>0</v>
      </c>
      <c r="P45" s="436"/>
    </row>
    <row r="46" spans="1:16" s="76" customFormat="1" ht="20.25" x14ac:dyDescent="0.2">
      <c r="A46" s="79"/>
      <c r="B46" s="79"/>
      <c r="C46" s="79" t="s">
        <v>116</v>
      </c>
      <c r="D46" s="79"/>
      <c r="E46" s="79"/>
      <c r="F46" s="79"/>
      <c r="G46" s="232">
        <v>5428.37</v>
      </c>
      <c r="H46" s="275">
        <v>2024.52</v>
      </c>
      <c r="I46" s="275"/>
      <c r="J46" s="699">
        <f>208.6/8*12</f>
        <v>312.89999999999998</v>
      </c>
      <c r="K46" s="699">
        <v>205.44</v>
      </c>
      <c r="L46" s="699"/>
      <c r="M46" s="699">
        <v>320</v>
      </c>
      <c r="O46" s="506">
        <f t="shared" si="2"/>
        <v>7.1000000000000227</v>
      </c>
      <c r="P46" s="436">
        <f>O46/M46</f>
        <v>2.2187500000000072E-2</v>
      </c>
    </row>
    <row r="47" spans="1:16" s="76" customFormat="1" ht="20.25" x14ac:dyDescent="0.2">
      <c r="A47" s="79"/>
      <c r="B47" s="79"/>
      <c r="C47" s="79" t="s">
        <v>230</v>
      </c>
      <c r="D47" s="79"/>
      <c r="E47" s="79"/>
      <c r="F47" s="79"/>
      <c r="G47" s="232">
        <v>83462.91</v>
      </c>
      <c r="H47" s="232">
        <v>18995.71</v>
      </c>
      <c r="I47" s="232"/>
      <c r="J47" s="702">
        <v>200</v>
      </c>
      <c r="K47" s="702">
        <f>201.52+30+216.21+94.56</f>
        <v>542.29</v>
      </c>
      <c r="L47" s="699"/>
      <c r="M47" s="699">
        <v>225</v>
      </c>
      <c r="O47" s="506">
        <f t="shared" si="2"/>
        <v>25</v>
      </c>
      <c r="P47" s="508">
        <f>O47/M47</f>
        <v>0.1111111111111111</v>
      </c>
    </row>
    <row r="48" spans="1:16" s="68" customFormat="1" ht="21" thickBot="1" x14ac:dyDescent="0.25">
      <c r="A48" s="67"/>
      <c r="B48" s="67"/>
      <c r="C48" s="67"/>
      <c r="D48" s="73" t="s">
        <v>128</v>
      </c>
      <c r="E48" s="67"/>
      <c r="F48" s="67"/>
      <c r="G48" s="241">
        <v>1078317.8599999999</v>
      </c>
      <c r="H48" s="241">
        <v>481701.87000000005</v>
      </c>
      <c r="I48" s="232"/>
      <c r="J48" s="465">
        <f>SUM(J29:J47)</f>
        <v>377353.23290000006</v>
      </c>
      <c r="K48" s="465">
        <f>SUM(K29:K47)</f>
        <v>348907.59807999997</v>
      </c>
      <c r="L48" s="322"/>
      <c r="M48" s="465">
        <f>SUM(M29:M47)</f>
        <v>390571.19</v>
      </c>
      <c r="O48" s="465">
        <f>J48-M48</f>
        <v>-13217.957099999941</v>
      </c>
      <c r="P48" s="463">
        <f>O48/M48</f>
        <v>-3.384263212040791E-2</v>
      </c>
    </row>
    <row r="49" spans="1:19" s="68" customFormat="1" ht="21" thickBot="1" x14ac:dyDescent="0.25">
      <c r="A49" s="67"/>
      <c r="B49" s="67"/>
      <c r="C49" s="67"/>
      <c r="D49" s="67" t="s">
        <v>129</v>
      </c>
      <c r="E49" s="67"/>
      <c r="F49" s="67"/>
      <c r="G49" s="241">
        <v>233082.39000000013</v>
      </c>
      <c r="H49" s="241">
        <v>82291.709999999905</v>
      </c>
      <c r="I49" s="232"/>
      <c r="J49" s="466">
        <f>J25-J48</f>
        <v>-20538.272900000098</v>
      </c>
      <c r="K49" s="466" t="e">
        <f>K25-K48</f>
        <v>#REF!</v>
      </c>
      <c r="L49" s="322"/>
      <c r="M49" s="466" t="e">
        <f>M25-M48</f>
        <v>#REF!</v>
      </c>
      <c r="O49" s="377" t="e">
        <f>M49-J49</f>
        <v>#REF!</v>
      </c>
      <c r="P49" s="463" t="e">
        <f>O49/M49</f>
        <v>#REF!</v>
      </c>
    </row>
    <row r="50" spans="1:19" s="68" customFormat="1" ht="20.25" x14ac:dyDescent="0.2">
      <c r="A50" s="67"/>
      <c r="B50" s="67"/>
      <c r="C50" s="67"/>
      <c r="D50" s="67"/>
      <c r="E50" s="67"/>
      <c r="F50" s="67"/>
      <c r="G50" s="232"/>
      <c r="H50" s="232"/>
      <c r="I50" s="232"/>
      <c r="J50" s="322"/>
      <c r="K50" s="322"/>
      <c r="L50" s="322"/>
      <c r="M50" s="322"/>
    </row>
    <row r="51" spans="1:19" s="65" customFormat="1" ht="26.25" x14ac:dyDescent="0.2">
      <c r="A51" s="268"/>
      <c r="B51" s="268"/>
      <c r="C51" s="79" t="s">
        <v>265</v>
      </c>
      <c r="E51" s="79"/>
      <c r="F51" s="79"/>
      <c r="G51" s="270"/>
      <c r="H51" s="232"/>
      <c r="I51" s="232"/>
      <c r="J51" s="322">
        <f>-23415.22-24000</f>
        <v>-47415.22</v>
      </c>
      <c r="K51" s="322">
        <v>-44886</v>
      </c>
      <c r="L51" s="322"/>
      <c r="M51" s="322"/>
      <c r="O51" s="275">
        <f>M51-J51</f>
        <v>47415.22</v>
      </c>
      <c r="P51" s="413"/>
      <c r="S51" s="698"/>
    </row>
    <row r="52" spans="1:19" s="68" customFormat="1" ht="20.25" x14ac:dyDescent="0.2">
      <c r="A52" s="67"/>
      <c r="B52" s="67"/>
      <c r="C52" s="79" t="s">
        <v>231</v>
      </c>
      <c r="E52" s="67"/>
      <c r="G52" s="232"/>
      <c r="H52" s="232"/>
      <c r="I52" s="232"/>
      <c r="J52" s="322">
        <f>J37</f>
        <v>24183</v>
      </c>
      <c r="K52" s="322">
        <f>K37</f>
        <v>25080</v>
      </c>
      <c r="L52" s="322"/>
      <c r="M52" s="322">
        <f>M37</f>
        <v>27204</v>
      </c>
      <c r="O52" s="275">
        <f>M52-J52</f>
        <v>3021</v>
      </c>
      <c r="P52" s="413">
        <v>3.5414486921529216E-2</v>
      </c>
    </row>
    <row r="53" spans="1:19" s="68" customFormat="1" ht="24" thickBot="1" x14ac:dyDescent="0.25">
      <c r="A53" s="67"/>
      <c r="B53" s="396"/>
      <c r="C53" s="67"/>
      <c r="D53" s="979" t="s">
        <v>232</v>
      </c>
      <c r="E53" s="979"/>
      <c r="F53" s="979"/>
      <c r="G53" s="232"/>
      <c r="H53" s="232"/>
      <c r="I53" s="232"/>
      <c r="J53" s="467">
        <f>J49+J51+J52</f>
        <v>-43770.492900000099</v>
      </c>
      <c r="K53" s="467" t="e">
        <f>K49+K51+K52</f>
        <v>#REF!</v>
      </c>
      <c r="L53" s="326"/>
      <c r="M53" s="467" t="e">
        <f>M49+M51+M52</f>
        <v>#REF!</v>
      </c>
      <c r="N53" s="387"/>
      <c r="O53" s="464" t="e">
        <f>M53-J53</f>
        <v>#REF!</v>
      </c>
      <c r="P53" s="499">
        <v>2.1062768618503362E-2</v>
      </c>
    </row>
    <row r="54" spans="1:19" s="68" customFormat="1" ht="42" customHeight="1" thickTop="1" x14ac:dyDescent="0.2">
      <c r="A54" s="67"/>
      <c r="B54" s="67"/>
      <c r="C54" s="67"/>
      <c r="D54" s="67"/>
      <c r="E54" s="67"/>
      <c r="F54" s="67"/>
      <c r="G54" s="232"/>
      <c r="H54" s="232"/>
      <c r="I54" s="232"/>
      <c r="J54" s="322"/>
      <c r="K54" s="322"/>
      <c r="L54" s="322"/>
      <c r="M54" s="322"/>
    </row>
    <row r="55" spans="1:19" s="76" customFormat="1" ht="20.25" x14ac:dyDescent="0.2">
      <c r="A55" s="79"/>
      <c r="B55" s="79"/>
      <c r="C55" s="79"/>
      <c r="D55" s="79"/>
      <c r="E55" s="79"/>
      <c r="F55" s="79"/>
      <c r="G55" s="232"/>
      <c r="H55" s="232"/>
      <c r="I55" s="232"/>
      <c r="J55" s="232"/>
      <c r="K55" s="232"/>
      <c r="L55" s="232"/>
      <c r="M55" s="232"/>
    </row>
    <row r="56" spans="1:19" s="76" customFormat="1" ht="20.25" x14ac:dyDescent="0.2">
      <c r="A56" s="79"/>
      <c r="B56" s="79"/>
      <c r="C56" s="79"/>
      <c r="D56" s="79"/>
      <c r="E56" s="79"/>
      <c r="F56" s="79"/>
      <c r="G56" s="232"/>
      <c r="H56" s="232"/>
      <c r="I56" s="232"/>
      <c r="J56" s="232"/>
      <c r="K56" s="232"/>
      <c r="L56" s="232"/>
      <c r="M56" s="232"/>
    </row>
    <row r="57" spans="1:19" s="76" customFormat="1" ht="20.25" x14ac:dyDescent="0.2">
      <c r="A57" s="79"/>
      <c r="B57" s="79"/>
      <c r="C57" s="67"/>
      <c r="D57" s="79"/>
      <c r="F57" s="79"/>
      <c r="G57" s="232"/>
      <c r="H57" s="232"/>
      <c r="I57" s="232"/>
      <c r="J57" s="232"/>
      <c r="K57" s="232"/>
      <c r="L57" s="232"/>
      <c r="M57" s="232"/>
    </row>
    <row r="58" spans="1:19" s="76" customFormat="1" ht="20.25" x14ac:dyDescent="0.2">
      <c r="A58" s="79"/>
      <c r="B58" s="79"/>
      <c r="C58" s="79"/>
      <c r="D58" s="79"/>
      <c r="E58" s="79"/>
      <c r="F58" s="79"/>
      <c r="G58" s="232"/>
      <c r="H58" s="232"/>
      <c r="I58" s="232"/>
      <c r="J58" s="232"/>
      <c r="K58" s="232"/>
      <c r="L58" s="232"/>
      <c r="M58" s="232"/>
    </row>
    <row r="59" spans="1:19" s="68" customFormat="1" ht="20.25" x14ac:dyDescent="0.2">
      <c r="A59" s="67"/>
      <c r="B59" s="67"/>
      <c r="C59" s="67"/>
      <c r="D59" s="67"/>
      <c r="E59" s="67"/>
      <c r="F59" s="67"/>
      <c r="G59" s="237"/>
      <c r="H59" s="237"/>
      <c r="I59" s="237"/>
      <c r="J59" s="237"/>
      <c r="K59" s="237"/>
      <c r="L59" s="237"/>
      <c r="M59" s="237"/>
    </row>
    <row r="60" spans="1:19" s="68" customFormat="1" ht="20.25" x14ac:dyDescent="0.2">
      <c r="A60" s="67"/>
      <c r="B60" s="67"/>
      <c r="C60" s="67"/>
      <c r="D60" s="67"/>
      <c r="E60" s="67"/>
      <c r="F60" s="67"/>
      <c r="G60" s="237"/>
      <c r="H60" s="237"/>
      <c r="I60" s="237"/>
      <c r="J60" s="237"/>
      <c r="K60" s="237"/>
      <c r="L60" s="237"/>
      <c r="M60" s="237"/>
    </row>
    <row r="61" spans="1:19" s="68" customFormat="1" ht="23.25" x14ac:dyDescent="0.2">
      <c r="A61" s="67"/>
      <c r="B61" s="271"/>
      <c r="C61" s="67"/>
      <c r="D61" s="67"/>
      <c r="E61" s="67"/>
      <c r="F61" s="67"/>
      <c r="G61" s="232"/>
      <c r="H61" s="232"/>
      <c r="I61" s="232"/>
      <c r="J61" s="232"/>
      <c r="K61" s="232"/>
      <c r="L61" s="232"/>
      <c r="M61" s="232"/>
    </row>
    <row r="62" spans="1:19" s="76" customFormat="1" ht="20.25" x14ac:dyDescent="0.2">
      <c r="A62" s="79"/>
      <c r="B62" s="79"/>
      <c r="D62" s="79"/>
      <c r="E62" s="79"/>
      <c r="F62" s="79"/>
      <c r="G62" s="232"/>
      <c r="H62" s="232"/>
      <c r="I62" s="232"/>
      <c r="J62" s="232"/>
      <c r="K62" s="232"/>
      <c r="L62" s="232"/>
      <c r="M62" s="232"/>
    </row>
    <row r="63" spans="1:19" s="76" customFormat="1" ht="20.25" x14ac:dyDescent="0.2">
      <c r="A63" s="79"/>
      <c r="B63" s="79"/>
      <c r="D63" s="79"/>
      <c r="E63" s="79"/>
      <c r="F63" s="79"/>
      <c r="G63" s="232"/>
      <c r="H63" s="232"/>
      <c r="I63" s="232"/>
      <c r="J63" s="232"/>
      <c r="K63" s="232"/>
      <c r="L63" s="232"/>
      <c r="M63" s="232"/>
    </row>
    <row r="64" spans="1:19" s="68" customFormat="1" ht="20.25" x14ac:dyDescent="0.2">
      <c r="A64" s="67"/>
      <c r="B64" s="67"/>
      <c r="D64" s="79"/>
      <c r="E64" s="67"/>
      <c r="F64" s="67"/>
      <c r="G64" s="232"/>
      <c r="H64" s="232"/>
      <c r="I64" s="232"/>
      <c r="J64" s="232"/>
      <c r="K64" s="232"/>
      <c r="L64" s="232"/>
      <c r="M64" s="232"/>
    </row>
    <row r="65" spans="1:13" s="68" customFormat="1" ht="23.25" x14ac:dyDescent="0.2">
      <c r="A65" s="67"/>
      <c r="B65" s="271"/>
      <c r="C65" s="67"/>
      <c r="D65" s="67"/>
      <c r="E65" s="67"/>
      <c r="F65" s="67"/>
      <c r="G65" s="237"/>
      <c r="H65" s="237"/>
      <c r="I65" s="237"/>
      <c r="J65" s="237"/>
      <c r="K65" s="237"/>
      <c r="L65" s="237"/>
      <c r="M65" s="237"/>
    </row>
    <row r="66" spans="1:13" s="68" customFormat="1" ht="20.25" x14ac:dyDescent="0.2">
      <c r="A66" s="67"/>
      <c r="B66" s="67"/>
      <c r="C66" s="67"/>
      <c r="D66" s="67"/>
      <c r="E66" s="67"/>
      <c r="F66" s="67"/>
      <c r="G66" s="232"/>
      <c r="H66" s="232"/>
      <c r="I66" s="232"/>
      <c r="J66" s="232"/>
      <c r="K66" s="232"/>
      <c r="L66" s="232"/>
      <c r="M66" s="232"/>
    </row>
    <row r="67" spans="1:13" s="82" customFormat="1" ht="26.25" x14ac:dyDescent="0.2">
      <c r="A67" s="268"/>
      <c r="B67" s="268"/>
      <c r="C67" s="268"/>
      <c r="D67" s="268"/>
      <c r="E67" s="268"/>
      <c r="F67" s="268"/>
      <c r="G67" s="269"/>
      <c r="H67" s="237"/>
      <c r="I67" s="237"/>
      <c r="J67" s="237"/>
      <c r="K67" s="237"/>
      <c r="L67" s="237"/>
      <c r="M67" s="237"/>
    </row>
    <row r="68" spans="1:13" s="18" customFormat="1" ht="20.25" x14ac:dyDescent="0.3">
      <c r="A68" s="122"/>
      <c r="B68" s="122"/>
      <c r="C68" s="122"/>
      <c r="D68" s="122"/>
      <c r="E68" s="122"/>
      <c r="F68" s="122"/>
      <c r="G68" s="272"/>
      <c r="H68" s="277"/>
      <c r="I68" s="277"/>
      <c r="J68" s="277"/>
      <c r="K68" s="277"/>
      <c r="L68" s="277"/>
      <c r="M68" s="277"/>
    </row>
    <row r="69" spans="1:13" ht="20.25" x14ac:dyDescent="0.3">
      <c r="H69" s="277"/>
      <c r="I69" s="277"/>
      <c r="J69" s="277"/>
      <c r="K69" s="277"/>
      <c r="L69" s="277"/>
      <c r="M69" s="277"/>
    </row>
    <row r="70" spans="1:13" ht="20.25" x14ac:dyDescent="0.3">
      <c r="H70" s="277"/>
      <c r="I70" s="277"/>
      <c r="J70" s="277"/>
      <c r="K70" s="277"/>
      <c r="L70" s="277"/>
      <c r="M70" s="277"/>
    </row>
    <row r="71" spans="1:13" ht="20.25" x14ac:dyDescent="0.3">
      <c r="H71" s="274"/>
      <c r="I71" s="274"/>
      <c r="J71" s="274"/>
      <c r="K71" s="274"/>
      <c r="L71" s="274"/>
      <c r="M71" s="274"/>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94</v>
      </c>
      <c r="B1" s="59"/>
      <c r="C1" s="60"/>
      <c r="D1" s="60"/>
      <c r="E1" s="60"/>
      <c r="F1" s="59"/>
      <c r="G1" s="230"/>
    </row>
    <row r="2" spans="1:9" ht="26.25" x14ac:dyDescent="0.4">
      <c r="A2" s="58" t="s">
        <v>263</v>
      </c>
      <c r="B2" s="59"/>
      <c r="C2" s="60"/>
      <c r="D2" s="60"/>
      <c r="E2" s="60"/>
      <c r="F2" s="59"/>
      <c r="G2" s="230"/>
    </row>
    <row r="3" spans="1:9" ht="26.25" x14ac:dyDescent="0.4">
      <c r="A3" s="58" t="s">
        <v>317</v>
      </c>
      <c r="B3" s="59"/>
      <c r="C3" s="60"/>
      <c r="D3" s="60"/>
      <c r="E3" s="60"/>
      <c r="F3" s="59"/>
      <c r="G3" s="230"/>
    </row>
    <row r="4" spans="1:9" ht="21" thickBot="1" x14ac:dyDescent="0.25">
      <c r="A4" s="61"/>
      <c r="B4" s="61"/>
      <c r="C4" s="61"/>
      <c r="D4" s="61"/>
      <c r="E4" s="61"/>
      <c r="F4" s="61"/>
      <c r="G4" s="231"/>
    </row>
    <row r="5" spans="1:9" ht="27.75" thickTop="1" thickBot="1" x14ac:dyDescent="0.25">
      <c r="A5" s="64"/>
      <c r="B5" s="64"/>
      <c r="C5" s="64"/>
      <c r="D5" s="64"/>
      <c r="E5" s="64"/>
      <c r="F5" s="64"/>
      <c r="G5" s="610" t="s">
        <v>49</v>
      </c>
    </row>
    <row r="6" spans="1:9" ht="21" thickTop="1" x14ac:dyDescent="0.2">
      <c r="A6" s="67"/>
      <c r="B6" s="67"/>
      <c r="C6" s="67"/>
      <c r="D6" s="67"/>
      <c r="E6" s="67"/>
      <c r="F6" s="67"/>
      <c r="G6" s="232"/>
    </row>
    <row r="7" spans="1:9" ht="21" thickBot="1" x14ac:dyDescent="0.35">
      <c r="A7" s="69"/>
      <c r="B7" s="153" t="s">
        <v>100</v>
      </c>
      <c r="C7" s="153"/>
      <c r="D7" s="153"/>
      <c r="E7" s="153"/>
      <c r="F7" s="153"/>
      <c r="G7" s="281"/>
    </row>
    <row r="8" spans="1:9" ht="20.25" x14ac:dyDescent="0.2">
      <c r="A8" s="73"/>
      <c r="B8" s="73"/>
      <c r="C8" s="420" t="s">
        <v>101</v>
      </c>
      <c r="D8" s="420"/>
      <c r="E8" s="420"/>
      <c r="F8" s="73"/>
      <c r="G8" s="263">
        <v>791718</v>
      </c>
    </row>
    <row r="9" spans="1:9" ht="20.25" x14ac:dyDescent="0.2">
      <c r="A9" s="73"/>
      <c r="B9" s="73"/>
      <c r="C9" s="420" t="s">
        <v>318</v>
      </c>
      <c r="D9" s="420"/>
      <c r="E9" s="420"/>
      <c r="F9" s="73"/>
      <c r="G9" s="264">
        <v>25000</v>
      </c>
    </row>
    <row r="10" spans="1:9" ht="20.25" x14ac:dyDescent="0.2">
      <c r="A10" s="73"/>
      <c r="B10" s="392"/>
      <c r="C10" s="420" t="s">
        <v>150</v>
      </c>
      <c r="D10" s="420"/>
      <c r="E10" s="420"/>
      <c r="F10" s="73"/>
      <c r="G10" s="264">
        <v>147000</v>
      </c>
    </row>
    <row r="11" spans="1:9" ht="20.25" x14ac:dyDescent="0.2">
      <c r="A11" s="73"/>
      <c r="B11" s="392"/>
      <c r="C11" s="420" t="s">
        <v>179</v>
      </c>
      <c r="D11" s="420"/>
      <c r="E11" s="420"/>
      <c r="F11" s="73"/>
      <c r="G11" s="264">
        <v>43322</v>
      </c>
      <c r="I11" s="243"/>
    </row>
    <row r="12" spans="1:9" ht="20.25" x14ac:dyDescent="0.2">
      <c r="A12" s="73"/>
      <c r="B12" s="392"/>
      <c r="C12" s="420" t="s">
        <v>102</v>
      </c>
      <c r="D12" s="420"/>
      <c r="E12" s="420"/>
      <c r="F12" s="73"/>
      <c r="G12" s="264"/>
    </row>
    <row r="13" spans="1:9" ht="20.25" x14ac:dyDescent="0.2">
      <c r="A13" s="73"/>
      <c r="B13" s="392"/>
      <c r="C13" s="77"/>
      <c r="D13" s="420" t="s">
        <v>139</v>
      </c>
      <c r="E13" s="420"/>
      <c r="F13" s="73"/>
      <c r="G13" s="264">
        <f>43500+158022</f>
        <v>201522</v>
      </c>
    </row>
    <row r="14" spans="1:9" ht="20.25" x14ac:dyDescent="0.2">
      <c r="A14" s="73"/>
      <c r="B14" s="392"/>
      <c r="C14" s="77"/>
      <c r="D14" s="420" t="s">
        <v>159</v>
      </c>
      <c r="E14" s="420"/>
      <c r="F14" s="73"/>
      <c r="G14" s="264">
        <v>13000</v>
      </c>
    </row>
    <row r="15" spans="1:9" ht="20.25" x14ac:dyDescent="0.2">
      <c r="A15" s="73"/>
      <c r="B15" s="392"/>
      <c r="C15" s="420" t="s">
        <v>103</v>
      </c>
      <c r="D15" s="420"/>
      <c r="E15" s="420"/>
      <c r="F15" s="73"/>
      <c r="G15" s="264">
        <v>12500</v>
      </c>
    </row>
    <row r="16" spans="1:9" ht="20.25" x14ac:dyDescent="0.2">
      <c r="A16" s="73"/>
      <c r="B16" s="392"/>
      <c r="C16" s="420" t="s">
        <v>110</v>
      </c>
      <c r="D16" s="420"/>
      <c r="E16" s="420"/>
      <c r="F16" s="73"/>
      <c r="G16" s="264">
        <v>1200</v>
      </c>
    </row>
    <row r="17" spans="1:9" ht="20.25" x14ac:dyDescent="0.2">
      <c r="A17" s="73"/>
      <c r="B17" s="392"/>
      <c r="C17" s="420" t="s">
        <v>237</v>
      </c>
      <c r="D17" s="420"/>
      <c r="E17" s="420"/>
      <c r="F17" s="73"/>
      <c r="G17" s="264">
        <v>4200</v>
      </c>
    </row>
    <row r="18" spans="1:9" ht="20.25" x14ac:dyDescent="0.2">
      <c r="A18" s="73"/>
      <c r="B18" s="392"/>
      <c r="C18" s="420" t="s">
        <v>320</v>
      </c>
      <c r="D18" s="420"/>
      <c r="E18" s="420"/>
      <c r="F18" s="73"/>
      <c r="G18" s="264">
        <v>1500</v>
      </c>
    </row>
    <row r="19" spans="1:9" ht="20.25" x14ac:dyDescent="0.2">
      <c r="A19" s="73"/>
      <c r="B19" s="392"/>
      <c r="C19" s="420" t="s">
        <v>238</v>
      </c>
      <c r="D19" s="420"/>
      <c r="E19" s="420"/>
      <c r="F19" s="73"/>
      <c r="G19" s="264"/>
    </row>
    <row r="20" spans="1:9" ht="20.25" x14ac:dyDescent="0.2">
      <c r="A20" s="73"/>
      <c r="B20" s="392"/>
      <c r="C20" s="420"/>
      <c r="D20" s="420" t="s">
        <v>11</v>
      </c>
      <c r="E20" s="420"/>
      <c r="F20" s="73"/>
      <c r="G20" s="264">
        <f>73338-45000</f>
        <v>28338</v>
      </c>
    </row>
    <row r="21" spans="1:9" ht="20.25" x14ac:dyDescent="0.2">
      <c r="A21" s="73"/>
      <c r="B21" s="392"/>
      <c r="C21" s="420"/>
      <c r="D21" s="420" t="s">
        <v>17</v>
      </c>
      <c r="E21" s="420"/>
      <c r="F21" s="73"/>
      <c r="G21" s="264">
        <v>45000</v>
      </c>
    </row>
    <row r="22" spans="1:9" ht="20.25" x14ac:dyDescent="0.2">
      <c r="A22" s="73"/>
      <c r="B22" s="392"/>
      <c r="C22" s="420" t="s">
        <v>322</v>
      </c>
      <c r="D22" s="420"/>
      <c r="E22" s="420"/>
      <c r="F22" s="73"/>
      <c r="G22" s="264">
        <v>2500</v>
      </c>
    </row>
    <row r="23" spans="1:9" ht="20.25" x14ac:dyDescent="0.2">
      <c r="A23" s="73"/>
      <c r="B23" s="392"/>
      <c r="C23" s="420" t="s">
        <v>109</v>
      </c>
      <c r="D23" s="420"/>
      <c r="E23" s="420"/>
      <c r="F23" s="73"/>
      <c r="G23" s="322">
        <v>46575</v>
      </c>
    </row>
    <row r="24" spans="1:9" ht="20.25" x14ac:dyDescent="0.2">
      <c r="A24" s="73"/>
      <c r="B24" s="392"/>
      <c r="C24" s="420" t="s">
        <v>323</v>
      </c>
      <c r="D24" s="420"/>
      <c r="E24" s="420"/>
      <c r="F24" s="73"/>
      <c r="G24" s="322">
        <v>1531</v>
      </c>
    </row>
    <row r="25" spans="1:9" ht="20.25" x14ac:dyDescent="0.2">
      <c r="A25" s="73"/>
      <c r="B25" s="392"/>
      <c r="C25" s="420" t="s">
        <v>102</v>
      </c>
      <c r="D25" s="420"/>
      <c r="E25" s="420"/>
      <c r="F25" s="73"/>
      <c r="G25" s="322">
        <v>19000</v>
      </c>
    </row>
    <row r="26" spans="1:9" ht="20.25" x14ac:dyDescent="0.2">
      <c r="A26" s="73"/>
      <c r="B26" s="392"/>
      <c r="C26" s="420" t="s">
        <v>319</v>
      </c>
      <c r="D26" s="420"/>
      <c r="E26" s="420"/>
      <c r="F26" s="73"/>
      <c r="G26" s="322">
        <v>51000</v>
      </c>
    </row>
    <row r="27" spans="1:9" ht="20.25" x14ac:dyDescent="0.2">
      <c r="A27" s="73"/>
      <c r="B27" s="392"/>
      <c r="C27" s="420" t="s">
        <v>321</v>
      </c>
      <c r="D27" s="420"/>
      <c r="E27" s="420"/>
      <c r="F27" s="73"/>
      <c r="G27" s="322">
        <v>20655</v>
      </c>
    </row>
    <row r="28" spans="1:9" ht="20.25" x14ac:dyDescent="0.2">
      <c r="A28" s="73"/>
      <c r="B28" s="392"/>
      <c r="C28" s="420"/>
      <c r="D28" s="73" t="s">
        <v>105</v>
      </c>
      <c r="E28" s="420"/>
      <c r="F28" s="73"/>
      <c r="G28" s="242">
        <f>SUM(G8:G27)</f>
        <v>1455561</v>
      </c>
      <c r="I28" s="243"/>
    </row>
    <row r="29" spans="1:9" ht="20.25" x14ac:dyDescent="0.2">
      <c r="A29" s="73"/>
      <c r="B29" s="392"/>
      <c r="C29" s="420"/>
      <c r="D29" s="73"/>
      <c r="E29" s="420"/>
      <c r="F29" s="73"/>
      <c r="G29" s="234"/>
    </row>
    <row r="30" spans="1:9" ht="21" thickBot="1" x14ac:dyDescent="0.25">
      <c r="A30" s="73"/>
      <c r="B30" s="393" t="s">
        <v>111</v>
      </c>
      <c r="C30" s="87"/>
      <c r="D30" s="87"/>
      <c r="E30" s="87"/>
      <c r="F30" s="87"/>
      <c r="G30" s="241"/>
    </row>
    <row r="31" spans="1:9" ht="20.25" x14ac:dyDescent="0.2">
      <c r="A31" s="67"/>
      <c r="B31" s="394"/>
      <c r="C31" s="79" t="s">
        <v>112</v>
      </c>
      <c r="D31" s="79"/>
      <c r="E31" s="79"/>
      <c r="F31" s="79"/>
      <c r="G31" s="232">
        <v>889720</v>
      </c>
    </row>
    <row r="32" spans="1:9" ht="20.25" x14ac:dyDescent="0.2">
      <c r="A32" s="67"/>
      <c r="B32" s="394"/>
      <c r="C32" s="79" t="s">
        <v>113</v>
      </c>
      <c r="D32" s="79"/>
      <c r="E32" s="79"/>
      <c r="F32" s="79"/>
      <c r="G32" s="232">
        <v>192602</v>
      </c>
    </row>
    <row r="33" spans="1:7" ht="20.25" x14ac:dyDescent="0.2">
      <c r="A33" s="67"/>
      <c r="B33" s="394"/>
      <c r="C33" s="79" t="s">
        <v>114</v>
      </c>
      <c r="D33" s="79"/>
      <c r="E33" s="79"/>
      <c r="F33" s="79"/>
      <c r="G33" s="232">
        <v>3600</v>
      </c>
    </row>
    <row r="34" spans="1:7" ht="20.25" x14ac:dyDescent="0.2">
      <c r="A34" s="67"/>
      <c r="B34" s="394"/>
      <c r="C34" s="79" t="s">
        <v>104</v>
      </c>
      <c r="D34" s="79"/>
      <c r="E34" s="79"/>
      <c r="F34" s="79"/>
      <c r="G34" s="232">
        <f>G23</f>
        <v>46575</v>
      </c>
    </row>
    <row r="35" spans="1:7" ht="20.25" x14ac:dyDescent="0.2">
      <c r="A35" s="67"/>
      <c r="B35" s="394"/>
      <c r="C35" s="79" t="s">
        <v>115</v>
      </c>
      <c r="D35" s="79"/>
      <c r="E35" s="79"/>
      <c r="F35" s="79"/>
      <c r="G35" s="232">
        <v>17595</v>
      </c>
    </row>
    <row r="36" spans="1:7" ht="20.25" x14ac:dyDescent="0.2">
      <c r="A36" s="67"/>
      <c r="B36" s="394"/>
      <c r="C36" s="79" t="s">
        <v>116</v>
      </c>
      <c r="D36" s="79"/>
      <c r="E36" s="79"/>
      <c r="F36" s="79"/>
      <c r="G36" s="232">
        <v>2821</v>
      </c>
    </row>
    <row r="37" spans="1:7" ht="20.25" x14ac:dyDescent="0.2">
      <c r="A37" s="67"/>
      <c r="B37" s="394"/>
      <c r="C37" s="79" t="s">
        <v>117</v>
      </c>
      <c r="D37" s="79"/>
      <c r="E37" s="79"/>
      <c r="F37" s="79"/>
      <c r="G37" s="232">
        <v>5032</v>
      </c>
    </row>
    <row r="38" spans="1:7" ht="20.25" x14ac:dyDescent="0.2">
      <c r="A38" s="67"/>
      <c r="B38" s="394"/>
      <c r="C38" s="79" t="s">
        <v>118</v>
      </c>
      <c r="D38" s="79"/>
      <c r="E38" s="79"/>
      <c r="F38" s="79"/>
      <c r="G38" s="232">
        <v>12216</v>
      </c>
    </row>
    <row r="39" spans="1:7" ht="20.25" x14ac:dyDescent="0.2">
      <c r="A39" s="67"/>
      <c r="B39" s="394"/>
      <c r="C39" s="79" t="s">
        <v>119</v>
      </c>
      <c r="D39" s="79"/>
      <c r="E39" s="79"/>
      <c r="F39" s="79"/>
      <c r="G39" s="232">
        <v>39500</v>
      </c>
    </row>
    <row r="40" spans="1:7" ht="20.25" x14ac:dyDescent="0.2">
      <c r="A40" s="67"/>
      <c r="B40" s="394"/>
      <c r="C40" s="79" t="s">
        <v>120</v>
      </c>
      <c r="D40" s="79"/>
      <c r="E40" s="79"/>
      <c r="F40" s="79"/>
      <c r="G40" s="232">
        <v>4840</v>
      </c>
    </row>
    <row r="41" spans="1:7" ht="20.25" x14ac:dyDescent="0.2">
      <c r="A41" s="67"/>
      <c r="B41" s="394"/>
      <c r="C41" s="79" t="s">
        <v>121</v>
      </c>
      <c r="D41" s="79"/>
      <c r="E41" s="79"/>
      <c r="F41" s="79"/>
      <c r="G41" s="232">
        <v>1735</v>
      </c>
    </row>
    <row r="42" spans="1:7" ht="20.25" x14ac:dyDescent="0.2">
      <c r="A42" s="67"/>
      <c r="B42" s="394"/>
      <c r="C42" s="79" t="s">
        <v>166</v>
      </c>
      <c r="D42" s="79"/>
      <c r="E42" s="79"/>
      <c r="F42" s="79"/>
      <c r="G42" s="232">
        <v>12125</v>
      </c>
    </row>
    <row r="43" spans="1:7" ht="20.25" x14ac:dyDescent="0.2">
      <c r="A43" s="79"/>
      <c r="B43" s="390"/>
      <c r="C43" s="79" t="s">
        <v>122</v>
      </c>
      <c r="D43" s="79"/>
      <c r="E43" s="79"/>
      <c r="F43" s="79"/>
      <c r="G43" s="322">
        <v>12252</v>
      </c>
    </row>
    <row r="44" spans="1:7" ht="20.25" x14ac:dyDescent="0.2">
      <c r="A44" s="79"/>
      <c r="B44" s="390"/>
      <c r="C44" s="79" t="s">
        <v>123</v>
      </c>
      <c r="D44" s="79"/>
      <c r="E44" s="79"/>
      <c r="F44" s="79"/>
      <c r="G44" s="232">
        <v>13564</v>
      </c>
    </row>
    <row r="45" spans="1:7" ht="20.25" x14ac:dyDescent="0.2">
      <c r="A45" s="79"/>
      <c r="B45" s="390"/>
      <c r="C45" s="79" t="s">
        <v>130</v>
      </c>
      <c r="D45" s="79"/>
      <c r="E45" s="79"/>
      <c r="F45" s="79"/>
      <c r="G45" s="232">
        <v>875</v>
      </c>
    </row>
    <row r="46" spans="1:7" ht="20.25" x14ac:dyDescent="0.2">
      <c r="A46" s="79"/>
      <c r="B46" s="390"/>
      <c r="C46" s="79" t="s">
        <v>124</v>
      </c>
      <c r="D46" s="79"/>
      <c r="E46" s="79"/>
      <c r="F46" s="79"/>
      <c r="G46" s="322">
        <f>10039+1500</f>
        <v>11539</v>
      </c>
    </row>
    <row r="47" spans="1:7" ht="20.25" x14ac:dyDescent="0.2">
      <c r="A47" s="67"/>
      <c r="B47" s="394"/>
      <c r="C47" s="79" t="s">
        <v>199</v>
      </c>
      <c r="D47" s="79"/>
      <c r="E47" s="79"/>
      <c r="F47" s="79"/>
      <c r="G47" s="232">
        <f>12623+2660</f>
        <v>15283</v>
      </c>
    </row>
    <row r="48" spans="1:7" ht="20.25" x14ac:dyDescent="0.2">
      <c r="A48" s="79"/>
      <c r="B48" s="390"/>
      <c r="C48" s="79" t="s">
        <v>125</v>
      </c>
      <c r="D48" s="79"/>
      <c r="E48" s="79"/>
      <c r="F48" s="79"/>
      <c r="G48" s="322">
        <v>39977</v>
      </c>
    </row>
    <row r="49" spans="1:7" ht="20.25" x14ac:dyDescent="0.2">
      <c r="A49" s="79"/>
      <c r="B49" s="390"/>
      <c r="C49" s="79" t="s">
        <v>126</v>
      </c>
      <c r="D49" s="79"/>
      <c r="E49" s="79"/>
      <c r="F49" s="79"/>
      <c r="G49" s="322">
        <v>19556</v>
      </c>
    </row>
    <row r="50" spans="1:7" ht="20.25" x14ac:dyDescent="0.2">
      <c r="A50" s="79"/>
      <c r="B50" s="390"/>
      <c r="C50" s="79" t="s">
        <v>165</v>
      </c>
      <c r="D50" s="79"/>
      <c r="E50" s="79"/>
      <c r="F50" s="79"/>
      <c r="G50" s="232">
        <v>56100</v>
      </c>
    </row>
    <row r="51" spans="1:7" ht="20.25" x14ac:dyDescent="0.2">
      <c r="A51" s="79"/>
      <c r="B51" s="390"/>
      <c r="C51" s="79" t="s">
        <v>127</v>
      </c>
      <c r="D51" s="79"/>
      <c r="E51" s="79"/>
      <c r="F51" s="79"/>
      <c r="G51" s="232">
        <f>750+86095</f>
        <v>86845</v>
      </c>
    </row>
    <row r="52" spans="1:7" ht="21" thickBot="1" x14ac:dyDescent="0.25">
      <c r="A52" s="79"/>
      <c r="B52" s="390"/>
      <c r="C52" s="79"/>
      <c r="D52" s="79"/>
      <c r="E52" s="79"/>
      <c r="F52" s="79"/>
      <c r="G52" s="241"/>
    </row>
    <row r="53" spans="1:7" ht="20.25" x14ac:dyDescent="0.2">
      <c r="A53" s="67"/>
      <c r="B53" s="394"/>
      <c r="C53" s="67"/>
      <c r="D53" s="73" t="s">
        <v>128</v>
      </c>
      <c r="E53" s="67"/>
      <c r="F53" s="67"/>
      <c r="G53" s="237">
        <f>SUM(G31:G51)</f>
        <v>1484352</v>
      </c>
    </row>
    <row r="54" spans="1:7" ht="21" thickBot="1" x14ac:dyDescent="0.25">
      <c r="A54" s="67"/>
      <c r="B54" s="394"/>
      <c r="C54" s="67"/>
      <c r="D54" s="73"/>
      <c r="E54" s="67"/>
      <c r="F54" s="67"/>
      <c r="G54" s="241"/>
    </row>
    <row r="55" spans="1:7" ht="21" thickBot="1" x14ac:dyDescent="0.25">
      <c r="A55" s="67"/>
      <c r="B55" s="394"/>
      <c r="C55" s="67"/>
      <c r="D55" s="67" t="s">
        <v>129</v>
      </c>
      <c r="E55" s="67"/>
      <c r="F55" s="67"/>
      <c r="G55" s="241">
        <f>G28-G53</f>
        <v>-28791</v>
      </c>
    </row>
    <row r="56" spans="1:7" ht="20.25" x14ac:dyDescent="0.2">
      <c r="A56" s="67"/>
      <c r="B56" s="394"/>
      <c r="C56" s="67"/>
      <c r="D56" s="67"/>
      <c r="E56" s="67"/>
      <c r="F56" s="67"/>
      <c r="G56" s="232"/>
    </row>
  </sheetData>
  <pageMargins left="1.2" right="0" top="0.5" bottom="0.5" header="0.3" footer="0.3"/>
  <pageSetup scale="65"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50" hidden="1" customWidth="1"/>
    <col min="4" max="7" width="15" customWidth="1"/>
    <col min="8" max="8" width="14.625" customWidth="1"/>
  </cols>
  <sheetData>
    <row r="1" spans="1:130" ht="21" x14ac:dyDescent="0.35">
      <c r="A1" s="585" t="s">
        <v>94</v>
      </c>
      <c r="B1" s="59"/>
      <c r="C1" s="60"/>
      <c r="D1" s="60"/>
      <c r="E1" s="60"/>
      <c r="F1" s="59"/>
      <c r="G1" s="230"/>
      <c r="H1" s="59"/>
      <c r="I1" s="59"/>
      <c r="J1" s="59"/>
      <c r="K1" s="59"/>
      <c r="L1" s="462"/>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85" t="s">
        <v>299</v>
      </c>
      <c r="B2" s="59"/>
      <c r="C2" s="60"/>
      <c r="D2" s="60"/>
      <c r="E2" s="60"/>
      <c r="F2" s="59"/>
      <c r="G2" s="230"/>
      <c r="H2" s="59"/>
      <c r="I2" s="59"/>
      <c r="J2" s="59"/>
      <c r="K2" s="59"/>
      <c r="L2" s="462"/>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85" t="str">
        <f>'February''23 State of Activities'!A3</f>
        <v>Ten Months Ended October 31, 2022 and 2021</v>
      </c>
      <c r="B3" s="59"/>
      <c r="C3" s="60"/>
      <c r="D3" s="60"/>
      <c r="E3" s="60"/>
      <c r="F3" s="59"/>
      <c r="G3" s="230"/>
      <c r="H3" s="59"/>
      <c r="I3" s="59"/>
      <c r="J3" s="59"/>
      <c r="K3" s="59"/>
      <c r="L3" s="46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1038" t="s">
        <v>279</v>
      </c>
      <c r="B5" s="1039"/>
      <c r="C5" s="1039"/>
      <c r="D5" s="1039"/>
      <c r="E5" s="1039"/>
      <c r="F5" s="1039"/>
      <c r="G5" s="1039"/>
      <c r="H5" s="1040"/>
    </row>
    <row r="6" spans="1:130" ht="7.5" customHeight="1" thickBot="1" x14ac:dyDescent="0.25">
      <c r="E6" s="551"/>
      <c r="F6" s="551"/>
      <c r="G6" s="551"/>
    </row>
    <row r="7" spans="1:130" ht="15.75" x14ac:dyDescent="0.25">
      <c r="A7" s="552" t="s">
        <v>280</v>
      </c>
      <c r="B7" s="553" t="s">
        <v>281</v>
      </c>
      <c r="C7" s="553" t="s">
        <v>282</v>
      </c>
      <c r="D7" s="553" t="s">
        <v>283</v>
      </c>
      <c r="E7" s="553" t="s">
        <v>284</v>
      </c>
      <c r="F7" s="553" t="s">
        <v>285</v>
      </c>
      <c r="G7" s="553" t="s">
        <v>286</v>
      </c>
      <c r="H7" s="552" t="s">
        <v>287</v>
      </c>
    </row>
    <row r="8" spans="1:130" ht="16.5" thickBot="1" x14ac:dyDescent="0.3">
      <c r="A8" s="554"/>
      <c r="B8" s="555" t="s">
        <v>288</v>
      </c>
      <c r="C8" s="555" t="s">
        <v>288</v>
      </c>
      <c r="D8" s="555" t="s">
        <v>288</v>
      </c>
      <c r="E8" s="555" t="s">
        <v>288</v>
      </c>
      <c r="F8" s="555" t="s">
        <v>288</v>
      </c>
      <c r="G8" s="555" t="s">
        <v>288</v>
      </c>
      <c r="H8" s="556" t="s">
        <v>289</v>
      </c>
    </row>
    <row r="9" spans="1:130" x14ac:dyDescent="0.2">
      <c r="A9" s="557">
        <v>42741</v>
      </c>
      <c r="B9" s="558">
        <v>1059.72</v>
      </c>
      <c r="C9" s="559">
        <f>6123.86-3246.88</f>
        <v>2876.9799999999996</v>
      </c>
      <c r="D9" s="558">
        <f>160.4+1401.46</f>
        <v>1561.8600000000001</v>
      </c>
      <c r="E9" s="558">
        <f>2007.36+883.16</f>
        <v>2890.52</v>
      </c>
      <c r="F9" s="558">
        <v>4174.08</v>
      </c>
      <c r="G9" s="558">
        <v>3187.95</v>
      </c>
      <c r="H9" s="558">
        <f>G9-F9</f>
        <v>-986.13000000000011</v>
      </c>
    </row>
    <row r="10" spans="1:130" x14ac:dyDescent="0.2">
      <c r="A10" s="560">
        <v>42748</v>
      </c>
      <c r="B10" s="561">
        <v>1351.72</v>
      </c>
      <c r="C10" s="562">
        <f>7232.22-3246.88</f>
        <v>3985.34</v>
      </c>
      <c r="D10" s="561">
        <v>3927.82</v>
      </c>
      <c r="E10" s="561">
        <v>3364.16</v>
      </c>
      <c r="F10" s="558">
        <v>4643.2299999999996</v>
      </c>
      <c r="G10" s="558">
        <v>3858.57</v>
      </c>
      <c r="H10" s="558">
        <f t="shared" ref="H10:H21" si="0">G10-F10</f>
        <v>-784.6599999999994</v>
      </c>
    </row>
    <row r="11" spans="1:130" x14ac:dyDescent="0.2">
      <c r="A11" s="560">
        <v>42755</v>
      </c>
      <c r="B11" s="561">
        <v>1237.58</v>
      </c>
      <c r="C11" s="563">
        <f>5493.18-2496.78</f>
        <v>2996.4</v>
      </c>
      <c r="D11" s="561">
        <v>3463.28</v>
      </c>
      <c r="E11" s="561">
        <v>3723.22</v>
      </c>
      <c r="F11" s="558">
        <v>3257.98</v>
      </c>
      <c r="G11" s="558">
        <v>2816.13</v>
      </c>
      <c r="H11" s="558">
        <f t="shared" si="0"/>
        <v>-441.84999999999991</v>
      </c>
    </row>
    <row r="12" spans="1:130" x14ac:dyDescent="0.2">
      <c r="A12" s="560">
        <v>42762</v>
      </c>
      <c r="B12" s="561">
        <v>1829.66</v>
      </c>
      <c r="C12" s="563">
        <f>6125.18-2535</f>
        <v>3590.1800000000003</v>
      </c>
      <c r="D12" s="561">
        <v>2947.54</v>
      </c>
      <c r="E12" s="561">
        <v>3026.63</v>
      </c>
      <c r="F12" s="558">
        <v>3503.82</v>
      </c>
      <c r="G12" s="558">
        <v>2957.14</v>
      </c>
      <c r="H12" s="558">
        <f t="shared" si="0"/>
        <v>-546.68000000000029</v>
      </c>
    </row>
    <row r="13" spans="1:130" x14ac:dyDescent="0.2">
      <c r="A13" s="560">
        <v>42769</v>
      </c>
      <c r="B13" s="561">
        <v>2363.12</v>
      </c>
      <c r="C13" s="563">
        <f>-3488.68+8424.94</f>
        <v>4936.26</v>
      </c>
      <c r="D13" s="561">
        <v>3434.46</v>
      </c>
      <c r="E13" s="561">
        <v>2986.58</v>
      </c>
      <c r="F13" s="558">
        <v>4063.43</v>
      </c>
      <c r="G13" s="558">
        <v>3878.62</v>
      </c>
      <c r="H13" s="558">
        <f t="shared" si="0"/>
        <v>-184.80999999999995</v>
      </c>
    </row>
    <row r="14" spans="1:130" x14ac:dyDescent="0.2">
      <c r="A14" s="560">
        <v>42776</v>
      </c>
      <c r="B14" s="561">
        <v>1902.16</v>
      </c>
      <c r="C14" s="563">
        <f>-2931.5+7254.06</f>
        <v>4322.5600000000004</v>
      </c>
      <c r="D14" s="561">
        <v>2818.82</v>
      </c>
      <c r="E14" s="561">
        <f>2800.67</f>
        <v>2800.67</v>
      </c>
      <c r="F14" s="558">
        <v>4002.46</v>
      </c>
      <c r="G14" s="558">
        <v>2987.96</v>
      </c>
      <c r="H14" s="558">
        <f t="shared" si="0"/>
        <v>-1014.5</v>
      </c>
    </row>
    <row r="15" spans="1:130" x14ac:dyDescent="0.2">
      <c r="A15" s="560">
        <v>42783</v>
      </c>
      <c r="B15" s="561">
        <v>2134.56</v>
      </c>
      <c r="C15" s="563">
        <f>-3653.28+8329.5-700</f>
        <v>3976.2199999999993</v>
      </c>
      <c r="D15" s="561">
        <v>2157.96</v>
      </c>
      <c r="E15" s="561">
        <v>2584.04</v>
      </c>
      <c r="F15" s="558">
        <v>2886.61</v>
      </c>
      <c r="G15" s="558">
        <v>3373.08</v>
      </c>
      <c r="H15" s="558">
        <f t="shared" si="0"/>
        <v>486.4699999999998</v>
      </c>
    </row>
    <row r="16" spans="1:130" x14ac:dyDescent="0.2">
      <c r="A16" s="560">
        <v>42790</v>
      </c>
      <c r="B16" s="561">
        <v>1676.08</v>
      </c>
      <c r="C16" s="563">
        <f>-2869.88+6693.6</f>
        <v>3823.7200000000003</v>
      </c>
      <c r="D16" s="561">
        <v>3063.52</v>
      </c>
      <c r="E16" s="561">
        <v>3161.19</v>
      </c>
      <c r="F16" s="558">
        <v>3994.7</v>
      </c>
      <c r="G16" s="558">
        <v>3335.8</v>
      </c>
      <c r="H16" s="558">
        <f t="shared" si="0"/>
        <v>-658.89999999999964</v>
      </c>
    </row>
    <row r="17" spans="1:8" x14ac:dyDescent="0.2">
      <c r="A17" s="560">
        <v>42797</v>
      </c>
      <c r="B17" s="561">
        <v>1418.9</v>
      </c>
      <c r="C17" s="563">
        <f>-3427.32+8141.08</f>
        <v>4713.76</v>
      </c>
      <c r="D17" s="561">
        <v>4534.3</v>
      </c>
      <c r="E17" s="561">
        <v>3860.23</v>
      </c>
      <c r="F17" s="558">
        <v>4172.5600000000004</v>
      </c>
      <c r="G17" s="558">
        <v>2335.96</v>
      </c>
      <c r="H17" s="558">
        <f t="shared" si="0"/>
        <v>-1836.6000000000004</v>
      </c>
    </row>
    <row r="18" spans="1:8" x14ac:dyDescent="0.2">
      <c r="A18" s="560">
        <v>42804</v>
      </c>
      <c r="B18" s="561">
        <v>1013.74</v>
      </c>
      <c r="C18" s="563">
        <f>-2919.8+6449.26</f>
        <v>3529.46</v>
      </c>
      <c r="D18" s="561">
        <v>3673.88</v>
      </c>
      <c r="E18" s="561">
        <v>4004</v>
      </c>
      <c r="F18" s="558">
        <v>3762.8</v>
      </c>
      <c r="G18" s="558">
        <v>1711.94</v>
      </c>
      <c r="H18" s="558">
        <f t="shared" si="0"/>
        <v>-2050.86</v>
      </c>
    </row>
    <row r="19" spans="1:8" x14ac:dyDescent="0.2">
      <c r="A19" s="560">
        <v>42811</v>
      </c>
      <c r="B19" s="564">
        <v>3629.96</v>
      </c>
      <c r="C19" s="563">
        <f>-3708.38+7621.78</f>
        <v>3913.3999999999996</v>
      </c>
      <c r="D19" s="561">
        <v>4030.4</v>
      </c>
      <c r="E19" s="561">
        <v>3222.03</v>
      </c>
      <c r="F19" s="558">
        <v>4340.3</v>
      </c>
      <c r="G19" s="558">
        <v>942.16</v>
      </c>
      <c r="H19" s="558">
        <f t="shared" si="0"/>
        <v>-3398.1400000000003</v>
      </c>
    </row>
    <row r="20" spans="1:8" x14ac:dyDescent="0.2">
      <c r="A20" s="560">
        <v>42818</v>
      </c>
      <c r="B20" s="564">
        <v>3364</v>
      </c>
      <c r="C20" s="563">
        <f>-3726.84+7846.28</f>
        <v>4119.4399999999996</v>
      </c>
      <c r="D20" s="561">
        <v>3975.2</v>
      </c>
      <c r="E20" s="561">
        <v>3684.17</v>
      </c>
      <c r="F20" s="558">
        <v>3849.95</v>
      </c>
      <c r="G20" s="558">
        <v>1706.08</v>
      </c>
      <c r="H20" s="558">
        <f t="shared" si="0"/>
        <v>-2143.87</v>
      </c>
    </row>
    <row r="21" spans="1:8" ht="15" thickBot="1" x14ac:dyDescent="0.25">
      <c r="A21" s="560">
        <v>42825</v>
      </c>
      <c r="B21" s="564">
        <v>3587</v>
      </c>
      <c r="C21" s="563">
        <f>-3329.82+7562.9</f>
        <v>4233.08</v>
      </c>
      <c r="D21" s="561">
        <v>4280.8</v>
      </c>
      <c r="E21" s="564">
        <v>4118.96</v>
      </c>
      <c r="F21" s="565">
        <v>4082.74</v>
      </c>
      <c r="G21" s="565">
        <v>2002.52</v>
      </c>
      <c r="H21" s="558">
        <f t="shared" si="0"/>
        <v>-2080.2199999999998</v>
      </c>
    </row>
    <row r="22" spans="1:8" ht="16.5" thickBot="1" x14ac:dyDescent="0.25">
      <c r="A22" s="566" t="s">
        <v>290</v>
      </c>
      <c r="B22" s="567">
        <f t="shared" ref="B22:H22" si="1">SUM(B9:B21)</f>
        <v>26568.2</v>
      </c>
      <c r="C22" s="567">
        <f t="shared" si="1"/>
        <v>51016.80000000001</v>
      </c>
      <c r="D22" s="567">
        <f t="shared" si="1"/>
        <v>43869.84</v>
      </c>
      <c r="E22" s="567">
        <f t="shared" si="1"/>
        <v>43426.399999999994</v>
      </c>
      <c r="F22" s="567">
        <f t="shared" si="1"/>
        <v>50734.659999999996</v>
      </c>
      <c r="G22" s="567">
        <f t="shared" si="1"/>
        <v>35093.909999999989</v>
      </c>
      <c r="H22" s="567">
        <f t="shared" si="1"/>
        <v>-15640.749999999998</v>
      </c>
    </row>
    <row r="23" spans="1:8" x14ac:dyDescent="0.2">
      <c r="A23" s="568">
        <v>42832</v>
      </c>
      <c r="B23" s="561">
        <v>3525.02</v>
      </c>
      <c r="C23" s="558">
        <v>4517.8999999999996</v>
      </c>
      <c r="D23" s="558">
        <v>4162.12</v>
      </c>
      <c r="E23" s="558">
        <v>4043.7</v>
      </c>
      <c r="F23" s="558">
        <v>3768.69</v>
      </c>
      <c r="G23" s="558">
        <v>2018.44</v>
      </c>
      <c r="H23" s="558">
        <f>G23-F23</f>
        <v>-1750.25</v>
      </c>
    </row>
    <row r="24" spans="1:8" x14ac:dyDescent="0.2">
      <c r="A24" s="568">
        <v>42839</v>
      </c>
      <c r="B24" s="561">
        <v>3842.84</v>
      </c>
      <c r="C24" s="558">
        <v>4554.42</v>
      </c>
      <c r="D24" s="561">
        <v>4616</v>
      </c>
      <c r="E24" s="561">
        <v>4136.18</v>
      </c>
      <c r="F24" s="558">
        <v>4345.16</v>
      </c>
      <c r="G24" s="558">
        <v>5284.52</v>
      </c>
      <c r="H24" s="558">
        <f t="shared" ref="H24:H63" si="2">G24-F24</f>
        <v>939.36000000000058</v>
      </c>
    </row>
    <row r="25" spans="1:8" x14ac:dyDescent="0.2">
      <c r="A25" s="568">
        <v>42846</v>
      </c>
      <c r="B25" s="561">
        <v>5337.82</v>
      </c>
      <c r="C25" s="561">
        <v>4041.14</v>
      </c>
      <c r="D25" s="561">
        <v>3729.1</v>
      </c>
      <c r="E25" s="561">
        <v>4132.83</v>
      </c>
      <c r="F25" s="558">
        <v>4267.46</v>
      </c>
      <c r="G25" s="558">
        <v>4715.9799999999996</v>
      </c>
      <c r="H25" s="558">
        <f t="shared" si="2"/>
        <v>448.51999999999953</v>
      </c>
    </row>
    <row r="26" spans="1:8" x14ac:dyDescent="0.2">
      <c r="A26" s="568">
        <v>42853</v>
      </c>
      <c r="B26" s="561">
        <v>4973.68</v>
      </c>
      <c r="C26" s="561">
        <v>4321.8599999999997</v>
      </c>
      <c r="D26" s="561">
        <v>3706.08</v>
      </c>
      <c r="E26" s="561">
        <v>4536.74</v>
      </c>
      <c r="F26" s="558">
        <v>3953.61</v>
      </c>
      <c r="G26" s="558">
        <v>4499.7</v>
      </c>
      <c r="H26" s="558">
        <f t="shared" si="2"/>
        <v>546.08999999999969</v>
      </c>
    </row>
    <row r="27" spans="1:8" x14ac:dyDescent="0.2">
      <c r="A27" s="568">
        <v>42860</v>
      </c>
      <c r="B27" s="561">
        <v>3187.22</v>
      </c>
      <c r="C27" s="561">
        <v>4732.8999999999996</v>
      </c>
      <c r="D27" s="561">
        <v>3421.72</v>
      </c>
      <c r="E27" s="561">
        <f>3478.64+72+758.56</f>
        <v>4309.2</v>
      </c>
      <c r="F27" s="558">
        <v>4192.32</v>
      </c>
      <c r="G27" s="558">
        <v>4204.16</v>
      </c>
      <c r="H27" s="558">
        <f t="shared" si="2"/>
        <v>11.840000000000146</v>
      </c>
    </row>
    <row r="28" spans="1:8" x14ac:dyDescent="0.2">
      <c r="A28" s="568">
        <v>42867</v>
      </c>
      <c r="B28" s="561">
        <v>2237.2399999999998</v>
      </c>
      <c r="C28" s="561">
        <v>4138.8999999999996</v>
      </c>
      <c r="D28" s="561">
        <v>3907.94</v>
      </c>
      <c r="E28" s="561">
        <f>4050.94+212.76</f>
        <v>4263.7</v>
      </c>
      <c r="F28" s="558">
        <v>4361.47</v>
      </c>
      <c r="G28" s="558">
        <v>4571.82</v>
      </c>
      <c r="H28" s="558">
        <f t="shared" si="2"/>
        <v>210.34999999999945</v>
      </c>
    </row>
    <row r="29" spans="1:8" x14ac:dyDescent="0.2">
      <c r="A29" s="568">
        <v>42874</v>
      </c>
      <c r="B29" s="561">
        <v>3446.22</v>
      </c>
      <c r="C29" s="561">
        <v>5447.82</v>
      </c>
      <c r="D29" s="561">
        <f>3359.74+70.28</f>
        <v>3430.02</v>
      </c>
      <c r="E29" s="561">
        <v>3958.56</v>
      </c>
      <c r="F29" s="558">
        <v>3957.78</v>
      </c>
      <c r="G29" s="558">
        <v>4089.18</v>
      </c>
      <c r="H29" s="558">
        <f t="shared" si="2"/>
        <v>131.39999999999964</v>
      </c>
    </row>
    <row r="30" spans="1:8" x14ac:dyDescent="0.2">
      <c r="A30" s="568">
        <v>42881</v>
      </c>
      <c r="B30" s="561">
        <v>3507.94</v>
      </c>
      <c r="C30" s="561">
        <v>4315.03</v>
      </c>
      <c r="D30" s="561">
        <v>3880.8</v>
      </c>
      <c r="E30" s="561">
        <v>4314.9799999999996</v>
      </c>
      <c r="F30" s="558">
        <v>3634.01</v>
      </c>
      <c r="G30" s="558">
        <v>3993.63</v>
      </c>
      <c r="H30" s="558">
        <f t="shared" si="2"/>
        <v>359.61999999999989</v>
      </c>
    </row>
    <row r="31" spans="1:8" x14ac:dyDescent="0.2">
      <c r="A31" s="568">
        <v>42888</v>
      </c>
      <c r="B31" s="561">
        <v>3609.72</v>
      </c>
      <c r="C31" s="561">
        <v>3053.8</v>
      </c>
      <c r="D31" s="561">
        <v>2686.82</v>
      </c>
      <c r="E31" s="561">
        <v>2987.04</v>
      </c>
      <c r="F31" s="558">
        <v>2684.24</v>
      </c>
      <c r="G31" s="558">
        <v>2384.3200000000002</v>
      </c>
      <c r="H31" s="558">
        <f t="shared" si="2"/>
        <v>-299.91999999999962</v>
      </c>
    </row>
    <row r="32" spans="1:8" x14ac:dyDescent="0.2">
      <c r="A32" s="568">
        <v>42895</v>
      </c>
      <c r="B32" s="561">
        <v>2033.76</v>
      </c>
      <c r="C32" s="561">
        <v>4194.8599999999997</v>
      </c>
      <c r="D32" s="561">
        <v>3006.14</v>
      </c>
      <c r="E32" s="561">
        <v>3675.8</v>
      </c>
      <c r="F32" s="558">
        <v>3674.42</v>
      </c>
      <c r="G32" s="558">
        <v>3297.66</v>
      </c>
      <c r="H32" s="558">
        <f t="shared" si="2"/>
        <v>-376.76000000000022</v>
      </c>
    </row>
    <row r="33" spans="1:8" x14ac:dyDescent="0.2">
      <c r="A33" s="568">
        <v>42902</v>
      </c>
      <c r="B33" s="561">
        <v>2786.98</v>
      </c>
      <c r="C33" s="561">
        <v>3980.08</v>
      </c>
      <c r="D33" s="561">
        <v>3579.53</v>
      </c>
      <c r="E33" s="561">
        <v>4147.8999999999996</v>
      </c>
      <c r="F33" s="558">
        <v>4182.5200000000004</v>
      </c>
      <c r="G33" s="558">
        <v>3252.16</v>
      </c>
      <c r="H33" s="558">
        <f t="shared" si="2"/>
        <v>-930.36000000000058</v>
      </c>
    </row>
    <row r="34" spans="1:8" x14ac:dyDescent="0.2">
      <c r="A34" s="568">
        <v>42909</v>
      </c>
      <c r="B34" s="564">
        <v>2436.9</v>
      </c>
      <c r="C34" s="561">
        <v>4001.26</v>
      </c>
      <c r="D34" s="561">
        <v>3401.21</v>
      </c>
      <c r="E34" s="561">
        <v>3774.82</v>
      </c>
      <c r="F34" s="558">
        <v>3596.56</v>
      </c>
      <c r="G34" s="558">
        <v>3139.68</v>
      </c>
      <c r="H34" s="558">
        <f t="shared" si="2"/>
        <v>-456.88000000000011</v>
      </c>
    </row>
    <row r="35" spans="1:8" ht="15" thickBot="1" x14ac:dyDescent="0.25">
      <c r="A35" s="568">
        <v>42916</v>
      </c>
      <c r="B35" s="564">
        <v>2410.56</v>
      </c>
      <c r="C35" s="561">
        <v>3928.74</v>
      </c>
      <c r="D35" s="564">
        <v>3288.01</v>
      </c>
      <c r="E35" s="564">
        <v>3466.07</v>
      </c>
      <c r="F35" s="565">
        <v>3867.92</v>
      </c>
      <c r="G35" s="565">
        <v>3368.72</v>
      </c>
      <c r="H35" s="558">
        <f t="shared" si="2"/>
        <v>-499.20000000000027</v>
      </c>
    </row>
    <row r="36" spans="1:8" ht="16.5" thickBot="1" x14ac:dyDescent="0.25">
      <c r="A36" s="566" t="s">
        <v>291</v>
      </c>
      <c r="B36" s="567">
        <f t="shared" ref="B36:H36" si="3">SUM(B23:B35)</f>
        <v>43335.9</v>
      </c>
      <c r="C36" s="567">
        <f t="shared" si="3"/>
        <v>55228.710000000006</v>
      </c>
      <c r="D36" s="567">
        <f t="shared" si="3"/>
        <v>46815.49</v>
      </c>
      <c r="E36" s="567">
        <f t="shared" si="3"/>
        <v>51747.520000000004</v>
      </c>
      <c r="F36" s="567">
        <f t="shared" si="3"/>
        <v>50486.159999999989</v>
      </c>
      <c r="G36" s="567">
        <f t="shared" si="3"/>
        <v>48819.970000000008</v>
      </c>
      <c r="H36" s="567">
        <f t="shared" si="3"/>
        <v>-1666.1900000000019</v>
      </c>
    </row>
    <row r="37" spans="1:8" x14ac:dyDescent="0.2">
      <c r="A37" s="568">
        <v>42923</v>
      </c>
      <c r="B37" s="558">
        <f>899.92+2410.56</f>
        <v>3310.48</v>
      </c>
      <c r="C37" s="558">
        <v>3059.59</v>
      </c>
      <c r="D37" s="558">
        <f>952.56+2445.69</f>
        <v>3398.25</v>
      </c>
      <c r="E37" s="558">
        <f>1313.52+1315.48</f>
        <v>2629</v>
      </c>
      <c r="F37" s="558">
        <v>3092.18</v>
      </c>
      <c r="G37" s="558">
        <v>2501.6799999999998</v>
      </c>
      <c r="H37" s="558">
        <f t="shared" si="2"/>
        <v>-590.5</v>
      </c>
    </row>
    <row r="38" spans="1:8" x14ac:dyDescent="0.2">
      <c r="A38" s="560">
        <v>42930</v>
      </c>
      <c r="B38" s="558">
        <v>2613.8200000000002</v>
      </c>
      <c r="C38" s="558">
        <v>4164.28</v>
      </c>
      <c r="D38" s="561">
        <v>3621.49</v>
      </c>
      <c r="E38" s="561">
        <v>3328.78</v>
      </c>
      <c r="F38" s="558">
        <v>4363</v>
      </c>
      <c r="G38" s="558">
        <v>3463.97</v>
      </c>
      <c r="H38" s="558">
        <f t="shared" si="2"/>
        <v>-899.0300000000002</v>
      </c>
    </row>
    <row r="39" spans="1:8" x14ac:dyDescent="0.2">
      <c r="A39" s="560">
        <v>42937</v>
      </c>
      <c r="B39" s="561">
        <v>2285.09</v>
      </c>
      <c r="C39" s="561">
        <v>3698.36</v>
      </c>
      <c r="D39" s="561">
        <v>3478.53</v>
      </c>
      <c r="E39" s="561">
        <v>4114.08</v>
      </c>
      <c r="F39" s="558">
        <v>3936.33</v>
      </c>
      <c r="G39" s="558">
        <v>3416.66</v>
      </c>
      <c r="H39" s="558">
        <f t="shared" si="2"/>
        <v>-519.67000000000007</v>
      </c>
    </row>
    <row r="40" spans="1:8" x14ac:dyDescent="0.2">
      <c r="A40" s="560">
        <v>42944</v>
      </c>
      <c r="B40" s="561">
        <v>1982.06</v>
      </c>
      <c r="C40" s="561">
        <v>3907.78</v>
      </c>
      <c r="D40" s="561">
        <v>3713.11</v>
      </c>
      <c r="E40" s="561">
        <v>4010.57</v>
      </c>
      <c r="F40" s="558">
        <v>3962.85</v>
      </c>
      <c r="G40" s="558">
        <v>3139.68</v>
      </c>
      <c r="H40" s="558">
        <f t="shared" si="2"/>
        <v>-823.17000000000007</v>
      </c>
    </row>
    <row r="41" spans="1:8" x14ac:dyDescent="0.2">
      <c r="A41" s="560">
        <v>42951</v>
      </c>
      <c r="B41" s="561">
        <v>2442</v>
      </c>
      <c r="C41" s="561">
        <v>3807.12</v>
      </c>
      <c r="D41" s="561">
        <v>3318.21</v>
      </c>
      <c r="E41" s="561">
        <v>3520.16</v>
      </c>
      <c r="F41" s="558">
        <v>3810.8</v>
      </c>
      <c r="G41" s="558">
        <v>3171.9</v>
      </c>
      <c r="H41" s="558">
        <f t="shared" si="2"/>
        <v>-638.90000000000009</v>
      </c>
    </row>
    <row r="42" spans="1:8" x14ac:dyDescent="0.2">
      <c r="A42" s="560">
        <v>42958</v>
      </c>
      <c r="B42" s="561">
        <v>2003.68</v>
      </c>
      <c r="C42" s="561">
        <v>3636.64</v>
      </c>
      <c r="D42" s="561">
        <v>2999.63</v>
      </c>
      <c r="E42" s="561">
        <v>3150.64</v>
      </c>
      <c r="F42" s="558">
        <v>3905.08</v>
      </c>
      <c r="G42" s="558">
        <v>3339.76</v>
      </c>
      <c r="H42" s="558">
        <f t="shared" si="2"/>
        <v>-565.31999999999971</v>
      </c>
    </row>
    <row r="43" spans="1:8" x14ac:dyDescent="0.2">
      <c r="A43" s="560">
        <v>42965</v>
      </c>
      <c r="B43" s="561">
        <v>1971.38</v>
      </c>
      <c r="C43" s="561">
        <v>3658.28</v>
      </c>
      <c r="D43" s="561">
        <v>4080.16</v>
      </c>
      <c r="E43" s="561">
        <v>3780.2</v>
      </c>
      <c r="F43" s="558">
        <v>3747.05</v>
      </c>
      <c r="G43" s="558">
        <v>3333.42</v>
      </c>
      <c r="H43" s="558">
        <f t="shared" si="2"/>
        <v>-413.63000000000011</v>
      </c>
    </row>
    <row r="44" spans="1:8" x14ac:dyDescent="0.2">
      <c r="A44" s="560">
        <v>42972</v>
      </c>
      <c r="B44" s="561">
        <v>2725.14</v>
      </c>
      <c r="C44" s="561">
        <v>4096.0200000000004</v>
      </c>
      <c r="D44" s="561">
        <v>4309.82</v>
      </c>
      <c r="E44" s="561">
        <v>3361.86</v>
      </c>
      <c r="F44" s="558">
        <v>3788.4</v>
      </c>
      <c r="G44" s="558">
        <v>3772.14</v>
      </c>
      <c r="H44" s="558">
        <f t="shared" si="2"/>
        <v>-16.260000000000218</v>
      </c>
    </row>
    <row r="45" spans="1:8" x14ac:dyDescent="0.2">
      <c r="A45" s="560">
        <v>42979</v>
      </c>
      <c r="B45" s="561">
        <v>2749.96</v>
      </c>
      <c r="C45" s="561">
        <v>3825.18</v>
      </c>
      <c r="D45" s="561">
        <v>3712.48</v>
      </c>
      <c r="E45" s="561">
        <v>3605.07</v>
      </c>
      <c r="F45" s="558">
        <v>3858.34</v>
      </c>
      <c r="G45" s="558">
        <v>3206</v>
      </c>
      <c r="H45" s="558">
        <f t="shared" si="2"/>
        <v>-652.34000000000015</v>
      </c>
    </row>
    <row r="46" spans="1:8" x14ac:dyDescent="0.2">
      <c r="A46" s="560">
        <v>42986</v>
      </c>
      <c r="B46" s="561">
        <v>2323.9</v>
      </c>
      <c r="C46" s="561">
        <v>2717.46</v>
      </c>
      <c r="D46" s="561">
        <v>3072.96</v>
      </c>
      <c r="E46" s="561">
        <f>753.86+2730.15</f>
        <v>3484.01</v>
      </c>
      <c r="F46" s="558">
        <v>3265.99</v>
      </c>
      <c r="G46" s="558">
        <v>2271.2199999999998</v>
      </c>
      <c r="H46" s="558">
        <f t="shared" si="2"/>
        <v>-994.77</v>
      </c>
    </row>
    <row r="47" spans="1:8" x14ac:dyDescent="0.2">
      <c r="A47" s="560">
        <v>42993</v>
      </c>
      <c r="B47" s="561">
        <v>2621.61</v>
      </c>
      <c r="C47" s="561">
        <v>3748.38</v>
      </c>
      <c r="D47" s="561">
        <v>3926.25</v>
      </c>
      <c r="E47" s="561">
        <v>3212.96</v>
      </c>
      <c r="F47" s="558">
        <v>3712.16</v>
      </c>
      <c r="G47" s="558">
        <v>2688.36</v>
      </c>
      <c r="H47" s="558">
        <f t="shared" si="2"/>
        <v>-1023.7999999999997</v>
      </c>
    </row>
    <row r="48" spans="1:8" x14ac:dyDescent="0.2">
      <c r="A48" s="560">
        <v>43000</v>
      </c>
      <c r="B48" s="561">
        <v>2394.14</v>
      </c>
      <c r="C48" s="561">
        <v>3766.8</v>
      </c>
      <c r="D48" s="561">
        <v>4164.1899999999996</v>
      </c>
      <c r="E48" s="561">
        <v>4004.92</v>
      </c>
      <c r="F48" s="558">
        <v>3509.17</v>
      </c>
      <c r="G48" s="558">
        <v>3180.04</v>
      </c>
      <c r="H48" s="558">
        <f t="shared" si="2"/>
        <v>-329.13000000000011</v>
      </c>
    </row>
    <row r="49" spans="1:8" ht="15" thickBot="1" x14ac:dyDescent="0.25">
      <c r="A49" s="560">
        <v>43007</v>
      </c>
      <c r="B49" s="564">
        <v>2669.64</v>
      </c>
      <c r="C49" s="564">
        <v>4136.58</v>
      </c>
      <c r="D49" s="564">
        <v>3566.31</v>
      </c>
      <c r="E49" s="564">
        <v>3837.41</v>
      </c>
      <c r="F49" s="565">
        <v>3803.3</v>
      </c>
      <c r="G49" s="565">
        <v>2437.88</v>
      </c>
      <c r="H49" s="558">
        <f t="shared" si="2"/>
        <v>-1365.42</v>
      </c>
    </row>
    <row r="50" spans="1:8" ht="16.5" thickBot="1" x14ac:dyDescent="0.25">
      <c r="A50" s="566" t="s">
        <v>292</v>
      </c>
      <c r="B50" s="567">
        <f>SUM(B37:B49)</f>
        <v>32092.899999999998</v>
      </c>
      <c r="C50" s="567">
        <f>SUM(C37:C49)</f>
        <v>48222.47</v>
      </c>
      <c r="D50" s="567">
        <f>SUM(D37:D49)</f>
        <v>47361.39</v>
      </c>
      <c r="E50" s="567">
        <f>SUM(E37:E49)</f>
        <v>46039.66</v>
      </c>
      <c r="F50" s="567">
        <f t="shared" ref="F50:H50" si="4">SUM(F37:F49)</f>
        <v>48754.649999999994</v>
      </c>
      <c r="G50" s="567">
        <f t="shared" si="4"/>
        <v>39922.71</v>
      </c>
      <c r="H50" s="567">
        <f t="shared" si="4"/>
        <v>-8831.9399999999987</v>
      </c>
    </row>
    <row r="51" spans="1:8" x14ac:dyDescent="0.2">
      <c r="A51" s="568">
        <v>43014</v>
      </c>
      <c r="B51" s="558">
        <v>3051.16</v>
      </c>
      <c r="C51" s="558">
        <v>4721</v>
      </c>
      <c r="D51" s="558">
        <f>1531.24+2227.04</f>
        <v>3758.2799999999997</v>
      </c>
      <c r="E51" s="558">
        <v>3921.83</v>
      </c>
      <c r="F51" s="558">
        <v>3911.96</v>
      </c>
      <c r="G51" s="558">
        <v>3047.82</v>
      </c>
      <c r="H51" s="558">
        <f t="shared" si="2"/>
        <v>-864.13999999999987</v>
      </c>
    </row>
    <row r="52" spans="1:8" x14ac:dyDescent="0.2">
      <c r="A52" s="560">
        <v>43021</v>
      </c>
      <c r="B52" s="561">
        <v>2579.96</v>
      </c>
      <c r="C52" s="561">
        <v>4035.24</v>
      </c>
      <c r="D52" s="561">
        <v>4232.92</v>
      </c>
      <c r="E52" s="561">
        <v>3403.46</v>
      </c>
      <c r="F52" s="558">
        <v>3093.5</v>
      </c>
      <c r="G52" s="558">
        <v>2010.94</v>
      </c>
      <c r="H52" s="558">
        <f t="shared" si="2"/>
        <v>-1082.56</v>
      </c>
    </row>
    <row r="53" spans="1:8" x14ac:dyDescent="0.2">
      <c r="A53" s="560">
        <v>43028</v>
      </c>
      <c r="B53" s="561">
        <v>3119.16</v>
      </c>
      <c r="C53" s="561">
        <v>2972.08</v>
      </c>
      <c r="D53" s="561">
        <v>3057.22</v>
      </c>
      <c r="E53" s="561">
        <v>3116.16</v>
      </c>
      <c r="F53" s="558">
        <v>4261.32</v>
      </c>
      <c r="G53" s="558">
        <v>3314.5</v>
      </c>
      <c r="H53" s="558">
        <f t="shared" si="2"/>
        <v>-946.81999999999971</v>
      </c>
    </row>
    <row r="54" spans="1:8" x14ac:dyDescent="0.2">
      <c r="A54" s="560">
        <v>43035</v>
      </c>
      <c r="B54" s="561">
        <v>2378.1999999999998</v>
      </c>
      <c r="C54" s="561">
        <v>3341.66</v>
      </c>
      <c r="D54" s="561">
        <v>3745.65</v>
      </c>
      <c r="E54" s="561">
        <v>3664.58</v>
      </c>
      <c r="F54" s="558">
        <v>3860.55</v>
      </c>
      <c r="G54" s="558">
        <v>2905</v>
      </c>
      <c r="H54" s="558">
        <f t="shared" si="2"/>
        <v>-955.55000000000018</v>
      </c>
    </row>
    <row r="55" spans="1:8" x14ac:dyDescent="0.2">
      <c r="A55" s="560">
        <v>43042</v>
      </c>
      <c r="B55" s="561">
        <v>2153.36</v>
      </c>
      <c r="C55" s="561">
        <v>3165.08</v>
      </c>
      <c r="D55" s="561">
        <f>3171.04+47.44+30.24</f>
        <v>3248.72</v>
      </c>
      <c r="E55" s="561">
        <v>3792.71</v>
      </c>
      <c r="F55" s="558">
        <v>3942.48</v>
      </c>
      <c r="G55" s="558">
        <v>3169.18</v>
      </c>
      <c r="H55" s="558">
        <f t="shared" si="2"/>
        <v>-773.30000000000018</v>
      </c>
    </row>
    <row r="56" spans="1:8" x14ac:dyDescent="0.2">
      <c r="A56" s="560">
        <v>43049</v>
      </c>
      <c r="B56" s="561">
        <v>1549.7</v>
      </c>
      <c r="C56" s="561">
        <v>3024.18</v>
      </c>
      <c r="D56" s="561">
        <v>3967.37</v>
      </c>
      <c r="E56" s="561">
        <v>3804.52</v>
      </c>
      <c r="F56" s="558">
        <v>3933.48</v>
      </c>
      <c r="G56" s="558">
        <v>2670.04</v>
      </c>
      <c r="H56" s="558">
        <f t="shared" si="2"/>
        <v>-1263.44</v>
      </c>
    </row>
    <row r="57" spans="1:8" x14ac:dyDescent="0.2">
      <c r="A57" s="560">
        <v>43056</v>
      </c>
      <c r="B57" s="561">
        <f>(5311.2-178.1)*0.5</f>
        <v>2566.5499999999997</v>
      </c>
      <c r="C57" s="561">
        <v>3500.86</v>
      </c>
      <c r="D57" s="561">
        <v>4007.55</v>
      </c>
      <c r="E57" s="561">
        <v>3693.64</v>
      </c>
      <c r="F57" s="558">
        <v>3860.4</v>
      </c>
      <c r="G57" s="558">
        <v>2400.7199999999998</v>
      </c>
      <c r="H57" s="558">
        <f t="shared" si="2"/>
        <v>-1459.6800000000003</v>
      </c>
    </row>
    <row r="58" spans="1:8" x14ac:dyDescent="0.2">
      <c r="A58" s="560">
        <v>43063</v>
      </c>
      <c r="B58" s="561">
        <f>(5311.2-178.1)*0.5</f>
        <v>2566.5499999999997</v>
      </c>
      <c r="C58" s="561">
        <v>4015.8</v>
      </c>
      <c r="D58" s="561">
        <v>4445.62</v>
      </c>
      <c r="E58" s="561">
        <v>3499.88</v>
      </c>
      <c r="F58" s="558">
        <v>1675.8</v>
      </c>
      <c r="G58" s="558">
        <v>1268.44</v>
      </c>
      <c r="H58" s="558">
        <f t="shared" si="2"/>
        <v>-407.3599999999999</v>
      </c>
    </row>
    <row r="59" spans="1:8" x14ac:dyDescent="0.2">
      <c r="A59" s="560">
        <v>43070</v>
      </c>
      <c r="B59" s="561">
        <v>3577.34</v>
      </c>
      <c r="C59" s="561">
        <v>2434.3200000000002</v>
      </c>
      <c r="D59" s="561">
        <v>1953.09</v>
      </c>
      <c r="E59" s="561">
        <v>2000.54</v>
      </c>
      <c r="F59" s="558">
        <v>3669.06</v>
      </c>
      <c r="G59" s="558">
        <v>2816.72</v>
      </c>
      <c r="H59" s="558">
        <f t="shared" si="2"/>
        <v>-852.34000000000015</v>
      </c>
    </row>
    <row r="60" spans="1:8" x14ac:dyDescent="0.2">
      <c r="A60" s="560">
        <v>43077</v>
      </c>
      <c r="B60" s="561">
        <v>3486.12</v>
      </c>
      <c r="C60" s="561">
        <v>3291.9</v>
      </c>
      <c r="D60" s="561">
        <v>3710.06</v>
      </c>
      <c r="E60" s="561">
        <f>2372.46+627.88</f>
        <v>3000.34</v>
      </c>
      <c r="F60" s="558">
        <v>3225.52</v>
      </c>
      <c r="G60" s="558">
        <v>2427</v>
      </c>
      <c r="H60" s="558">
        <f t="shared" si="2"/>
        <v>-798.52</v>
      </c>
    </row>
    <row r="61" spans="1:8" x14ac:dyDescent="0.2">
      <c r="A61" s="560">
        <v>43084</v>
      </c>
      <c r="B61" s="561">
        <v>3539.16</v>
      </c>
      <c r="C61" s="561">
        <v>4047.94</v>
      </c>
      <c r="D61" s="561">
        <v>3873.59</v>
      </c>
      <c r="E61" s="561">
        <v>4104.09</v>
      </c>
      <c r="F61" s="558">
        <v>2933.78</v>
      </c>
      <c r="G61" s="558">
        <v>2427</v>
      </c>
      <c r="H61" s="558">
        <f t="shared" si="2"/>
        <v>-506.7800000000002</v>
      </c>
    </row>
    <row r="62" spans="1:8" x14ac:dyDescent="0.2">
      <c r="A62" s="560">
        <v>43091</v>
      </c>
      <c r="B62" s="561">
        <v>1609.64</v>
      </c>
      <c r="C62" s="561">
        <v>3903.54</v>
      </c>
      <c r="D62" s="561">
        <v>3580.24</v>
      </c>
      <c r="E62" s="561">
        <v>3625.1</v>
      </c>
      <c r="F62" s="558">
        <v>3555.5</v>
      </c>
      <c r="G62" s="558">
        <v>2649.12</v>
      </c>
      <c r="H62" s="558">
        <f t="shared" si="2"/>
        <v>-906.38000000000011</v>
      </c>
    </row>
    <row r="63" spans="1:8" ht="15" thickBot="1" x14ac:dyDescent="0.25">
      <c r="A63" s="569">
        <v>43098</v>
      </c>
      <c r="B63" s="570">
        <v>5154.84</v>
      </c>
      <c r="C63" s="570">
        <v>2331.48</v>
      </c>
      <c r="D63" s="570">
        <v>2383.63</v>
      </c>
      <c r="E63" s="570">
        <v>2256.69</v>
      </c>
      <c r="F63" s="571">
        <v>2486.06</v>
      </c>
      <c r="G63" s="571">
        <v>2088.3000000000002</v>
      </c>
      <c r="H63" s="558">
        <f t="shared" si="2"/>
        <v>-397.75999999999976</v>
      </c>
    </row>
    <row r="64" spans="1:8" ht="16.5" thickBot="1" x14ac:dyDescent="0.25">
      <c r="A64" s="566" t="s">
        <v>293</v>
      </c>
      <c r="B64" s="567">
        <f>SUM(B51:B63)</f>
        <v>37331.74</v>
      </c>
      <c r="C64" s="567">
        <f>SUM(C51:C63)</f>
        <v>44785.08</v>
      </c>
      <c r="D64" s="567">
        <f>SUM(D51:D63)</f>
        <v>45963.939999999988</v>
      </c>
      <c r="E64" s="567">
        <f>SUM(E51:E63)</f>
        <v>43883.54</v>
      </c>
      <c r="F64" s="567">
        <f>SUM(F51:F63)</f>
        <v>44409.409999999996</v>
      </c>
      <c r="G64" s="567">
        <f t="shared" ref="G64" si="5">SUM(G51:G63)</f>
        <v>33194.78</v>
      </c>
      <c r="H64" s="567">
        <f>SUM(H51:H63)</f>
        <v>-11214.63</v>
      </c>
    </row>
    <row r="65" spans="1:8" ht="15.75" x14ac:dyDescent="0.25">
      <c r="A65" s="572" t="s">
        <v>294</v>
      </c>
      <c r="B65" s="573">
        <f t="shared" ref="B65:H65" si="6">SUM(B9:B63)-B22-B36-B50</f>
        <v>139328.74</v>
      </c>
      <c r="C65" s="573">
        <f t="shared" si="6"/>
        <v>199253.05999999985</v>
      </c>
      <c r="D65" s="573">
        <f t="shared" si="6"/>
        <v>184010.66000000003</v>
      </c>
      <c r="E65" s="573">
        <f t="shared" si="6"/>
        <v>185097.12000000014</v>
      </c>
      <c r="F65" s="573">
        <f t="shared" si="6"/>
        <v>194384.88000000003</v>
      </c>
      <c r="G65" s="573">
        <f t="shared" si="6"/>
        <v>157031.36999999994</v>
      </c>
      <c r="H65" s="573">
        <f t="shared" si="6"/>
        <v>-37353.509999999995</v>
      </c>
    </row>
    <row r="66" spans="1:8" x14ac:dyDescent="0.2">
      <c r="A66" s="56" t="s">
        <v>295</v>
      </c>
      <c r="B66" s="574">
        <f t="shared" ref="B66:G66" si="7">AVERAGE(B9:B21)</f>
        <v>2043.7076923076925</v>
      </c>
      <c r="C66" s="575">
        <f t="shared" si="7"/>
        <v>3924.3692307692318</v>
      </c>
      <c r="D66" s="575">
        <f t="shared" si="7"/>
        <v>3374.6030769230765</v>
      </c>
      <c r="E66" s="575">
        <f t="shared" si="7"/>
        <v>3340.4923076923073</v>
      </c>
      <c r="F66" s="575">
        <f t="shared" si="7"/>
        <v>3902.6661538461535</v>
      </c>
      <c r="G66" s="574">
        <f t="shared" si="7"/>
        <v>2699.5315384615378</v>
      </c>
      <c r="H66" s="576">
        <f>G66-F66</f>
        <v>-1203.1346153846157</v>
      </c>
    </row>
    <row r="67" spans="1:8" x14ac:dyDescent="0.2">
      <c r="A67" s="56" t="s">
        <v>296</v>
      </c>
      <c r="B67" s="577">
        <f t="shared" ref="B67:G67" si="8">AVERAGE(B23:B35)</f>
        <v>3333.5307692307692</v>
      </c>
      <c r="C67" s="578">
        <f t="shared" si="8"/>
        <v>4248.3623076923086</v>
      </c>
      <c r="D67" s="578">
        <f t="shared" si="8"/>
        <v>3601.1915384615381</v>
      </c>
      <c r="E67" s="578">
        <f t="shared" si="8"/>
        <v>3980.5784615384619</v>
      </c>
      <c r="F67" s="578">
        <f t="shared" si="8"/>
        <v>3883.5507692307683</v>
      </c>
      <c r="G67" s="577">
        <f t="shared" si="8"/>
        <v>3755.3823076923081</v>
      </c>
      <c r="H67" s="579">
        <f>G67-F67</f>
        <v>-128.16846153846018</v>
      </c>
    </row>
    <row r="68" spans="1:8" x14ac:dyDescent="0.2">
      <c r="A68" s="56" t="s">
        <v>297</v>
      </c>
      <c r="B68" s="577">
        <f t="shared" ref="B68:F68" si="9">AVERAGE(B37:B49)</f>
        <v>2468.6846153846154</v>
      </c>
      <c r="C68" s="578">
        <f t="shared" si="9"/>
        <v>3709.4207692307691</v>
      </c>
      <c r="D68" s="578">
        <f t="shared" si="9"/>
        <v>3643.1838461538459</v>
      </c>
      <c r="E68" s="578">
        <f t="shared" si="9"/>
        <v>3541.5123076923078</v>
      </c>
      <c r="F68" s="578">
        <f t="shared" si="9"/>
        <v>3750.3576923076917</v>
      </c>
      <c r="G68" s="578">
        <f>AVERAGE(G37:G49)</f>
        <v>3070.9776923076925</v>
      </c>
      <c r="H68" s="579">
        <f>G68-F68</f>
        <v>-679.3799999999992</v>
      </c>
    </row>
    <row r="69" spans="1:8" x14ac:dyDescent="0.2">
      <c r="A69" s="56" t="s">
        <v>298</v>
      </c>
      <c r="B69" s="580">
        <f t="shared" ref="B69:G69" si="10">AVERAGE(B51:B63)</f>
        <v>2871.6723076923076</v>
      </c>
      <c r="C69" s="581">
        <f t="shared" si="10"/>
        <v>3445.0061538461541</v>
      </c>
      <c r="D69" s="581">
        <f t="shared" si="10"/>
        <v>3535.6876923076916</v>
      </c>
      <c r="E69" s="582">
        <f t="shared" si="10"/>
        <v>3375.6569230769232</v>
      </c>
      <c r="F69" s="582">
        <f t="shared" si="10"/>
        <v>3416.1084615384611</v>
      </c>
      <c r="G69" s="582">
        <f t="shared" si="10"/>
        <v>2553.4446153846152</v>
      </c>
      <c r="H69" s="583">
        <f>G69-F69</f>
        <v>-862.66384615384595</v>
      </c>
    </row>
    <row r="71" spans="1:8" x14ac:dyDescent="0.2">
      <c r="H71" s="550"/>
    </row>
    <row r="74" spans="1:8" x14ac:dyDescent="0.2">
      <c r="C74" s="551"/>
    </row>
    <row r="75" spans="1:8" x14ac:dyDescent="0.2">
      <c r="C75" s="551"/>
    </row>
  </sheetData>
  <mergeCells count="1">
    <mergeCell ref="A5:H5"/>
  </mergeCells>
  <pageMargins left="1.2" right="0.2" top="0.25" bottom="0.5" header="0.3" footer="0.3"/>
  <pageSetup scale="74"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3"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94</v>
      </c>
      <c r="B1" s="59"/>
      <c r="C1" s="60"/>
      <c r="D1" s="60"/>
      <c r="E1" s="60"/>
      <c r="F1" s="59"/>
      <c r="G1" s="230"/>
      <c r="H1" s="500"/>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263</v>
      </c>
      <c r="B2" s="59"/>
      <c r="C2" s="60"/>
      <c r="D2" s="60"/>
      <c r="E2" s="60"/>
      <c r="F2" s="59"/>
      <c r="G2" s="230"/>
      <c r="H2" s="500"/>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258</v>
      </c>
      <c r="B3" s="59"/>
      <c r="C3" s="60"/>
      <c r="D3" s="60"/>
      <c r="E3" s="60"/>
      <c r="F3" s="59"/>
      <c r="G3" s="230"/>
      <c r="H3" s="500"/>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264</v>
      </c>
      <c r="B4" s="59"/>
      <c r="C4" s="60"/>
      <c r="D4" s="60"/>
      <c r="E4" s="60"/>
      <c r="F4" s="59"/>
      <c r="G4" s="230"/>
      <c r="H4" s="500"/>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1"/>
      <c r="H5" s="501"/>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497" t="s">
        <v>49</v>
      </c>
      <c r="H6" s="486"/>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2"/>
      <c r="H7" s="368"/>
    </row>
    <row r="8" spans="1:143" s="72" customFormat="1" ht="21" thickBot="1" x14ac:dyDescent="0.35">
      <c r="A8" s="69"/>
      <c r="B8" s="153" t="s">
        <v>100</v>
      </c>
      <c r="C8" s="153"/>
      <c r="D8" s="153"/>
      <c r="E8" s="153"/>
      <c r="F8" s="153"/>
      <c r="G8" s="281"/>
      <c r="H8" s="502"/>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0" t="s">
        <v>101</v>
      </c>
      <c r="D9" s="420"/>
      <c r="E9" s="420"/>
      <c r="F9" s="73"/>
      <c r="G9" s="263">
        <v>1015000</v>
      </c>
      <c r="H9" s="3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0" t="s">
        <v>173</v>
      </c>
      <c r="D10" s="420"/>
      <c r="E10" s="420"/>
      <c r="F10" s="73"/>
      <c r="G10" s="264">
        <v>13000</v>
      </c>
      <c r="H10" s="3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2"/>
      <c r="C11" s="420" t="s">
        <v>150</v>
      </c>
      <c r="D11" s="420"/>
      <c r="E11" s="420"/>
      <c r="F11" s="73"/>
      <c r="G11" s="264">
        <v>195000</v>
      </c>
      <c r="H11" s="3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2"/>
      <c r="C12" s="420" t="s">
        <v>179</v>
      </c>
      <c r="D12" s="420"/>
      <c r="E12" s="420"/>
      <c r="F12" s="73"/>
      <c r="G12" s="264">
        <v>40000</v>
      </c>
      <c r="H12" s="3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2"/>
      <c r="C13" s="420" t="s">
        <v>102</v>
      </c>
      <c r="D13" s="420"/>
      <c r="E13" s="420"/>
      <c r="F13" s="73"/>
      <c r="G13" s="264"/>
      <c r="H13" s="3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2"/>
      <c r="C14" s="77"/>
      <c r="D14" s="420" t="s">
        <v>139</v>
      </c>
      <c r="E14" s="420"/>
      <c r="F14" s="73"/>
      <c r="G14" s="264">
        <f>43900+41500+122000</f>
        <v>207400</v>
      </c>
      <c r="H14" s="3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2"/>
      <c r="C15" s="77"/>
      <c r="D15" s="420" t="s">
        <v>159</v>
      </c>
      <c r="E15" s="420"/>
      <c r="F15" s="73"/>
      <c r="G15" s="264">
        <v>11000</v>
      </c>
      <c r="H15" s="3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2"/>
      <c r="C16" s="420" t="s">
        <v>103</v>
      </c>
      <c r="D16" s="420"/>
      <c r="E16" s="420"/>
      <c r="F16" s="73"/>
      <c r="G16" s="264">
        <v>9500</v>
      </c>
      <c r="H16" s="3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2"/>
      <c r="C17" s="420" t="s">
        <v>110</v>
      </c>
      <c r="D17" s="420"/>
      <c r="E17" s="420"/>
      <c r="F17" s="73"/>
      <c r="G17" s="264">
        <v>1000</v>
      </c>
      <c r="H17" s="3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2"/>
      <c r="C18" s="420" t="s">
        <v>237</v>
      </c>
      <c r="D18" s="420"/>
      <c r="E18" s="420"/>
      <c r="F18" s="73"/>
      <c r="G18" s="264">
        <v>3000</v>
      </c>
      <c r="H18" s="3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2"/>
      <c r="C19" s="420" t="s">
        <v>238</v>
      </c>
      <c r="D19" s="420"/>
      <c r="E19" s="420"/>
      <c r="F19" s="73"/>
      <c r="G19" s="264">
        <f>25000+8000+20000</f>
        <v>53000</v>
      </c>
      <c r="H19" s="3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2"/>
      <c r="C20" s="420" t="s">
        <v>145</v>
      </c>
      <c r="D20" s="420"/>
      <c r="E20" s="420"/>
      <c r="F20" s="73"/>
      <c r="G20" s="264">
        <v>500</v>
      </c>
      <c r="H20" s="3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2"/>
      <c r="C21" s="420" t="s">
        <v>164</v>
      </c>
      <c r="D21" s="420"/>
      <c r="E21" s="420"/>
      <c r="F21" s="73"/>
      <c r="G21" s="264"/>
      <c r="H21" s="3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2"/>
      <c r="C22" s="420" t="s">
        <v>109</v>
      </c>
      <c r="D22" s="420"/>
      <c r="E22" s="420"/>
      <c r="F22" s="73"/>
      <c r="G22" s="265">
        <v>46575</v>
      </c>
      <c r="H22" s="3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2"/>
      <c r="C23" s="420"/>
      <c r="D23" s="73" t="s">
        <v>105</v>
      </c>
      <c r="E23" s="420"/>
      <c r="F23" s="73"/>
      <c r="G23" s="234">
        <f>SUM(G9:G22)</f>
        <v>1594975</v>
      </c>
      <c r="H23" s="3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2"/>
      <c r="C24" s="73" t="s">
        <v>106</v>
      </c>
      <c r="D24" s="420"/>
      <c r="E24" s="420"/>
      <c r="F24" s="73"/>
      <c r="G24" s="241">
        <f>68000+18000</f>
        <v>86000</v>
      </c>
      <c r="H24" s="3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2"/>
      <c r="C25" s="420"/>
      <c r="D25" s="73" t="s">
        <v>107</v>
      </c>
      <c r="E25" s="420"/>
      <c r="F25" s="73"/>
      <c r="G25" s="234">
        <f>SUM(G23:G24)</f>
        <v>1680975</v>
      </c>
      <c r="H25" s="3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2"/>
      <c r="C26" s="420"/>
      <c r="D26" s="73"/>
      <c r="E26" s="420"/>
      <c r="F26" s="73"/>
      <c r="G26" s="234"/>
      <c r="H26" s="3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3" t="s">
        <v>111</v>
      </c>
      <c r="C27" s="87"/>
      <c r="D27" s="87"/>
      <c r="E27" s="87"/>
      <c r="F27" s="87"/>
      <c r="G27" s="241"/>
      <c r="H27" s="3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4"/>
      <c r="C28" s="79" t="s">
        <v>112</v>
      </c>
      <c r="D28" s="79"/>
      <c r="E28" s="79"/>
      <c r="F28" s="79"/>
      <c r="G28" s="232">
        <f>ROUND((898643.55+40000)*1.02,-2)</f>
        <v>957400</v>
      </c>
      <c r="H28" s="368"/>
    </row>
    <row r="29" spans="1:143" s="68" customFormat="1" ht="20.25" x14ac:dyDescent="0.2">
      <c r="A29" s="67"/>
      <c r="B29" s="394"/>
      <c r="C29" s="79" t="s">
        <v>113</v>
      </c>
      <c r="D29" s="79"/>
      <c r="E29" s="79"/>
      <c r="F29" s="79"/>
      <c r="G29" s="232">
        <f>ROUNDUP(G28*0.195,-2)</f>
        <v>186700</v>
      </c>
      <c r="H29" s="368"/>
    </row>
    <row r="30" spans="1:143" s="68" customFormat="1" ht="20.25" x14ac:dyDescent="0.2">
      <c r="A30" s="67"/>
      <c r="B30" s="394"/>
      <c r="C30" s="79" t="s">
        <v>114</v>
      </c>
      <c r="D30" s="79"/>
      <c r="E30" s="79"/>
      <c r="F30" s="79"/>
      <c r="G30" s="232">
        <f>48831-G22</f>
        <v>2256</v>
      </c>
      <c r="H30" s="368"/>
    </row>
    <row r="31" spans="1:143" s="68" customFormat="1" ht="20.25" x14ac:dyDescent="0.2">
      <c r="A31" s="67"/>
      <c r="B31" s="394"/>
      <c r="C31" s="79" t="s">
        <v>104</v>
      </c>
      <c r="D31" s="79"/>
      <c r="E31" s="79"/>
      <c r="F31" s="79"/>
      <c r="G31" s="232">
        <f>G22</f>
        <v>46575</v>
      </c>
      <c r="H31" s="368"/>
    </row>
    <row r="32" spans="1:143" s="68" customFormat="1" ht="20.25" x14ac:dyDescent="0.2">
      <c r="A32" s="67"/>
      <c r="B32" s="394"/>
      <c r="C32" s="79" t="s">
        <v>115</v>
      </c>
      <c r="D32" s="79"/>
      <c r="E32" s="79"/>
      <c r="F32" s="79"/>
      <c r="G32" s="232">
        <v>14000</v>
      </c>
      <c r="H32" s="368"/>
    </row>
    <row r="33" spans="1:8" s="68" customFormat="1" ht="20.25" x14ac:dyDescent="0.2">
      <c r="A33" s="67"/>
      <c r="B33" s="394"/>
      <c r="C33" s="79" t="s">
        <v>116</v>
      </c>
      <c r="D33" s="79"/>
      <c r="E33" s="79"/>
      <c r="F33" s="79"/>
      <c r="G33" s="232">
        <v>3500</v>
      </c>
      <c r="H33" s="368"/>
    </row>
    <row r="34" spans="1:8" s="68" customFormat="1" ht="20.25" x14ac:dyDescent="0.2">
      <c r="A34" s="67"/>
      <c r="B34" s="394"/>
      <c r="C34" s="79" t="s">
        <v>117</v>
      </c>
      <c r="D34" s="79"/>
      <c r="E34" s="79"/>
      <c r="F34" s="79"/>
      <c r="G34" s="232">
        <v>7000</v>
      </c>
      <c r="H34" s="368"/>
    </row>
    <row r="35" spans="1:8" s="68" customFormat="1" ht="20.25" x14ac:dyDescent="0.2">
      <c r="A35" s="67"/>
      <c r="B35" s="394"/>
      <c r="C35" s="79" t="s">
        <v>118</v>
      </c>
      <c r="D35" s="79"/>
      <c r="E35" s="79"/>
      <c r="F35" s="79"/>
      <c r="G35" s="232">
        <v>13500</v>
      </c>
      <c r="H35" s="368"/>
    </row>
    <row r="36" spans="1:8" s="68" customFormat="1" ht="20.25" x14ac:dyDescent="0.2">
      <c r="A36" s="67"/>
      <c r="B36" s="394"/>
      <c r="C36" s="79" t="s">
        <v>119</v>
      </c>
      <c r="D36" s="79"/>
      <c r="E36" s="79"/>
      <c r="F36" s="79"/>
      <c r="G36" s="232">
        <v>40000</v>
      </c>
      <c r="H36" s="368"/>
    </row>
    <row r="37" spans="1:8" s="68" customFormat="1" ht="20.25" x14ac:dyDescent="0.2">
      <c r="A37" s="67"/>
      <c r="B37" s="394"/>
      <c r="C37" s="79" t="s">
        <v>120</v>
      </c>
      <c r="D37" s="79"/>
      <c r="E37" s="79"/>
      <c r="F37" s="79"/>
      <c r="G37" s="232">
        <v>6600</v>
      </c>
      <c r="H37" s="368"/>
    </row>
    <row r="38" spans="1:8" s="68" customFormat="1" ht="20.25" x14ac:dyDescent="0.2">
      <c r="A38" s="67"/>
      <c r="B38" s="394"/>
      <c r="C38" s="79" t="s">
        <v>121</v>
      </c>
      <c r="D38" s="79"/>
      <c r="E38" s="79"/>
      <c r="F38" s="79"/>
      <c r="G38" s="232">
        <v>1500</v>
      </c>
      <c r="H38" s="368"/>
    </row>
    <row r="39" spans="1:8" s="68" customFormat="1" ht="20.25" x14ac:dyDescent="0.2">
      <c r="A39" s="67"/>
      <c r="B39" s="394"/>
      <c r="C39" s="79" t="s">
        <v>166</v>
      </c>
      <c r="D39" s="79"/>
      <c r="E39" s="79"/>
      <c r="F39" s="79"/>
      <c r="G39" s="232">
        <v>13700</v>
      </c>
      <c r="H39" s="368"/>
    </row>
    <row r="40" spans="1:8" s="76" customFormat="1" ht="20.25" x14ac:dyDescent="0.2">
      <c r="A40" s="79"/>
      <c r="B40" s="390"/>
      <c r="C40" s="79" t="s">
        <v>122</v>
      </c>
      <c r="D40" s="79"/>
      <c r="E40" s="79"/>
      <c r="F40" s="79"/>
      <c r="G40" s="322">
        <f>ROUNDUP(13248.87*1.05,-2)</f>
        <v>14000</v>
      </c>
      <c r="H40" s="367"/>
    </row>
    <row r="41" spans="1:8" s="76" customFormat="1" ht="20.25" x14ac:dyDescent="0.2">
      <c r="A41" s="79"/>
      <c r="B41" s="390"/>
      <c r="C41" s="79" t="s">
        <v>123</v>
      </c>
      <c r="D41" s="79"/>
      <c r="E41" s="79"/>
      <c r="F41" s="79"/>
      <c r="G41" s="232">
        <f>ROUNDUP(12343.85*1.03,-2)</f>
        <v>12800</v>
      </c>
      <c r="H41" s="367"/>
    </row>
    <row r="42" spans="1:8" s="76" customFormat="1" ht="20.25" x14ac:dyDescent="0.2">
      <c r="A42" s="79"/>
      <c r="B42" s="390"/>
      <c r="C42" s="79" t="s">
        <v>130</v>
      </c>
      <c r="D42" s="79"/>
      <c r="E42" s="79"/>
      <c r="F42" s="79"/>
      <c r="G42" s="232">
        <v>3000</v>
      </c>
      <c r="H42" s="367"/>
    </row>
    <row r="43" spans="1:8" s="76" customFormat="1" ht="20.25" x14ac:dyDescent="0.2">
      <c r="A43" s="79"/>
      <c r="B43" s="390"/>
      <c r="C43" s="79" t="s">
        <v>124</v>
      </c>
      <c r="D43" s="79"/>
      <c r="E43" s="79"/>
      <c r="F43" s="79"/>
      <c r="G43" s="322">
        <f>ROUNDUP((3067.88+8008.83)*1.05,-2)</f>
        <v>11700</v>
      </c>
      <c r="H43" s="367"/>
    </row>
    <row r="44" spans="1:8" s="68" customFormat="1" ht="20.25" x14ac:dyDescent="0.2">
      <c r="A44" s="67"/>
      <c r="B44" s="394"/>
      <c r="C44" s="79" t="s">
        <v>199</v>
      </c>
      <c r="D44" s="79"/>
      <c r="E44" s="79"/>
      <c r="F44" s="79"/>
      <c r="G44" s="232">
        <v>17000</v>
      </c>
      <c r="H44" s="368"/>
    </row>
    <row r="45" spans="1:8" s="76" customFormat="1" ht="20.25" x14ac:dyDescent="0.2">
      <c r="A45" s="79"/>
      <c r="B45" s="390"/>
      <c r="C45" s="79" t="s">
        <v>125</v>
      </c>
      <c r="D45" s="79"/>
      <c r="E45" s="79"/>
      <c r="F45" s="79"/>
      <c r="G45" s="322">
        <v>41000</v>
      </c>
      <c r="H45" s="367"/>
    </row>
    <row r="46" spans="1:8" s="76" customFormat="1" ht="20.25" x14ac:dyDescent="0.2">
      <c r="A46" s="79"/>
      <c r="B46" s="390"/>
      <c r="C46" s="79" t="s">
        <v>126</v>
      </c>
      <c r="D46" s="79"/>
      <c r="E46" s="79"/>
      <c r="F46" s="79"/>
      <c r="G46" s="322">
        <f>ROUNDUP((1800+4675.64+34905.29+1033.01-10000-2673-17150-1033+14000)*1.01,-2)</f>
        <v>25900</v>
      </c>
      <c r="H46" s="367"/>
    </row>
    <row r="47" spans="1:8" s="76" customFormat="1" ht="20.25" x14ac:dyDescent="0.2">
      <c r="A47" s="79"/>
      <c r="B47" s="390"/>
      <c r="C47" s="79" t="s">
        <v>167</v>
      </c>
      <c r="D47" s="79"/>
      <c r="E47" s="79"/>
      <c r="F47" s="79"/>
      <c r="G47" s="232">
        <v>36000</v>
      </c>
      <c r="H47" s="367"/>
    </row>
    <row r="48" spans="1:8" s="76" customFormat="1" ht="20.25" x14ac:dyDescent="0.2">
      <c r="A48" s="79"/>
      <c r="B48" s="390"/>
      <c r="C48" s="79" t="s">
        <v>165</v>
      </c>
      <c r="D48" s="79"/>
      <c r="E48" s="79"/>
      <c r="F48" s="79"/>
      <c r="G48" s="232">
        <f>ROUNDUP(46266.27*1.02,-2)</f>
        <v>47200</v>
      </c>
      <c r="H48" s="367"/>
    </row>
    <row r="49" spans="1:8" s="76" customFormat="1" ht="20.25" x14ac:dyDescent="0.2">
      <c r="A49" s="79"/>
      <c r="B49" s="390"/>
      <c r="C49" s="79" t="s">
        <v>127</v>
      </c>
      <c r="D49" s="79"/>
      <c r="E49" s="79"/>
      <c r="F49" s="79"/>
      <c r="G49" s="232">
        <f>ROUND((2604.31+166143.24-12000)*1.01,-2)</f>
        <v>158300</v>
      </c>
      <c r="H49" s="367"/>
    </row>
    <row r="50" spans="1:8" s="76" customFormat="1" ht="20.25" hidden="1" x14ac:dyDescent="0.2">
      <c r="A50" s="79"/>
      <c r="B50" s="390"/>
      <c r="C50" s="79" t="s">
        <v>259</v>
      </c>
      <c r="D50" s="79"/>
      <c r="E50" s="79"/>
      <c r="F50" s="79"/>
      <c r="G50" s="232"/>
      <c r="H50" s="367"/>
    </row>
    <row r="51" spans="1:8" s="68" customFormat="1" ht="20.25" x14ac:dyDescent="0.2">
      <c r="A51" s="67"/>
      <c r="B51" s="394"/>
      <c r="C51" s="67"/>
      <c r="D51" s="73" t="s">
        <v>128</v>
      </c>
      <c r="E51" s="67"/>
      <c r="F51" s="67"/>
      <c r="G51" s="237">
        <f>SUM(G28:G50)</f>
        <v>1659631</v>
      </c>
      <c r="H51" s="368"/>
    </row>
    <row r="52" spans="1:8" s="68" customFormat="1" ht="10.5" customHeight="1" thickBot="1" x14ac:dyDescent="0.25">
      <c r="A52" s="67"/>
      <c r="B52" s="394"/>
      <c r="C52" s="67"/>
      <c r="D52" s="73"/>
      <c r="E52" s="67"/>
      <c r="F52" s="67"/>
      <c r="G52" s="241"/>
      <c r="H52" s="368"/>
    </row>
    <row r="53" spans="1:8" s="68" customFormat="1" ht="21" thickBot="1" x14ac:dyDescent="0.25">
      <c r="A53" s="67"/>
      <c r="B53" s="394"/>
      <c r="C53" s="67"/>
      <c r="D53" s="67" t="s">
        <v>129</v>
      </c>
      <c r="E53" s="67"/>
      <c r="F53" s="67"/>
      <c r="G53" s="241">
        <f>G25-G51</f>
        <v>21344</v>
      </c>
      <c r="H53" s="368"/>
    </row>
    <row r="54" spans="1:8" s="68" customFormat="1" ht="11.25" customHeight="1" x14ac:dyDescent="0.2">
      <c r="A54" s="67"/>
      <c r="B54" s="394"/>
      <c r="C54" s="67"/>
      <c r="D54" s="67"/>
      <c r="E54" s="67"/>
      <c r="F54" s="67"/>
      <c r="G54" s="232"/>
      <c r="H54" s="368"/>
    </row>
    <row r="55" spans="1:8" s="76" customFormat="1" ht="20.25" x14ac:dyDescent="0.2">
      <c r="A55" s="79"/>
      <c r="B55" s="390"/>
      <c r="C55" s="79"/>
      <c r="D55" s="79"/>
      <c r="F55" s="79"/>
      <c r="G55" s="246"/>
      <c r="H55" s="367"/>
    </row>
    <row r="56" spans="1:8" s="76" customFormat="1" ht="20.25" x14ac:dyDescent="0.2">
      <c r="A56" s="79"/>
      <c r="B56" s="390"/>
      <c r="C56" s="79"/>
      <c r="D56" s="79"/>
      <c r="F56" s="79"/>
      <c r="G56" s="232"/>
      <c r="H56" s="367"/>
    </row>
    <row r="57" spans="1:8" s="76" customFormat="1" ht="20.25" x14ac:dyDescent="0.2">
      <c r="A57" s="79"/>
      <c r="B57" s="390"/>
      <c r="C57" s="79"/>
      <c r="D57" s="79"/>
      <c r="F57" s="79"/>
      <c r="G57" s="232"/>
      <c r="H57" s="367"/>
    </row>
    <row r="58" spans="1:8" s="76" customFormat="1" ht="20.25" x14ac:dyDescent="0.2">
      <c r="A58" s="79"/>
      <c r="B58" s="79"/>
      <c r="C58" s="79"/>
      <c r="D58" s="79"/>
      <c r="F58" s="79"/>
      <c r="G58" s="232"/>
      <c r="H58" s="367"/>
    </row>
    <row r="59" spans="1:8" s="76" customFormat="1" ht="20.25" x14ac:dyDescent="0.2">
      <c r="A59" s="79"/>
      <c r="B59" s="79"/>
      <c r="C59" s="79"/>
      <c r="D59" s="79"/>
      <c r="F59" s="79"/>
      <c r="G59" s="232"/>
      <c r="H59" s="367"/>
    </row>
    <row r="60" spans="1:8" s="76" customFormat="1" ht="20.25" x14ac:dyDescent="0.2">
      <c r="A60" s="79"/>
      <c r="B60" s="79"/>
      <c r="C60" s="79"/>
      <c r="D60" s="79"/>
      <c r="F60" s="79"/>
      <c r="G60" s="232"/>
      <c r="H60" s="367"/>
    </row>
    <row r="61" spans="1:8" s="76" customFormat="1" ht="20.25" x14ac:dyDescent="0.2">
      <c r="A61" s="79"/>
      <c r="B61" s="79"/>
      <c r="C61" s="67"/>
      <c r="D61" s="79"/>
      <c r="F61" s="79"/>
      <c r="G61" s="232"/>
      <c r="H61" s="367"/>
    </row>
    <row r="62" spans="1:8" s="76" customFormat="1" ht="20.25" x14ac:dyDescent="0.2">
      <c r="A62" s="79"/>
      <c r="B62" s="79"/>
      <c r="C62" s="79"/>
      <c r="D62" s="79"/>
      <c r="E62" s="79"/>
      <c r="F62" s="79"/>
      <c r="G62" s="232"/>
      <c r="H62" s="367"/>
    </row>
    <row r="63" spans="1:8" s="76" customFormat="1" ht="20.25" x14ac:dyDescent="0.2">
      <c r="A63" s="79"/>
      <c r="B63" s="79"/>
      <c r="C63" s="67"/>
      <c r="D63" s="67"/>
      <c r="G63" s="232"/>
      <c r="H63" s="367"/>
    </row>
    <row r="64" spans="1:8" s="76" customFormat="1" ht="20.25" x14ac:dyDescent="0.2">
      <c r="A64" s="79"/>
      <c r="B64" s="79"/>
      <c r="C64" s="79"/>
      <c r="D64" s="79"/>
      <c r="E64" s="79"/>
      <c r="F64" s="79"/>
      <c r="G64" s="232"/>
      <c r="H64" s="367"/>
    </row>
    <row r="65" spans="1:8" s="76" customFormat="1" ht="20.25" x14ac:dyDescent="0.2">
      <c r="A65" s="79"/>
      <c r="B65" s="79"/>
      <c r="C65" s="79"/>
      <c r="D65" s="79"/>
      <c r="E65" s="79"/>
      <c r="F65" s="79"/>
      <c r="G65" s="232"/>
      <c r="H65" s="367"/>
    </row>
    <row r="66" spans="1:8" s="76" customFormat="1" ht="20.25" x14ac:dyDescent="0.2">
      <c r="A66" s="79"/>
      <c r="B66" s="79"/>
      <c r="C66" s="79"/>
      <c r="D66" s="79"/>
      <c r="E66" s="79"/>
      <c r="F66" s="79"/>
      <c r="G66" s="232"/>
      <c r="H66" s="367"/>
    </row>
    <row r="67" spans="1:8" s="76" customFormat="1" ht="20.25" x14ac:dyDescent="0.2">
      <c r="A67" s="79"/>
      <c r="B67" s="79"/>
      <c r="C67" s="79"/>
      <c r="D67" s="79"/>
      <c r="E67" s="79"/>
      <c r="F67" s="79"/>
      <c r="G67" s="232"/>
      <c r="H67" s="367"/>
    </row>
    <row r="68" spans="1:8" s="76" customFormat="1" ht="20.25" x14ac:dyDescent="0.2">
      <c r="A68" s="79"/>
      <c r="B68" s="79"/>
      <c r="C68" s="67"/>
      <c r="D68" s="79"/>
      <c r="F68" s="79"/>
      <c r="G68" s="232"/>
      <c r="H68" s="367"/>
    </row>
    <row r="69" spans="1:8" s="76" customFormat="1" ht="20.25" x14ac:dyDescent="0.2">
      <c r="A69" s="79"/>
      <c r="B69" s="79"/>
      <c r="C69" s="79"/>
      <c r="D69" s="79"/>
      <c r="E69" s="79"/>
      <c r="F69" s="79"/>
      <c r="G69" s="232"/>
      <c r="H69" s="367"/>
    </row>
    <row r="70" spans="1:8" s="68" customFormat="1" ht="20.25" x14ac:dyDescent="0.2">
      <c r="A70" s="67"/>
      <c r="B70" s="67"/>
      <c r="C70" s="67"/>
      <c r="D70" s="67"/>
      <c r="E70" s="67"/>
      <c r="F70" s="67"/>
      <c r="G70" s="237"/>
      <c r="H70" s="368"/>
    </row>
    <row r="71" spans="1:8" s="68" customFormat="1" ht="20.25" x14ac:dyDescent="0.2">
      <c r="A71" s="67"/>
      <c r="B71" s="67"/>
      <c r="C71" s="67"/>
      <c r="D71" s="67"/>
      <c r="E71" s="67"/>
      <c r="F71" s="67"/>
      <c r="G71" s="237"/>
      <c r="H71" s="368"/>
    </row>
    <row r="72" spans="1:8" s="68" customFormat="1" ht="23.25" x14ac:dyDescent="0.2">
      <c r="A72" s="67"/>
      <c r="B72" s="271"/>
      <c r="C72" s="67"/>
      <c r="D72" s="67"/>
      <c r="E72" s="67"/>
      <c r="F72" s="67"/>
      <c r="G72" s="232"/>
      <c r="H72" s="368"/>
    </row>
    <row r="73" spans="1:8" s="76" customFormat="1" ht="20.25" x14ac:dyDescent="0.2">
      <c r="A73" s="79"/>
      <c r="B73" s="79"/>
      <c r="D73" s="79"/>
      <c r="E73" s="79"/>
      <c r="F73" s="79"/>
      <c r="G73" s="232"/>
      <c r="H73" s="367"/>
    </row>
    <row r="74" spans="1:8" s="76" customFormat="1" ht="20.25" x14ac:dyDescent="0.2">
      <c r="A74" s="79"/>
      <c r="B74" s="79"/>
      <c r="D74" s="79"/>
      <c r="E74" s="79"/>
      <c r="F74" s="79"/>
      <c r="G74" s="232"/>
      <c r="H74" s="367"/>
    </row>
    <row r="75" spans="1:8" s="68" customFormat="1" ht="20.25" x14ac:dyDescent="0.2">
      <c r="A75" s="67"/>
      <c r="B75" s="67"/>
      <c r="D75" s="79"/>
      <c r="E75" s="67"/>
      <c r="F75" s="67"/>
      <c r="G75" s="232"/>
      <c r="H75" s="368"/>
    </row>
    <row r="76" spans="1:8" s="68" customFormat="1" ht="23.25" x14ac:dyDescent="0.2">
      <c r="A76" s="67"/>
      <c r="B76" s="271"/>
      <c r="C76" s="67"/>
      <c r="D76" s="67"/>
      <c r="E76" s="67"/>
      <c r="F76" s="67"/>
      <c r="G76" s="237"/>
      <c r="H76" s="368"/>
    </row>
    <row r="77" spans="1:8" s="68" customFormat="1" ht="20.25" x14ac:dyDescent="0.2">
      <c r="A77" s="67"/>
      <c r="B77" s="67"/>
      <c r="C77" s="67"/>
      <c r="D77" s="67"/>
      <c r="E77" s="67"/>
      <c r="F77" s="67"/>
      <c r="G77" s="232"/>
      <c r="H77" s="368"/>
    </row>
    <row r="78" spans="1:8" s="82" customFormat="1" ht="26.25" x14ac:dyDescent="0.2">
      <c r="A78" s="268"/>
      <c r="B78" s="268"/>
      <c r="C78" s="268"/>
      <c r="D78" s="268"/>
      <c r="E78" s="268"/>
      <c r="F78" s="268"/>
      <c r="G78" s="269"/>
      <c r="H78" s="503"/>
    </row>
    <row r="79" spans="1:8" s="18" customFormat="1" x14ac:dyDescent="0.2">
      <c r="A79" s="122"/>
      <c r="B79" s="122"/>
      <c r="C79" s="122"/>
      <c r="D79" s="122"/>
      <c r="E79" s="122"/>
      <c r="F79" s="122"/>
      <c r="G79" s="272"/>
      <c r="H79" s="1"/>
    </row>
  </sheetData>
  <pageMargins left="0.45" right="0.45" top="0.5" bottom="0.5" header="0.3" footer="0.3"/>
  <pageSetup scale="75"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94</v>
      </c>
      <c r="B1" s="59"/>
      <c r="C1" s="60"/>
      <c r="D1" s="60"/>
      <c r="E1" s="60"/>
      <c r="F1" s="59"/>
      <c r="G1" s="59"/>
    </row>
    <row r="2" spans="1:23" ht="26.25" x14ac:dyDescent="0.4">
      <c r="A2" s="58" t="s">
        <v>182</v>
      </c>
      <c r="B2" s="59"/>
      <c r="C2" s="60"/>
      <c r="D2" s="60"/>
      <c r="E2" s="60"/>
      <c r="F2" s="59"/>
      <c r="G2" s="59"/>
    </row>
    <row r="3" spans="1:23" ht="11.25" customHeight="1" thickBot="1" x14ac:dyDescent="0.25">
      <c r="A3" s="61"/>
      <c r="B3" s="61"/>
      <c r="C3" s="61"/>
      <c r="D3" s="61"/>
      <c r="E3" s="61"/>
      <c r="F3" s="61"/>
      <c r="G3" s="320"/>
    </row>
    <row r="4" spans="1:23" ht="27.75" thickTop="1" thickBot="1" x14ac:dyDescent="0.25">
      <c r="A4" s="64"/>
      <c r="B4" s="64"/>
      <c r="C4" s="64"/>
      <c r="D4" s="64" t="s">
        <v>48</v>
      </c>
      <c r="E4" s="64"/>
      <c r="F4" s="64"/>
      <c r="G4" s="405" t="s">
        <v>49</v>
      </c>
      <c r="H4" s="405"/>
      <c r="I4" s="405"/>
      <c r="J4" s="405"/>
      <c r="K4" s="405"/>
      <c r="L4" s="405"/>
      <c r="M4" s="405"/>
      <c r="N4" s="405"/>
      <c r="O4" s="405"/>
      <c r="P4" s="405"/>
      <c r="Q4" s="405"/>
      <c r="R4" s="405"/>
      <c r="S4" s="405"/>
      <c r="T4" s="405"/>
      <c r="U4" s="405"/>
      <c r="V4" s="405"/>
      <c r="W4" s="405"/>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08"/>
      <c r="B6" s="1041" t="s">
        <v>183</v>
      </c>
      <c r="C6" s="1041"/>
      <c r="D6" s="1041"/>
      <c r="E6" s="1041"/>
      <c r="F6" s="1041"/>
      <c r="G6" s="409">
        <v>42004</v>
      </c>
      <c r="H6" s="409">
        <v>41639</v>
      </c>
      <c r="I6" s="409">
        <v>41274</v>
      </c>
      <c r="J6" s="409">
        <v>41090</v>
      </c>
      <c r="K6" s="409">
        <v>40724</v>
      </c>
      <c r="L6" s="409">
        <v>40359</v>
      </c>
      <c r="M6" s="409">
        <v>39994</v>
      </c>
      <c r="N6" s="409">
        <v>39629</v>
      </c>
      <c r="O6" s="409">
        <v>39263</v>
      </c>
      <c r="P6" s="409">
        <v>38898</v>
      </c>
      <c r="Q6" s="409">
        <v>38533</v>
      </c>
      <c r="R6" s="409">
        <v>38168</v>
      </c>
      <c r="S6" s="409">
        <v>37802</v>
      </c>
      <c r="T6" s="409">
        <v>37437</v>
      </c>
      <c r="U6" s="409">
        <v>37072</v>
      </c>
      <c r="V6" s="409">
        <v>36707</v>
      </c>
      <c r="W6" s="409">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184</v>
      </c>
      <c r="D8" s="73"/>
      <c r="E8" s="73"/>
      <c r="F8" s="73"/>
      <c r="G8" s="244">
        <v>333525.67</v>
      </c>
      <c r="H8" s="244">
        <v>210919</v>
      </c>
      <c r="I8" s="244">
        <v>214148</v>
      </c>
      <c r="J8" s="244">
        <v>156809</v>
      </c>
      <c r="K8" s="244">
        <v>240314</v>
      </c>
      <c r="L8" s="244">
        <v>142815</v>
      </c>
      <c r="M8" s="244">
        <v>82502</v>
      </c>
      <c r="N8" s="244">
        <v>45758</v>
      </c>
      <c r="O8" s="244">
        <v>105458</v>
      </c>
      <c r="P8" s="244">
        <v>29475</v>
      </c>
      <c r="Q8" s="244">
        <v>22537</v>
      </c>
      <c r="R8" s="244">
        <v>42935</v>
      </c>
      <c r="S8" s="244">
        <v>144393</v>
      </c>
      <c r="T8" s="244">
        <v>42414</v>
      </c>
      <c r="U8" s="244">
        <f>69880+9123</f>
        <v>79003</v>
      </c>
      <c r="V8" s="244">
        <v>92767</v>
      </c>
      <c r="W8" s="244">
        <v>13150</v>
      </c>
    </row>
    <row r="9" spans="1:23" ht="20.25" x14ac:dyDescent="0.2">
      <c r="A9" s="406"/>
      <c r="B9" s="406"/>
      <c r="C9" s="73" t="s">
        <v>185</v>
      </c>
      <c r="D9" s="79"/>
      <c r="E9" s="79"/>
      <c r="F9" s="79"/>
      <c r="G9" s="280">
        <v>247907.12</v>
      </c>
      <c r="H9" s="280">
        <v>311775</v>
      </c>
      <c r="I9" s="280">
        <v>243797</v>
      </c>
      <c r="J9" s="280">
        <v>347870</v>
      </c>
      <c r="K9" s="280">
        <v>298266</v>
      </c>
      <c r="L9" s="280">
        <v>296605</v>
      </c>
      <c r="M9" s="280">
        <v>349918</v>
      </c>
      <c r="N9" s="280">
        <v>366842</v>
      </c>
      <c r="O9" s="280">
        <v>209667</v>
      </c>
      <c r="P9" s="280">
        <v>234735</v>
      </c>
      <c r="Q9" s="280">
        <v>254712</v>
      </c>
      <c r="R9" s="280">
        <v>250225</v>
      </c>
      <c r="S9" s="280">
        <v>85795</v>
      </c>
      <c r="T9" s="280">
        <v>185461</v>
      </c>
      <c r="U9" s="280">
        <v>99322</v>
      </c>
      <c r="V9" s="280">
        <v>80619</v>
      </c>
      <c r="W9" s="280">
        <v>49127</v>
      </c>
    </row>
    <row r="10" spans="1:23" ht="20.25" x14ac:dyDescent="0.2">
      <c r="A10" s="406"/>
      <c r="B10" s="406"/>
      <c r="C10" s="1042" t="s">
        <v>160</v>
      </c>
      <c r="D10" s="1042"/>
      <c r="E10" s="1042"/>
      <c r="F10" s="1042"/>
      <c r="G10" s="280">
        <v>0</v>
      </c>
      <c r="H10" s="280">
        <v>5142</v>
      </c>
      <c r="I10" s="280"/>
      <c r="J10" s="280"/>
      <c r="K10" s="280"/>
      <c r="L10" s="280"/>
      <c r="M10" s="280"/>
      <c r="N10" s="280"/>
      <c r="O10" s="280"/>
      <c r="P10" s="280"/>
      <c r="Q10" s="280"/>
      <c r="R10" s="280">
        <v>23</v>
      </c>
      <c r="S10" s="280">
        <v>4823</v>
      </c>
      <c r="T10" s="280">
        <v>6130</v>
      </c>
      <c r="U10" s="280">
        <v>19833</v>
      </c>
      <c r="V10" s="280"/>
      <c r="W10" s="280"/>
    </row>
    <row r="11" spans="1:23" ht="20.25" x14ac:dyDescent="0.2">
      <c r="A11" s="406"/>
      <c r="B11" s="406"/>
      <c r="C11" s="73" t="s">
        <v>186</v>
      </c>
      <c r="D11" s="406"/>
      <c r="E11" s="406"/>
      <c r="F11" s="406"/>
      <c r="G11" s="234">
        <v>31129.64</v>
      </c>
      <c r="H11" s="234">
        <v>30012</v>
      </c>
      <c r="I11" s="234">
        <v>30964</v>
      </c>
      <c r="J11" s="234">
        <v>30506</v>
      </c>
      <c r="K11" s="234">
        <v>28900</v>
      </c>
      <c r="L11" s="234">
        <v>28036</v>
      </c>
      <c r="M11" s="234"/>
      <c r="N11" s="234"/>
      <c r="O11" s="234"/>
      <c r="P11" s="234"/>
      <c r="Q11" s="234"/>
      <c r="R11" s="234"/>
      <c r="S11" s="234"/>
      <c r="T11" s="234"/>
      <c r="U11" s="234"/>
      <c r="V11" s="234"/>
      <c r="W11" s="234"/>
    </row>
    <row r="12" spans="1:23" ht="20.25" x14ac:dyDescent="0.2">
      <c r="A12" s="406"/>
      <c r="B12" s="406"/>
      <c r="C12" s="73" t="s">
        <v>157</v>
      </c>
      <c r="D12" s="78"/>
      <c r="E12" s="78"/>
      <c r="F12" s="78"/>
      <c r="G12" s="235">
        <v>5968.8799999999992</v>
      </c>
      <c r="H12" s="235">
        <v>4730</v>
      </c>
      <c r="I12" s="235">
        <v>3598</v>
      </c>
      <c r="J12" s="235">
        <f>1663+577</f>
        <v>2240</v>
      </c>
      <c r="K12" s="235">
        <f>5202</f>
        <v>5202</v>
      </c>
      <c r="L12" s="235">
        <v>1840</v>
      </c>
      <c r="M12" s="235">
        <v>1427</v>
      </c>
      <c r="N12" s="235">
        <v>360</v>
      </c>
      <c r="O12" s="235">
        <v>312</v>
      </c>
      <c r="P12" s="235"/>
      <c r="Q12" s="235">
        <v>5593</v>
      </c>
      <c r="R12" s="235">
        <v>3952</v>
      </c>
      <c r="S12" s="235">
        <v>13154</v>
      </c>
      <c r="T12" s="235">
        <v>2441</v>
      </c>
      <c r="U12" s="235"/>
      <c r="V12" s="235"/>
      <c r="W12" s="235"/>
    </row>
    <row r="13" spans="1:23" ht="20.25" x14ac:dyDescent="0.2">
      <c r="A13" s="73"/>
      <c r="B13" s="67"/>
      <c r="C13" s="67" t="s">
        <v>56</v>
      </c>
      <c r="D13" s="67"/>
      <c r="E13" s="67"/>
      <c r="F13" s="67"/>
      <c r="G13" s="237">
        <f>SUM(G8:G12)</f>
        <v>618531.31000000006</v>
      </c>
      <c r="H13" s="237">
        <f>SUM(H8:H12)</f>
        <v>562578</v>
      </c>
      <c r="I13" s="237">
        <f>SUM(I8:I12)</f>
        <v>492507</v>
      </c>
      <c r="J13" s="237">
        <f>SUM(J8:J12)</f>
        <v>537425</v>
      </c>
      <c r="K13" s="237">
        <f>SUM(K8:K12)</f>
        <v>572682</v>
      </c>
      <c r="L13" s="237">
        <f t="shared" ref="L13:W13" si="0">SUM(L8:L12)</f>
        <v>469296</v>
      </c>
      <c r="M13" s="237">
        <f t="shared" si="0"/>
        <v>433847</v>
      </c>
      <c r="N13" s="237">
        <f t="shared" si="0"/>
        <v>412960</v>
      </c>
      <c r="O13" s="237">
        <f t="shared" si="0"/>
        <v>315437</v>
      </c>
      <c r="P13" s="237">
        <f t="shared" si="0"/>
        <v>264210</v>
      </c>
      <c r="Q13" s="237">
        <f t="shared" si="0"/>
        <v>282842</v>
      </c>
      <c r="R13" s="237">
        <f t="shared" si="0"/>
        <v>297135</v>
      </c>
      <c r="S13" s="237">
        <f t="shared" si="0"/>
        <v>248165</v>
      </c>
      <c r="T13" s="237">
        <f t="shared" si="0"/>
        <v>236446</v>
      </c>
      <c r="U13" s="237">
        <f t="shared" si="0"/>
        <v>198158</v>
      </c>
      <c r="V13" s="237">
        <f t="shared" si="0"/>
        <v>173386</v>
      </c>
      <c r="W13" s="237">
        <f t="shared" si="0"/>
        <v>62277</v>
      </c>
    </row>
    <row r="14" spans="1:23" ht="20.25" x14ac:dyDescent="0.2">
      <c r="A14" s="73"/>
      <c r="B14" s="73"/>
      <c r="C14" s="73"/>
      <c r="D14" s="73"/>
      <c r="E14" s="73"/>
      <c r="F14" s="73"/>
      <c r="G14" s="236"/>
      <c r="H14" s="236"/>
      <c r="I14" s="236"/>
      <c r="J14" s="236"/>
      <c r="K14" s="236"/>
      <c r="L14" s="236"/>
      <c r="M14" s="236"/>
      <c r="N14" s="236"/>
      <c r="O14" s="236"/>
      <c r="P14" s="236"/>
      <c r="Q14" s="236"/>
      <c r="R14" s="236"/>
      <c r="S14" s="236"/>
      <c r="T14" s="236"/>
      <c r="U14" s="236"/>
      <c r="V14" s="236"/>
      <c r="W14" s="236"/>
    </row>
    <row r="15" spans="1:23" ht="20.25" x14ac:dyDescent="0.3">
      <c r="A15" s="69"/>
      <c r="B15" s="266" t="s">
        <v>187</v>
      </c>
      <c r="C15" s="266"/>
      <c r="D15" s="266"/>
      <c r="E15" s="266"/>
      <c r="F15" s="266"/>
      <c r="G15" s="267"/>
      <c r="H15" s="267"/>
      <c r="I15" s="267"/>
      <c r="J15" s="267"/>
      <c r="K15" s="267"/>
      <c r="L15" s="267"/>
      <c r="M15" s="267"/>
      <c r="N15" s="267"/>
      <c r="O15" s="267"/>
      <c r="P15" s="267"/>
      <c r="Q15" s="267"/>
      <c r="R15" s="267"/>
      <c r="S15" s="267"/>
      <c r="T15" s="267"/>
      <c r="U15" s="267"/>
      <c r="V15" s="267"/>
      <c r="W15" s="267"/>
    </row>
    <row r="16" spans="1:23" ht="20.25" x14ac:dyDescent="0.3">
      <c r="A16" s="69"/>
      <c r="B16" s="266"/>
      <c r="C16" s="266"/>
      <c r="D16" s="266"/>
      <c r="E16" s="266"/>
      <c r="F16" s="266"/>
      <c r="G16" s="267">
        <v>121148.45000000001</v>
      </c>
      <c r="H16" s="267">
        <v>88948</v>
      </c>
      <c r="I16" s="267">
        <v>81381</v>
      </c>
      <c r="J16" s="267">
        <v>85951</v>
      </c>
      <c r="K16" s="267">
        <v>75213</v>
      </c>
      <c r="L16" s="267">
        <v>103757</v>
      </c>
      <c r="M16" s="267">
        <v>72661</v>
      </c>
      <c r="N16" s="267">
        <v>91918</v>
      </c>
      <c r="O16" s="267">
        <v>80411</v>
      </c>
      <c r="P16" s="267">
        <v>57354</v>
      </c>
      <c r="Q16" s="267">
        <v>59451</v>
      </c>
      <c r="R16" s="267">
        <v>70947</v>
      </c>
      <c r="S16" s="267">
        <v>80279</v>
      </c>
      <c r="T16" s="267">
        <v>84266</v>
      </c>
      <c r="U16" s="267">
        <v>45164</v>
      </c>
      <c r="V16" s="267">
        <v>15210</v>
      </c>
      <c r="W16" s="267">
        <v>15599</v>
      </c>
    </row>
    <row r="17" spans="1:23" ht="20.25" hidden="1" x14ac:dyDescent="0.2">
      <c r="A17" s="73"/>
      <c r="B17" s="73"/>
      <c r="C17" s="73"/>
      <c r="D17" s="73"/>
      <c r="E17" s="73"/>
      <c r="F17" s="73"/>
      <c r="G17" s="236"/>
      <c r="H17" s="236"/>
      <c r="I17" s="236"/>
      <c r="J17" s="236"/>
      <c r="K17" s="236"/>
      <c r="L17" s="236"/>
      <c r="M17" s="236"/>
      <c r="N17" s="236"/>
      <c r="O17" s="236"/>
      <c r="P17" s="236"/>
      <c r="Q17" s="236"/>
      <c r="R17" s="236"/>
      <c r="S17" s="236"/>
      <c r="T17" s="236"/>
      <c r="U17" s="236"/>
      <c r="V17" s="236"/>
      <c r="W17" s="236"/>
    </row>
    <row r="18" spans="1:23" ht="20.25" hidden="1" x14ac:dyDescent="0.2">
      <c r="A18" s="73"/>
      <c r="B18" s="73"/>
      <c r="C18" s="73"/>
      <c r="D18" s="73"/>
      <c r="E18" s="73"/>
      <c r="F18" s="73"/>
      <c r="G18" s="232"/>
      <c r="H18" s="232"/>
      <c r="I18" s="232"/>
      <c r="J18" s="232"/>
      <c r="K18" s="232"/>
      <c r="L18" s="232"/>
      <c r="M18" s="232"/>
      <c r="N18" s="232"/>
      <c r="O18" s="232"/>
      <c r="P18" s="232"/>
      <c r="Q18" s="232"/>
      <c r="R18" s="232"/>
      <c r="S18" s="232"/>
      <c r="T18" s="232"/>
      <c r="U18" s="232"/>
      <c r="V18" s="232"/>
      <c r="W18" s="232"/>
    </row>
    <row r="19" spans="1:23" ht="27" thickBot="1" x14ac:dyDescent="0.25">
      <c r="A19" s="81" t="s">
        <v>58</v>
      </c>
      <c r="B19" s="81"/>
      <c r="C19" s="81"/>
      <c r="D19" s="81"/>
      <c r="E19" s="81"/>
      <c r="F19" s="81"/>
      <c r="G19" s="245">
        <f>G13+G16</f>
        <v>739679.76</v>
      </c>
      <c r="H19" s="245">
        <f>H13+H16</f>
        <v>651526</v>
      </c>
      <c r="I19" s="245">
        <f>I13+I16</f>
        <v>573888</v>
      </c>
      <c r="J19" s="245">
        <f>J13+J16</f>
        <v>623376</v>
      </c>
      <c r="K19" s="245">
        <f>K13+K16</f>
        <v>647895</v>
      </c>
      <c r="L19" s="245">
        <f t="shared" ref="L19:W19" si="1">L13+L16</f>
        <v>573053</v>
      </c>
      <c r="M19" s="245">
        <f t="shared" si="1"/>
        <v>506508</v>
      </c>
      <c r="N19" s="245">
        <f t="shared" si="1"/>
        <v>504878</v>
      </c>
      <c r="O19" s="245">
        <f t="shared" si="1"/>
        <v>395848</v>
      </c>
      <c r="P19" s="245">
        <f t="shared" si="1"/>
        <v>321564</v>
      </c>
      <c r="Q19" s="245">
        <f t="shared" si="1"/>
        <v>342293</v>
      </c>
      <c r="R19" s="245">
        <f t="shared" si="1"/>
        <v>368082</v>
      </c>
      <c r="S19" s="245">
        <f t="shared" si="1"/>
        <v>328444</v>
      </c>
      <c r="T19" s="245">
        <f t="shared" si="1"/>
        <v>320712</v>
      </c>
      <c r="U19" s="245">
        <f t="shared" si="1"/>
        <v>243322</v>
      </c>
      <c r="V19" s="245">
        <f t="shared" si="1"/>
        <v>188596</v>
      </c>
      <c r="W19" s="245">
        <f t="shared" si="1"/>
        <v>77876</v>
      </c>
    </row>
    <row r="20" spans="1:23" ht="21.75" thickTop="1" thickBot="1" x14ac:dyDescent="0.25">
      <c r="A20" s="73"/>
      <c r="B20" s="73"/>
      <c r="C20" s="73"/>
      <c r="D20" s="73"/>
      <c r="E20" s="73"/>
      <c r="F20" s="73"/>
      <c r="G20" s="325"/>
      <c r="H20" s="325"/>
      <c r="I20" s="325"/>
      <c r="J20" s="325"/>
      <c r="K20" s="325"/>
      <c r="L20" s="325"/>
      <c r="M20" s="325"/>
      <c r="N20" s="325"/>
      <c r="O20" s="325"/>
      <c r="P20" s="325"/>
      <c r="Q20" s="325"/>
      <c r="R20" s="325"/>
      <c r="S20" s="325"/>
      <c r="T20" s="325"/>
      <c r="U20" s="325"/>
      <c r="V20" s="325"/>
      <c r="W20" s="325"/>
    </row>
    <row r="21" spans="1:23" ht="27.75" thickTop="1" thickBot="1" x14ac:dyDescent="0.25">
      <c r="A21" s="64"/>
      <c r="B21" s="64"/>
      <c r="C21" s="64"/>
      <c r="D21" s="64" t="s">
        <v>59</v>
      </c>
      <c r="E21" s="64"/>
      <c r="F21" s="64"/>
      <c r="G21" s="240"/>
      <c r="H21" s="240"/>
      <c r="I21" s="240"/>
      <c r="J21" s="240"/>
      <c r="K21" s="240"/>
      <c r="L21" s="240"/>
      <c r="M21" s="240"/>
      <c r="N21" s="240"/>
      <c r="O21" s="240"/>
      <c r="P21" s="240"/>
      <c r="Q21" s="240"/>
      <c r="R21" s="240"/>
      <c r="S21" s="240"/>
      <c r="T21" s="240"/>
      <c r="U21" s="240"/>
      <c r="V21" s="240"/>
      <c r="W21" s="240"/>
    </row>
    <row r="22" spans="1:23" ht="21" thickTop="1" x14ac:dyDescent="0.2">
      <c r="A22" s="73"/>
      <c r="B22" s="73"/>
      <c r="C22" s="73"/>
      <c r="D22" s="73"/>
      <c r="E22" s="73"/>
      <c r="F22" s="73"/>
      <c r="G22" s="234"/>
      <c r="H22" s="234"/>
      <c r="I22" s="234"/>
      <c r="J22" s="234"/>
      <c r="K22" s="234"/>
      <c r="L22" s="234"/>
      <c r="M22" s="234"/>
      <c r="N22" s="234"/>
      <c r="O22" s="234"/>
      <c r="P22" s="234"/>
      <c r="Q22" s="234"/>
      <c r="R22" s="234"/>
      <c r="S22" s="234"/>
      <c r="T22" s="234"/>
      <c r="U22" s="234"/>
      <c r="V22" s="234"/>
      <c r="W22" s="234"/>
    </row>
    <row r="23" spans="1:23" ht="24" hidden="1" thickBot="1" x14ac:dyDescent="0.25">
      <c r="A23" s="73"/>
      <c r="B23" s="86" t="s">
        <v>60</v>
      </c>
      <c r="C23" s="87"/>
      <c r="D23" s="87"/>
      <c r="E23" s="87"/>
      <c r="F23" s="87"/>
      <c r="G23" s="241"/>
      <c r="H23" s="241"/>
      <c r="I23" s="241"/>
      <c r="J23" s="241"/>
      <c r="K23" s="241"/>
      <c r="L23" s="241"/>
      <c r="M23" s="241"/>
      <c r="N23" s="241"/>
      <c r="O23" s="241"/>
      <c r="P23" s="241"/>
      <c r="Q23" s="241"/>
      <c r="R23" s="241"/>
      <c r="S23" s="241"/>
      <c r="T23" s="241"/>
      <c r="U23" s="241"/>
      <c r="V23" s="241"/>
      <c r="W23" s="241"/>
    </row>
    <row r="24" spans="1:23" ht="20.25" hidden="1" x14ac:dyDescent="0.2">
      <c r="A24" s="73"/>
      <c r="B24" s="73"/>
      <c r="C24" s="73"/>
      <c r="D24" s="73"/>
      <c r="E24" s="73"/>
      <c r="F24" s="73"/>
      <c r="G24" s="234"/>
      <c r="H24" s="234"/>
      <c r="I24" s="234"/>
      <c r="J24" s="234"/>
      <c r="K24" s="234"/>
      <c r="L24" s="234"/>
      <c r="M24" s="234"/>
      <c r="N24" s="234"/>
      <c r="O24" s="234"/>
      <c r="P24" s="234"/>
      <c r="Q24" s="234"/>
      <c r="R24" s="234"/>
      <c r="S24" s="234"/>
      <c r="T24" s="234"/>
      <c r="U24" s="234"/>
      <c r="V24" s="234"/>
      <c r="W24" s="234"/>
    </row>
    <row r="25" spans="1:23" ht="21" thickBot="1" x14ac:dyDescent="0.35">
      <c r="A25" s="69"/>
      <c r="B25" s="153" t="s">
        <v>188</v>
      </c>
      <c r="C25" s="154"/>
      <c r="D25" s="153"/>
      <c r="E25" s="153"/>
      <c r="F25" s="153"/>
      <c r="G25" s="233"/>
      <c r="H25" s="233"/>
      <c r="I25" s="233"/>
      <c r="J25" s="233"/>
      <c r="K25" s="233"/>
      <c r="L25" s="233"/>
      <c r="M25" s="233"/>
      <c r="N25" s="233"/>
      <c r="O25" s="233"/>
      <c r="P25" s="233"/>
      <c r="Q25" s="233"/>
      <c r="R25" s="233"/>
      <c r="S25" s="233"/>
      <c r="T25" s="233"/>
      <c r="U25" s="233"/>
      <c r="V25" s="233"/>
      <c r="W25" s="233"/>
    </row>
    <row r="26" spans="1:23" ht="20.25" x14ac:dyDescent="0.2">
      <c r="A26" s="406"/>
      <c r="B26" s="406"/>
      <c r="C26" s="406"/>
      <c r="D26" s="406" t="s">
        <v>149</v>
      </c>
      <c r="E26" s="77"/>
      <c r="F26" s="406"/>
      <c r="G26" s="246">
        <v>31278.429999999997</v>
      </c>
      <c r="H26" s="246">
        <v>51714</v>
      </c>
      <c r="I26" s="246">
        <v>52083</v>
      </c>
      <c r="J26" s="246">
        <v>69820</v>
      </c>
      <c r="K26" s="246">
        <v>81032</v>
      </c>
      <c r="L26" s="246">
        <v>64928</v>
      </c>
      <c r="M26" s="246">
        <v>89064</v>
      </c>
      <c r="N26" s="246">
        <v>102814</v>
      </c>
      <c r="O26" s="246">
        <v>27734</v>
      </c>
      <c r="P26" s="246">
        <v>33537</v>
      </c>
      <c r="Q26" s="246">
        <v>47914</v>
      </c>
      <c r="R26" s="246">
        <v>42054</v>
      </c>
      <c r="S26" s="246">
        <v>32004</v>
      </c>
      <c r="T26" s="246">
        <v>28904</v>
      </c>
      <c r="U26" s="246">
        <v>2405</v>
      </c>
      <c r="V26" s="246">
        <v>7686</v>
      </c>
      <c r="W26" s="246">
        <v>0</v>
      </c>
    </row>
    <row r="27" spans="1:23" ht="20.25" x14ac:dyDescent="0.2">
      <c r="A27" s="406"/>
      <c r="B27" s="406"/>
      <c r="C27" s="406"/>
      <c r="D27" s="406" t="s">
        <v>189</v>
      </c>
      <c r="E27" s="77"/>
      <c r="F27" s="406"/>
      <c r="G27" s="232">
        <v>16019.88</v>
      </c>
      <c r="H27" s="232">
        <v>26466</v>
      </c>
      <c r="I27" s="232">
        <v>33722</v>
      </c>
      <c r="J27" s="232">
        <v>37279</v>
      </c>
      <c r="K27" s="232">
        <v>34130</v>
      </c>
      <c r="L27" s="232">
        <v>30917</v>
      </c>
      <c r="M27" s="232">
        <v>24891</v>
      </c>
      <c r="N27" s="232">
        <v>22167</v>
      </c>
      <c r="O27" s="232">
        <v>16739</v>
      </c>
      <c r="P27" s="232">
        <v>13502</v>
      </c>
      <c r="Q27" s="232">
        <v>10581</v>
      </c>
      <c r="R27" s="232">
        <v>28556</v>
      </c>
      <c r="S27" s="232">
        <v>22953</v>
      </c>
      <c r="T27" s="232">
        <v>13246</v>
      </c>
      <c r="U27" s="232">
        <v>10214</v>
      </c>
      <c r="V27" s="232">
        <v>5966</v>
      </c>
      <c r="W27" s="232">
        <v>2341</v>
      </c>
    </row>
    <row r="28" spans="1:23" ht="20.25" x14ac:dyDescent="0.2">
      <c r="A28" s="406"/>
      <c r="B28" s="406"/>
      <c r="C28" s="406"/>
      <c r="D28" s="406" t="s">
        <v>88</v>
      </c>
      <c r="E28" s="77"/>
      <c r="F28" s="406"/>
      <c r="G28" s="234">
        <v>19094</v>
      </c>
      <c r="H28" s="234">
        <v>21990</v>
      </c>
      <c r="I28" s="234">
        <v>17053</v>
      </c>
      <c r="J28" s="234">
        <v>23081</v>
      </c>
      <c r="K28" s="234">
        <v>20125</v>
      </c>
      <c r="L28" s="234">
        <v>23900</v>
      </c>
      <c r="M28" s="234">
        <v>25993</v>
      </c>
      <c r="N28" s="234">
        <v>25084</v>
      </c>
      <c r="O28" s="234">
        <v>17164</v>
      </c>
      <c r="P28" s="234">
        <v>23194</v>
      </c>
      <c r="Q28" s="234">
        <v>17986</v>
      </c>
      <c r="R28" s="234">
        <v>19684</v>
      </c>
      <c r="S28" s="234">
        <v>15461</v>
      </c>
      <c r="T28" s="234">
        <v>11736</v>
      </c>
      <c r="U28" s="234">
        <v>6552</v>
      </c>
      <c r="V28" s="234">
        <v>4625</v>
      </c>
      <c r="W28" s="234"/>
    </row>
    <row r="29" spans="1:23" ht="20.25" x14ac:dyDescent="0.2">
      <c r="A29" s="406"/>
      <c r="B29" s="406"/>
      <c r="C29" s="406"/>
      <c r="D29" s="406" t="s">
        <v>190</v>
      </c>
      <c r="E29" s="77"/>
      <c r="F29" s="406"/>
      <c r="G29" s="234"/>
      <c r="H29" s="234">
        <v>463</v>
      </c>
      <c r="I29" s="234">
        <f>1236+16400</f>
        <v>17636</v>
      </c>
      <c r="J29" s="234">
        <v>13302</v>
      </c>
      <c r="K29" s="234">
        <v>5311</v>
      </c>
      <c r="L29" s="234">
        <v>12315</v>
      </c>
      <c r="M29" s="234"/>
      <c r="N29" s="234"/>
      <c r="O29" s="234"/>
      <c r="P29" s="234">
        <v>20000</v>
      </c>
      <c r="Q29" s="234"/>
      <c r="R29" s="234">
        <v>25000</v>
      </c>
      <c r="S29" s="234"/>
      <c r="T29" s="234"/>
      <c r="U29" s="234"/>
      <c r="V29" s="234"/>
      <c r="W29" s="234">
        <v>48000</v>
      </c>
    </row>
    <row r="30" spans="1:23" ht="20.25" x14ac:dyDescent="0.2">
      <c r="A30" s="406"/>
      <c r="B30" s="406"/>
      <c r="C30" s="406"/>
      <c r="D30" s="79" t="s">
        <v>95</v>
      </c>
      <c r="E30" s="77"/>
      <c r="F30" s="406"/>
      <c r="G30" s="234">
        <v>136592.41</v>
      </c>
      <c r="H30" s="234">
        <v>101837</v>
      </c>
      <c r="I30" s="234">
        <v>31429</v>
      </c>
      <c r="J30" s="234">
        <v>21927</v>
      </c>
      <c r="K30" s="234">
        <v>24493</v>
      </c>
      <c r="L30" s="234">
        <v>23546</v>
      </c>
      <c r="M30" s="234">
        <v>29986</v>
      </c>
      <c r="N30" s="234">
        <v>97627</v>
      </c>
      <c r="O30" s="234">
        <v>91085</v>
      </c>
      <c r="P30" s="234">
        <v>6118</v>
      </c>
      <c r="Q30" s="234">
        <v>42621</v>
      </c>
      <c r="R30" s="234"/>
      <c r="S30" s="234">
        <v>13218</v>
      </c>
      <c r="T30" s="234">
        <v>36938</v>
      </c>
      <c r="U30" s="234">
        <v>40000</v>
      </c>
      <c r="V30" s="234">
        <v>38354</v>
      </c>
      <c r="W30" s="234">
        <v>11775</v>
      </c>
    </row>
    <row r="31" spans="1:23" ht="20.25" x14ac:dyDescent="0.2">
      <c r="A31" s="406"/>
      <c r="B31" s="406"/>
      <c r="C31" s="406"/>
      <c r="D31" s="78" t="s">
        <v>191</v>
      </c>
      <c r="E31" s="152"/>
      <c r="F31" s="78"/>
      <c r="G31" s="234"/>
      <c r="H31" s="234"/>
      <c r="I31" s="234"/>
      <c r="J31" s="234"/>
      <c r="K31" s="234"/>
      <c r="L31" s="234"/>
      <c r="M31" s="234"/>
      <c r="N31" s="234"/>
      <c r="O31" s="234"/>
      <c r="P31" s="234"/>
      <c r="Q31" s="234"/>
      <c r="R31" s="234"/>
      <c r="S31" s="234"/>
      <c r="T31" s="234"/>
      <c r="U31" s="234"/>
      <c r="V31" s="234"/>
      <c r="W31" s="234"/>
    </row>
    <row r="32" spans="1:23" ht="20.25" x14ac:dyDescent="0.2">
      <c r="A32" s="406"/>
      <c r="B32" s="406"/>
      <c r="C32" s="80" t="s">
        <v>71</v>
      </c>
      <c r="D32" s="406"/>
      <c r="E32" s="77"/>
      <c r="F32" s="406"/>
      <c r="G32" s="242">
        <f>SUM(G26:G31)</f>
        <v>202984.72</v>
      </c>
      <c r="H32" s="242">
        <f>SUM(H26:H31)</f>
        <v>202470</v>
      </c>
      <c r="I32" s="242">
        <f>SUM(I26:I31)</f>
        <v>151923</v>
      </c>
      <c r="J32" s="242">
        <f>SUM(J26:J31)</f>
        <v>165409</v>
      </c>
      <c r="K32" s="242">
        <f>SUM(K26:K31)</f>
        <v>165091</v>
      </c>
      <c r="L32" s="242">
        <f t="shared" ref="L32:W32" si="2">SUM(L26:L31)</f>
        <v>155606</v>
      </c>
      <c r="M32" s="242">
        <f t="shared" si="2"/>
        <v>169934</v>
      </c>
      <c r="N32" s="242">
        <f t="shared" si="2"/>
        <v>247692</v>
      </c>
      <c r="O32" s="242">
        <f t="shared" si="2"/>
        <v>152722</v>
      </c>
      <c r="P32" s="242">
        <f t="shared" si="2"/>
        <v>96351</v>
      </c>
      <c r="Q32" s="242">
        <f t="shared" si="2"/>
        <v>119102</v>
      </c>
      <c r="R32" s="242">
        <f t="shared" si="2"/>
        <v>115294</v>
      </c>
      <c r="S32" s="242">
        <f t="shared" si="2"/>
        <v>83636</v>
      </c>
      <c r="T32" s="242">
        <f t="shared" si="2"/>
        <v>90824</v>
      </c>
      <c r="U32" s="242">
        <f t="shared" si="2"/>
        <v>59171</v>
      </c>
      <c r="V32" s="242">
        <f t="shared" si="2"/>
        <v>56631</v>
      </c>
      <c r="W32" s="242">
        <f t="shared" si="2"/>
        <v>62116</v>
      </c>
    </row>
    <row r="33" spans="1:23" ht="20.25" x14ac:dyDescent="0.2">
      <c r="A33" s="406"/>
      <c r="B33" s="406"/>
      <c r="C33" s="406"/>
      <c r="D33" s="406"/>
      <c r="E33" s="406"/>
      <c r="F33" s="406"/>
      <c r="G33" s="234"/>
      <c r="H33" s="234"/>
      <c r="I33" s="234"/>
      <c r="J33" s="234"/>
      <c r="K33" s="234"/>
      <c r="L33" s="234"/>
      <c r="M33" s="234"/>
      <c r="N33" s="234"/>
      <c r="O33" s="234"/>
      <c r="P33" s="234"/>
      <c r="Q33" s="234"/>
      <c r="R33" s="234"/>
      <c r="S33" s="234"/>
      <c r="T33" s="234"/>
      <c r="U33" s="234"/>
      <c r="V33" s="234"/>
      <c r="W33" s="234"/>
    </row>
    <row r="34" spans="1:23" ht="20.25" x14ac:dyDescent="0.2">
      <c r="A34" s="73"/>
      <c r="B34" s="73"/>
      <c r="C34" s="73"/>
      <c r="D34" s="73"/>
      <c r="E34" s="73"/>
      <c r="F34" s="73"/>
      <c r="G34" s="411"/>
      <c r="H34" s="411"/>
      <c r="I34" s="411"/>
      <c r="J34" s="411"/>
      <c r="K34" s="411"/>
      <c r="L34" s="236"/>
      <c r="M34" s="236"/>
      <c r="N34" s="236"/>
      <c r="O34" s="236"/>
      <c r="P34" s="236"/>
      <c r="Q34" s="236"/>
      <c r="R34" s="236"/>
      <c r="S34" s="236"/>
      <c r="T34" s="236"/>
      <c r="U34" s="236"/>
      <c r="V34" s="236"/>
      <c r="W34" s="236"/>
    </row>
    <row r="35" spans="1:23" ht="24" thickBot="1" x14ac:dyDescent="0.25">
      <c r="A35" s="73"/>
      <c r="B35" s="86" t="s">
        <v>192</v>
      </c>
      <c r="C35" s="87"/>
      <c r="D35" s="87"/>
      <c r="E35" s="87"/>
      <c r="F35" s="87"/>
      <c r="G35" s="241"/>
      <c r="H35" s="241"/>
      <c r="I35" s="241"/>
      <c r="J35" s="241"/>
      <c r="K35" s="241"/>
      <c r="L35" s="241"/>
      <c r="M35" s="241"/>
      <c r="N35" s="241"/>
      <c r="O35" s="241"/>
      <c r="P35" s="241"/>
      <c r="Q35" s="241"/>
      <c r="R35" s="241"/>
      <c r="S35" s="241"/>
      <c r="T35" s="241"/>
      <c r="U35" s="241"/>
      <c r="V35" s="241"/>
      <c r="W35" s="241"/>
    </row>
    <row r="36" spans="1:23" ht="23.25" x14ac:dyDescent="0.2">
      <c r="A36" s="73"/>
      <c r="B36" s="271"/>
      <c r="C36" s="67"/>
      <c r="D36" s="406" t="s">
        <v>91</v>
      </c>
      <c r="E36" s="67"/>
      <c r="F36" s="67"/>
      <c r="G36" s="232">
        <v>55367.21</v>
      </c>
      <c r="H36" s="232">
        <v>52578</v>
      </c>
      <c r="I36" s="232">
        <v>54372</v>
      </c>
      <c r="J36" s="232">
        <v>74343</v>
      </c>
      <c r="K36" s="232">
        <v>140489</v>
      </c>
      <c r="L36" s="232">
        <v>85282</v>
      </c>
      <c r="M36" s="232">
        <v>9601</v>
      </c>
      <c r="N36" s="232">
        <v>9601</v>
      </c>
      <c r="O36" s="232">
        <v>5248</v>
      </c>
      <c r="P36" s="232">
        <v>4472</v>
      </c>
      <c r="Q36" s="232">
        <v>15207</v>
      </c>
      <c r="R36" s="232"/>
      <c r="S36" s="232"/>
      <c r="T36" s="232"/>
      <c r="U36" s="232"/>
      <c r="V36" s="232"/>
      <c r="W36" s="232"/>
    </row>
    <row r="37" spans="1:23" ht="21" thickBot="1" x14ac:dyDescent="0.25">
      <c r="A37" s="406"/>
      <c r="B37" s="406"/>
      <c r="C37" s="77"/>
      <c r="D37" s="406" t="s">
        <v>85</v>
      </c>
      <c r="E37" s="407"/>
      <c r="F37" s="407"/>
      <c r="G37" s="241">
        <v>481327.83000000013</v>
      </c>
      <c r="H37" s="241">
        <v>396478</v>
      </c>
      <c r="I37" s="241">
        <v>367593</v>
      </c>
      <c r="J37" s="241">
        <v>383624</v>
      </c>
      <c r="K37" s="241">
        <v>342315</v>
      </c>
      <c r="L37" s="241">
        <v>332165</v>
      </c>
      <c r="M37" s="241">
        <v>326973</v>
      </c>
      <c r="N37" s="241">
        <v>247585</v>
      </c>
      <c r="O37" s="241">
        <v>237878</v>
      </c>
      <c r="P37" s="241">
        <v>220741</v>
      </c>
      <c r="Q37" s="241">
        <v>207984</v>
      </c>
      <c r="R37" s="241">
        <v>252788</v>
      </c>
      <c r="S37" s="241">
        <v>244808</v>
      </c>
      <c r="T37" s="241">
        <v>229888</v>
      </c>
      <c r="U37" s="241">
        <v>184151</v>
      </c>
      <c r="V37" s="241">
        <v>131965</v>
      </c>
      <c r="W37" s="241">
        <v>15760</v>
      </c>
    </row>
    <row r="38" spans="1:23" ht="23.25" x14ac:dyDescent="0.2">
      <c r="A38" s="73"/>
      <c r="B38" s="89" t="s">
        <v>63</v>
      </c>
      <c r="C38" s="90"/>
      <c r="D38" s="90"/>
      <c r="E38" s="67"/>
      <c r="F38" s="67"/>
      <c r="G38" s="237">
        <f>G36+G37</f>
        <v>536695.04000000015</v>
      </c>
      <c r="H38" s="237">
        <f>H36+H37</f>
        <v>449056</v>
      </c>
      <c r="I38" s="237">
        <f>I36+I37</f>
        <v>421965</v>
      </c>
      <c r="J38" s="237">
        <f>J36+J37</f>
        <v>457967</v>
      </c>
      <c r="K38" s="237">
        <f>K36+K37</f>
        <v>482804</v>
      </c>
      <c r="L38" s="237">
        <f t="shared" ref="L38:W38" si="3">L36+L37</f>
        <v>417447</v>
      </c>
      <c r="M38" s="237">
        <f t="shared" si="3"/>
        <v>336574</v>
      </c>
      <c r="N38" s="237">
        <f t="shared" si="3"/>
        <v>257186</v>
      </c>
      <c r="O38" s="237">
        <f t="shared" si="3"/>
        <v>243126</v>
      </c>
      <c r="P38" s="237">
        <f t="shared" si="3"/>
        <v>225213</v>
      </c>
      <c r="Q38" s="237">
        <f t="shared" si="3"/>
        <v>223191</v>
      </c>
      <c r="R38" s="237">
        <f t="shared" si="3"/>
        <v>252788</v>
      </c>
      <c r="S38" s="237">
        <f t="shared" si="3"/>
        <v>244808</v>
      </c>
      <c r="T38" s="237">
        <f t="shared" si="3"/>
        <v>229888</v>
      </c>
      <c r="U38" s="237">
        <f t="shared" si="3"/>
        <v>184151</v>
      </c>
      <c r="V38" s="237">
        <f t="shared" si="3"/>
        <v>131965</v>
      </c>
      <c r="W38" s="237">
        <f t="shared" si="3"/>
        <v>15760</v>
      </c>
    </row>
    <row r="39" spans="1:23" ht="20.25" x14ac:dyDescent="0.2">
      <c r="A39" s="73"/>
      <c r="B39" s="73"/>
      <c r="C39" s="73"/>
      <c r="D39" s="73"/>
      <c r="E39" s="73"/>
      <c r="F39" s="73"/>
      <c r="G39" s="235"/>
      <c r="H39" s="235"/>
      <c r="I39" s="235"/>
      <c r="J39" s="235"/>
      <c r="K39" s="235"/>
      <c r="L39" s="235"/>
      <c r="M39" s="235"/>
      <c r="N39" s="235"/>
      <c r="O39" s="235"/>
      <c r="P39" s="235"/>
      <c r="Q39" s="235"/>
      <c r="R39" s="235"/>
      <c r="S39" s="235"/>
      <c r="T39" s="235"/>
      <c r="U39" s="235"/>
      <c r="V39" s="235"/>
      <c r="W39" s="235"/>
    </row>
    <row r="40" spans="1:23" ht="27" thickBot="1" x14ac:dyDescent="0.25">
      <c r="A40" s="81" t="s">
        <v>64</v>
      </c>
      <c r="B40" s="81"/>
      <c r="C40" s="81"/>
      <c r="D40" s="81"/>
      <c r="E40" s="81"/>
      <c r="F40" s="81"/>
      <c r="G40" s="354">
        <f>G32+G38</f>
        <v>739679.76000000013</v>
      </c>
      <c r="H40" s="354">
        <f>H32+H38</f>
        <v>651526</v>
      </c>
      <c r="I40" s="354">
        <f>I32+I38</f>
        <v>573888</v>
      </c>
      <c r="J40" s="354">
        <f>J32+J38</f>
        <v>623376</v>
      </c>
      <c r="K40" s="354">
        <f>K32+K38</f>
        <v>647895</v>
      </c>
      <c r="L40" s="354">
        <f t="shared" ref="L40:W40" si="4">L32+L38</f>
        <v>573053</v>
      </c>
      <c r="M40" s="354">
        <f t="shared" si="4"/>
        <v>506508</v>
      </c>
      <c r="N40" s="354">
        <f t="shared" si="4"/>
        <v>504878</v>
      </c>
      <c r="O40" s="354">
        <f t="shared" si="4"/>
        <v>395848</v>
      </c>
      <c r="P40" s="354">
        <f t="shared" si="4"/>
        <v>321564</v>
      </c>
      <c r="Q40" s="354">
        <f t="shared" si="4"/>
        <v>342293</v>
      </c>
      <c r="R40" s="354">
        <f t="shared" si="4"/>
        <v>368082</v>
      </c>
      <c r="S40" s="354">
        <f t="shared" si="4"/>
        <v>328444</v>
      </c>
      <c r="T40" s="354">
        <f t="shared" si="4"/>
        <v>320712</v>
      </c>
      <c r="U40" s="354">
        <f t="shared" si="4"/>
        <v>243322</v>
      </c>
      <c r="V40" s="354">
        <f t="shared" si="4"/>
        <v>188596</v>
      </c>
      <c r="W40" s="354">
        <f t="shared" si="4"/>
        <v>77876</v>
      </c>
    </row>
    <row r="41" spans="1:23" ht="15" thickTop="1" x14ac:dyDescent="0.2">
      <c r="D41" s="342"/>
      <c r="H41" s="18"/>
      <c r="I41" s="18"/>
      <c r="J41" s="18"/>
      <c r="K41" s="18"/>
      <c r="L41" s="18"/>
      <c r="M41" s="18"/>
      <c r="N41" s="18"/>
      <c r="O41" s="18"/>
      <c r="P41" s="18"/>
      <c r="Q41" s="18"/>
      <c r="R41" s="18"/>
      <c r="S41" s="18"/>
      <c r="T41" s="18"/>
      <c r="U41" s="18"/>
      <c r="V41" s="18"/>
      <c r="W41" s="18"/>
    </row>
    <row r="42" spans="1:23" s="243" customFormat="1" x14ac:dyDescent="0.2">
      <c r="A42" s="410"/>
      <c r="B42" s="410"/>
      <c r="C42" s="410"/>
      <c r="D42" s="410"/>
      <c r="E42" s="410"/>
      <c r="F42" s="410"/>
      <c r="G42" s="272"/>
    </row>
    <row r="43" spans="1:23" s="243" customFormat="1" x14ac:dyDescent="0.2">
      <c r="A43" s="410"/>
      <c r="B43" s="410"/>
      <c r="C43" s="410"/>
      <c r="D43" s="410"/>
      <c r="E43" s="410"/>
      <c r="F43" s="410"/>
      <c r="G43" s="272"/>
    </row>
    <row r="44" spans="1:23" s="243" customFormat="1" x14ac:dyDescent="0.2">
      <c r="A44" s="410"/>
      <c r="B44" s="410"/>
      <c r="C44" s="410"/>
      <c r="D44" s="410"/>
      <c r="E44" s="410"/>
      <c r="F44" s="410"/>
      <c r="G44" s="272"/>
    </row>
    <row r="45" spans="1:23" s="243" customFormat="1" x14ac:dyDescent="0.2">
      <c r="A45" s="410"/>
      <c r="B45" s="410"/>
      <c r="C45" s="410"/>
      <c r="D45" s="410"/>
      <c r="E45" s="410"/>
      <c r="F45" s="410"/>
      <c r="G45" s="272"/>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Updated  Operating Budget</vt:lpstr>
      <vt:lpstr>2023 Operating Budget</vt:lpstr>
      <vt:lpstr>Transportation Historic</vt:lpstr>
      <vt:lpstr>Notes</vt:lpstr>
      <vt:lpstr>Data</vt:lpstr>
      <vt:lpstr>Updated Operating Budget</vt:lpstr>
      <vt:lpstr>February'23 Revenues &amp; Expenses</vt:lpstr>
      <vt:lpstr>February'23 AR Aging </vt:lpstr>
      <vt:lpstr>February'23 Financial Position</vt:lpstr>
      <vt:lpstr>February'23 State of Activities</vt:lpstr>
      <vt:lpstr>December'22 Transportation</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'December''22 Transportation'!Print_Area</vt:lpstr>
      <vt:lpstr>'February''23 AR Aging '!Print_Area</vt:lpstr>
      <vt:lpstr>'February''23 Financial Position'!Print_Area</vt:lpstr>
      <vt:lpstr>'February''23 Revenues &amp; Expenses'!Print_Area</vt:lpstr>
      <vt:lpstr>'February''23 State of Activities'!Print_Area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2023-03-13T21:32:16Z</cp:lastPrinted>
  <dcterms:created xsi:type="dcterms:W3CDTF">2011-11-03T17:20:29Z</dcterms:created>
  <dcterms:modified xsi:type="dcterms:W3CDTF">2023-03-28T18:35:15Z</dcterms:modified>
</cp:coreProperties>
</file>