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3\"/>
    </mc:Choice>
  </mc:AlternateContent>
  <bookViews>
    <workbookView xWindow="90" yWindow="35820" windowWidth="14955" windowHeight="9060" tabRatio="787" firstSheet="3" activeTab="10"/>
  </bookViews>
  <sheets>
    <sheet name="Updated  Operating Budget" sheetId="26" state="hidden" r:id="rId1"/>
    <sheet name="2023 Operating Budget" sheetId="27" state="hidden" r:id="rId2"/>
    <sheet name="Transportation Historic" sheetId="28" state="hidden" r:id="rId3"/>
    <sheet name="Notes" sheetId="15" r:id="rId4"/>
    <sheet name="Data" sheetId="19" state="hidden" r:id="rId5"/>
    <sheet name="Updated Operating Budget" sheetId="25" state="hidden" r:id="rId6"/>
    <sheet name="December'22 Revenues &amp; Expenses" sheetId="3" r:id="rId7"/>
    <sheet name="December'22 AR Aging " sheetId="6" r:id="rId8"/>
    <sheet name="December'22 Financial Position" sheetId="5" r:id="rId9"/>
    <sheet name="December'22 State of Activities" sheetId="12" r:id="rId10"/>
    <sheet name="December'22 Transportation" sheetId="24" r:id="rId11"/>
    <sheet name="June'20 Transportation" sheetId="18" state="hidden" r:id="rId12"/>
    <sheet name="Transportation Projections" sheetId="23" state="hidden" r:id="rId13"/>
    <sheet name="2019 Budget" sheetId="22" state="hidden" r:id="rId14"/>
    <sheet name="2017 Medicaid Revenue" sheetId="21" state="hidden" r:id="rId15"/>
    <sheet name="Budget" sheetId="20" state="hidden" r:id="rId16"/>
    <sheet name="YE Historic Data" sheetId="17" state="hidden" r:id="rId17"/>
  </sheets>
  <externalReferences>
    <externalReference r:id="rId18"/>
    <externalReference r:id="rId19"/>
    <externalReference r:id="rId20"/>
    <externalReference r:id="rId21"/>
  </externalReferences>
  <definedNames>
    <definedName name="_xlnm.Print_Area" localSheetId="14">'2017 Medicaid Revenue'!$A$1:$H$69</definedName>
    <definedName name="_xlnm.Print_Area" localSheetId="15">Budget!$A$1:$G$54</definedName>
    <definedName name="_xlnm.Print_Area" localSheetId="7">'December''22 AR Aging '!$A$1:$G$135</definedName>
    <definedName name="_xlnm.Print_Area" localSheetId="8">'December''22 Financial Position'!$A$1:$L$69</definedName>
    <definedName name="_xlnm.Print_Area" localSheetId="6">'December''22 Revenues &amp; Expenses'!$A$1:$L$78</definedName>
    <definedName name="_xlnm.Print_Area" localSheetId="9">'December''22 State of Activities'!$A$1:$O$74</definedName>
    <definedName name="_xlnm.Print_Area" localSheetId="11">'June''20 Transportation'!$A$1:$P$63</definedName>
    <definedName name="_xlnm.Print_Area" localSheetId="3">Notes!$A$4:$H$110</definedName>
    <definedName name="_xlnm.Print_Area" localSheetId="12">'Transportation Projections'!$A$1:$P$53</definedName>
    <definedName name="_xlnm.Print_Area" localSheetId="16">'YE Historic Data'!$A$1:$W$41</definedName>
    <definedName name="_xlnm.Print_Titles" localSheetId="3">Notes!$1:$3</definedName>
  </definedNames>
  <calcPr calcId="162913"/>
</workbook>
</file>

<file path=xl/calcChain.xml><?xml version="1.0" encoding="utf-8"?>
<calcChain xmlns="http://schemas.openxmlformats.org/spreadsheetml/2006/main">
  <c r="G74" i="15" l="1"/>
  <c r="E94" i="15"/>
  <c r="E98" i="15" s="1"/>
  <c r="G98" i="15"/>
  <c r="D98" i="15"/>
  <c r="F98" i="15"/>
  <c r="G107" i="15"/>
  <c r="F90" i="15"/>
  <c r="E90" i="15"/>
  <c r="G90" i="15"/>
  <c r="B1860" i="19" l="1"/>
  <c r="B1861" i="19"/>
  <c r="R10" i="12"/>
  <c r="Q10" i="12"/>
  <c r="P53" i="24"/>
  <c r="O52" i="24"/>
  <c r="O44" i="24"/>
  <c r="P51" i="24" l="1"/>
  <c r="P49" i="24"/>
  <c r="P48" i="24"/>
  <c r="P47" i="24"/>
  <c r="P46" i="24"/>
  <c r="P45" i="24"/>
  <c r="P43" i="24"/>
  <c r="P41" i="24"/>
  <c r="P40" i="24"/>
  <c r="P39" i="24"/>
  <c r="P38" i="24"/>
  <c r="P37" i="24"/>
  <c r="P35" i="24"/>
  <c r="P34" i="24"/>
  <c r="P33" i="24"/>
  <c r="P28" i="24"/>
  <c r="P27" i="24"/>
  <c r="P18" i="24"/>
  <c r="P16" i="24"/>
  <c r="P15" i="24"/>
  <c r="P14" i="24"/>
  <c r="P13" i="24"/>
  <c r="P10" i="24"/>
  <c r="P9" i="24"/>
  <c r="O58" i="24"/>
  <c r="O57" i="24"/>
  <c r="O53" i="24"/>
  <c r="O51" i="24"/>
  <c r="O50" i="24"/>
  <c r="O49" i="24"/>
  <c r="O48" i="24"/>
  <c r="O47" i="24"/>
  <c r="O46" i="24"/>
  <c r="O45" i="24"/>
  <c r="O43" i="24"/>
  <c r="O41" i="24"/>
  <c r="O40" i="24"/>
  <c r="O39" i="24"/>
  <c r="O38" i="24"/>
  <c r="O37" i="24"/>
  <c r="O35" i="24"/>
  <c r="O34" i="24"/>
  <c r="O33" i="24"/>
  <c r="O28" i="24"/>
  <c r="O27" i="24"/>
  <c r="O24" i="24"/>
  <c r="O23" i="24"/>
  <c r="O22" i="24"/>
  <c r="O21" i="24"/>
  <c r="O20" i="24"/>
  <c r="O19" i="24"/>
  <c r="O18" i="24"/>
  <c r="O17" i="24"/>
  <c r="O16" i="24"/>
  <c r="O15" i="24"/>
  <c r="O14" i="24"/>
  <c r="O13" i="24"/>
  <c r="O11" i="24"/>
  <c r="O10" i="24"/>
  <c r="O9" i="24"/>
  <c r="J47" i="24"/>
  <c r="J11" i="24"/>
  <c r="J44" i="24"/>
  <c r="J41" i="24"/>
  <c r="J34" i="24"/>
  <c r="J27" i="24" l="1"/>
  <c r="K9" i="24"/>
  <c r="G24" i="12"/>
  <c r="G10" i="12"/>
  <c r="J10" i="24"/>
  <c r="M69" i="12"/>
  <c r="M68" i="12"/>
  <c r="M67" i="12"/>
  <c r="M64" i="12"/>
  <c r="M63" i="12"/>
  <c r="M57" i="12"/>
  <c r="M55" i="12"/>
  <c r="M54" i="12"/>
  <c r="M53" i="12"/>
  <c r="M52" i="12"/>
  <c r="M51" i="12"/>
  <c r="M50" i="12"/>
  <c r="M49" i="12"/>
  <c r="M48" i="12"/>
  <c r="M47" i="12"/>
  <c r="M46" i="12"/>
  <c r="M44" i="12"/>
  <c r="M43" i="12"/>
  <c r="M42" i="12"/>
  <c r="M41" i="12"/>
  <c r="M40" i="12"/>
  <c r="M39" i="12"/>
  <c r="M38" i="12"/>
  <c r="M37" i="12"/>
  <c r="M36" i="12"/>
  <c r="M35" i="12"/>
  <c r="M34" i="12"/>
  <c r="M33" i="12"/>
  <c r="M29" i="12"/>
  <c r="M27" i="12"/>
  <c r="M26" i="12"/>
  <c r="M25" i="12"/>
  <c r="M23" i="12"/>
  <c r="M22" i="12"/>
  <c r="M21" i="12"/>
  <c r="M20" i="12"/>
  <c r="M19" i="12"/>
  <c r="M18" i="12"/>
  <c r="M17" i="12"/>
  <c r="M16" i="12"/>
  <c r="M15" i="12"/>
  <c r="M12" i="12"/>
  <c r="M9" i="12"/>
  <c r="L64" i="12"/>
  <c r="L63" i="12"/>
  <c r="L67" i="12"/>
  <c r="L66" i="12"/>
  <c r="L65" i="12"/>
  <c r="L33" i="12"/>
  <c r="G67" i="12"/>
  <c r="G55" i="12"/>
  <c r="G52" i="12"/>
  <c r="G48" i="12"/>
  <c r="L48" i="12" s="1"/>
  <c r="G41" i="12"/>
  <c r="G35" i="12"/>
  <c r="G18" i="12"/>
  <c r="L18" i="12" s="1"/>
  <c r="H10" i="12"/>
  <c r="L10" i="12" s="1"/>
  <c r="M10" i="12" s="1"/>
  <c r="L53" i="12"/>
  <c r="L51" i="12"/>
  <c r="L50" i="12"/>
  <c r="L49" i="12"/>
  <c r="L46" i="12"/>
  <c r="L45" i="12"/>
  <c r="L44" i="12"/>
  <c r="L43" i="12"/>
  <c r="L42" i="12"/>
  <c r="L40" i="12"/>
  <c r="L39" i="12"/>
  <c r="L38" i="12"/>
  <c r="L37" i="12"/>
  <c r="L34" i="12"/>
  <c r="L29" i="12"/>
  <c r="L27" i="12"/>
  <c r="L26" i="12"/>
  <c r="L25" i="12"/>
  <c r="L23" i="12"/>
  <c r="L22" i="12"/>
  <c r="L21" i="12"/>
  <c r="L20" i="12"/>
  <c r="L19" i="12"/>
  <c r="L17" i="12"/>
  <c r="L16" i="12"/>
  <c r="L15" i="12"/>
  <c r="L12" i="12"/>
  <c r="L11" i="12"/>
  <c r="L9" i="12"/>
  <c r="H52" i="5"/>
  <c r="H42" i="5"/>
  <c r="J65" i="3"/>
  <c r="J72" i="3"/>
  <c r="K52" i="3"/>
  <c r="K66" i="3"/>
  <c r="L66" i="3" s="1"/>
  <c r="J63" i="3"/>
  <c r="J62" i="3"/>
  <c r="I50" i="3"/>
  <c r="K50" i="3" s="1"/>
  <c r="I49" i="3"/>
  <c r="H48" i="3"/>
  <c r="H24" i="3"/>
  <c r="I24" i="3" s="1"/>
  <c r="G24" i="3" l="1"/>
  <c r="J24" i="3"/>
  <c r="I30" i="3"/>
  <c r="I22" i="3"/>
  <c r="D13" i="6"/>
  <c r="E13" i="6"/>
  <c r="E44" i="6"/>
  <c r="G48" i="6"/>
  <c r="F32" i="6"/>
  <c r="G6" i="6"/>
  <c r="E8" i="6"/>
  <c r="E14" i="6" l="1"/>
  <c r="E91" i="15"/>
  <c r="K117" i="28"/>
  <c r="J117" i="28"/>
  <c r="G117" i="28"/>
  <c r="K115" i="28"/>
  <c r="J115" i="28"/>
  <c r="I115" i="28"/>
  <c r="H115" i="28"/>
  <c r="G115" i="28"/>
  <c r="K110" i="28"/>
  <c r="J110" i="28"/>
  <c r="I110" i="28"/>
  <c r="J108" i="28"/>
  <c r="I108" i="28"/>
  <c r="I102" i="28"/>
  <c r="K101" i="28"/>
  <c r="J101" i="28"/>
  <c r="I101" i="28"/>
  <c r="H101" i="28"/>
  <c r="I97" i="28"/>
  <c r="H97" i="28"/>
  <c r="H102" i="28" s="1"/>
  <c r="J88" i="28"/>
  <c r="I88" i="28"/>
  <c r="H88" i="28"/>
  <c r="H110" i="28" s="1"/>
  <c r="K86" i="28"/>
  <c r="I86" i="28"/>
  <c r="H86" i="28"/>
  <c r="K80" i="28"/>
  <c r="I80" i="28"/>
  <c r="H80" i="28"/>
  <c r="K79" i="28"/>
  <c r="J79" i="28"/>
  <c r="K77" i="28"/>
  <c r="K99" i="28" s="1"/>
  <c r="J77" i="28"/>
  <c r="J99" i="28" s="1"/>
  <c r="K75" i="28"/>
  <c r="K97" i="28" s="1"/>
  <c r="J75" i="28"/>
  <c r="J97" i="28" s="1"/>
  <c r="I75" i="28"/>
  <c r="H75" i="28"/>
  <c r="J72" i="28"/>
  <c r="I72" i="28"/>
  <c r="H72" i="28"/>
  <c r="K71" i="28"/>
  <c r="K70" i="28"/>
  <c r="K72" i="28" s="1"/>
  <c r="J68" i="28"/>
  <c r="I68" i="28"/>
  <c r="H68" i="28"/>
  <c r="K67" i="28"/>
  <c r="K66" i="28"/>
  <c r="K68" i="28" s="1"/>
  <c r="K61" i="28"/>
  <c r="J61" i="28"/>
  <c r="I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J30" i="28"/>
  <c r="K29" i="28"/>
  <c r="J29" i="28"/>
  <c r="J47" i="28" s="1"/>
  <c r="I29" i="28"/>
  <c r="I47" i="28" s="1"/>
  <c r="H29" i="28"/>
  <c r="H47" i="28" s="1"/>
  <c r="J22" i="28"/>
  <c r="H22" i="28"/>
  <c r="H24" i="28" s="1"/>
  <c r="K20" i="28"/>
  <c r="J19" i="28"/>
  <c r="H19" i="28"/>
  <c r="G17" i="28"/>
  <c r="G19" i="28" s="1"/>
  <c r="G22" i="28" s="1"/>
  <c r="G48" i="28" s="1"/>
  <c r="G52" i="28" s="1"/>
  <c r="G16" i="28"/>
  <c r="I13" i="28"/>
  <c r="K11" i="28"/>
  <c r="K19" i="28" s="1"/>
  <c r="K22" i="28" s="1"/>
  <c r="K9" i="28"/>
  <c r="I9" i="28"/>
  <c r="I19" i="28" s="1"/>
  <c r="I22" i="28" s="1"/>
  <c r="G9" i="28"/>
  <c r="A3" i="28"/>
  <c r="G116" i="28" l="1"/>
  <c r="G58" i="28"/>
  <c r="G55" i="28"/>
  <c r="J102" i="28"/>
  <c r="H64" i="28"/>
  <c r="H58" i="28"/>
  <c r="H116" i="28"/>
  <c r="H55" i="28"/>
  <c r="I64" i="28"/>
  <c r="I58" i="28"/>
  <c r="I76" i="28"/>
  <c r="I116" i="28"/>
  <c r="I55" i="28"/>
  <c r="J116" i="28"/>
  <c r="J48" i="28"/>
  <c r="J52" i="28" s="1"/>
  <c r="J76" i="28"/>
  <c r="J55" i="28"/>
  <c r="J64" i="28"/>
  <c r="J58" i="28"/>
  <c r="I48" i="28"/>
  <c r="I52" i="28" s="1"/>
  <c r="K102" i="28"/>
  <c r="I51" i="28"/>
  <c r="H48" i="28"/>
  <c r="H52" i="28" s="1"/>
  <c r="J80" i="28"/>
  <c r="J78" i="28"/>
  <c r="H77" i="28"/>
  <c r="H99" i="28" s="1"/>
  <c r="H117" i="28"/>
  <c r="K30" i="28"/>
  <c r="K47" i="28" s="1"/>
  <c r="I77" i="28"/>
  <c r="I99" i="28" s="1"/>
  <c r="K76" i="28" l="1"/>
  <c r="K116" i="28"/>
  <c r="K55" i="28"/>
  <c r="K64" i="28"/>
  <c r="K58" i="28"/>
  <c r="K48" i="28"/>
  <c r="K52" i="28" s="1"/>
  <c r="I81" i="28"/>
  <c r="I85" i="28"/>
  <c r="I78" i="28"/>
  <c r="I98" i="28"/>
  <c r="H76" i="28"/>
  <c r="J85" i="28"/>
  <c r="J81" i="28"/>
  <c r="J98" i="28"/>
  <c r="I84" i="28" l="1"/>
  <c r="H98" i="28"/>
  <c r="H81" i="28"/>
  <c r="H85" i="28"/>
  <c r="H78" i="28"/>
  <c r="K85" i="28"/>
  <c r="K81" i="28"/>
  <c r="K98" i="28"/>
  <c r="K78" i="28"/>
  <c r="J107" i="28"/>
  <c r="J103" i="28"/>
  <c r="J100" i="28"/>
  <c r="J84" i="28"/>
  <c r="I100" i="28"/>
  <c r="I107" i="28"/>
  <c r="I103" i="28"/>
  <c r="I106" i="28" l="1"/>
  <c r="K107" i="28"/>
  <c r="K103" i="28"/>
  <c r="K100" i="28"/>
  <c r="K84" i="28"/>
  <c r="H84" i="28"/>
  <c r="J106" i="28"/>
  <c r="H107" i="28"/>
  <c r="H103" i="28"/>
  <c r="H100" i="28"/>
  <c r="J87" i="28"/>
  <c r="J91" i="28"/>
  <c r="J89" i="28"/>
  <c r="I87" i="28"/>
  <c r="I89" i="28"/>
  <c r="I91" i="28" s="1"/>
  <c r="K87" i="28" l="1"/>
  <c r="K89" i="28"/>
  <c r="I90" i="28"/>
  <c r="I92" i="28"/>
  <c r="H106" i="28"/>
  <c r="J113" i="28"/>
  <c r="J111" i="28"/>
  <c r="J109" i="28"/>
  <c r="K106" i="28"/>
  <c r="I111" i="28"/>
  <c r="I113" i="28" s="1"/>
  <c r="I109" i="28"/>
  <c r="J90" i="28"/>
  <c r="J92" i="28"/>
  <c r="H87" i="28"/>
  <c r="H89" i="28"/>
  <c r="H91" i="28"/>
  <c r="H111" i="28" l="1"/>
  <c r="H109" i="28"/>
  <c r="H90" i="28"/>
  <c r="H92" i="28"/>
  <c r="K90" i="28"/>
  <c r="K92" i="28"/>
  <c r="I112" i="28"/>
  <c r="I114" i="28"/>
  <c r="K111" i="28"/>
  <c r="K109" i="28"/>
  <c r="K91" i="28"/>
  <c r="J112" i="28"/>
  <c r="J114" i="28"/>
  <c r="K112" i="28" l="1"/>
  <c r="K114" i="28"/>
  <c r="K113" i="28"/>
  <c r="H112" i="28"/>
  <c r="H114" i="28"/>
  <c r="H113" i="28"/>
  <c r="G47" i="27" l="1"/>
  <c r="G43" i="27"/>
  <c r="G48" i="27" s="1"/>
  <c r="I37" i="27"/>
  <c r="G35" i="27"/>
  <c r="I28" i="27"/>
  <c r="I48" i="27" s="1"/>
  <c r="I24" i="27"/>
  <c r="G11" i="27"/>
  <c r="G24" i="27" s="1"/>
  <c r="G50" i="27" l="1"/>
  <c r="G55" i="27" s="1"/>
  <c r="I50" i="27"/>
  <c r="I55" i="27" s="1"/>
  <c r="M35" i="24"/>
  <c r="M27" i="24"/>
  <c r="J54" i="12" l="1"/>
  <c r="J53" i="12"/>
  <c r="J52" i="12"/>
  <c r="J43" i="12"/>
  <c r="J42" i="12"/>
  <c r="J41" i="12"/>
  <c r="G54" i="12"/>
  <c r="L47" i="12"/>
  <c r="L52" i="5"/>
  <c r="I47" i="3"/>
  <c r="K47" i="3" s="1"/>
  <c r="K51" i="3"/>
  <c r="F73" i="6" l="1"/>
  <c r="C100" i="6"/>
  <c r="D71" i="6" l="1"/>
  <c r="G41" i="6"/>
  <c r="E32" i="6"/>
  <c r="H9" i="3"/>
  <c r="C1712" i="19" l="1"/>
  <c r="B1712" i="19" s="1"/>
  <c r="B1710" i="19"/>
  <c r="B1713" i="19" l="1"/>
  <c r="M15" i="24"/>
  <c r="J67" i="12"/>
  <c r="G68" i="12"/>
  <c r="B1714" i="19" l="1"/>
  <c r="C1715" i="19"/>
  <c r="B1715" i="19" l="1"/>
  <c r="G101" i="15"/>
  <c r="C1665" i="19"/>
  <c r="C1666" i="19" s="1"/>
  <c r="C1659" i="19"/>
  <c r="C1660" i="19" s="1"/>
  <c r="B1660" i="19" s="1"/>
  <c r="B1664" i="19"/>
  <c r="B1663" i="19"/>
  <c r="B1662" i="19"/>
  <c r="B1661" i="19"/>
  <c r="B1716" i="19" l="1"/>
  <c r="C1667" i="19"/>
  <c r="B1666" i="19"/>
  <c r="B1665" i="19"/>
  <c r="B1717" i="19" l="1"/>
  <c r="B1667" i="19"/>
  <c r="B1718" i="19" l="1"/>
  <c r="B1668" i="19"/>
  <c r="J22" i="3"/>
  <c r="C1720" i="19" l="1"/>
  <c r="B1719" i="19"/>
  <c r="B1669" i="19"/>
  <c r="J35" i="24"/>
  <c r="B1720" i="19" l="1"/>
  <c r="C1671" i="19"/>
  <c r="B1670" i="19"/>
  <c r="G8" i="3"/>
  <c r="B1721" i="19" l="1"/>
  <c r="B1671" i="19"/>
  <c r="C1672" i="19"/>
  <c r="E102" i="15"/>
  <c r="G61" i="15"/>
  <c r="B1612" i="19"/>
  <c r="B1722" i="19" l="1"/>
  <c r="C1723" i="19"/>
  <c r="B1672" i="19"/>
  <c r="M9" i="24"/>
  <c r="B1723" i="19" l="1"/>
  <c r="B1673" i="19"/>
  <c r="B1613" i="19"/>
  <c r="C1725" i="19" l="1"/>
  <c r="B1724" i="19"/>
  <c r="C1675" i="19"/>
  <c r="B1674" i="19"/>
  <c r="C1615" i="19"/>
  <c r="B1614" i="19"/>
  <c r="B1725" i="19" l="1"/>
  <c r="B1675" i="19"/>
  <c r="C1676" i="19"/>
  <c r="B1615" i="19"/>
  <c r="G63" i="12"/>
  <c r="G64" i="12"/>
  <c r="K63" i="3"/>
  <c r="G69" i="12" l="1"/>
  <c r="B1726" i="19"/>
  <c r="C1727" i="19"/>
  <c r="C1677" i="19"/>
  <c r="B1676" i="19"/>
  <c r="B1616" i="19"/>
  <c r="C1617" i="19"/>
  <c r="J25" i="3"/>
  <c r="B1727" i="19" l="1"/>
  <c r="C1678" i="19"/>
  <c r="B1677" i="19"/>
  <c r="B1617" i="19"/>
  <c r="C136" i="6"/>
  <c r="G64" i="6"/>
  <c r="I68" i="3" s="1"/>
  <c r="B1728" i="19" l="1"/>
  <c r="B1678" i="19"/>
  <c r="C1619" i="19"/>
  <c r="B1618" i="19"/>
  <c r="D108" i="15"/>
  <c r="E103" i="15"/>
  <c r="D90" i="15"/>
  <c r="F91"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J16" i="24"/>
  <c r="K53" i="24"/>
  <c r="K47" i="24"/>
  <c r="K46" i="24"/>
  <c r="K45" i="24"/>
  <c r="K41" i="24"/>
  <c r="K34" i="24"/>
  <c r="K35" i="24" s="1"/>
  <c r="K25" i="24"/>
  <c r="K42" i="24" l="1"/>
  <c r="O42" i="24" s="1"/>
  <c r="P42" i="24" s="1"/>
  <c r="O25" i="24"/>
  <c r="B1731" i="19"/>
  <c r="C1732" i="19"/>
  <c r="C1682" i="19"/>
  <c r="B1681" i="19"/>
  <c r="K26" i="24"/>
  <c r="O26" i="24" s="1"/>
  <c r="P26" i="24" s="1"/>
  <c r="C1622" i="19"/>
  <c r="B1621" i="19"/>
  <c r="C1733" i="19" l="1"/>
  <c r="B1732" i="19"/>
  <c r="B1682" i="19"/>
  <c r="B1622" i="19"/>
  <c r="H73" i="12"/>
  <c r="J73" i="12" s="1"/>
  <c r="H55" i="12"/>
  <c r="L55" i="12" s="1"/>
  <c r="H54" i="12"/>
  <c r="L54" i="12" s="1"/>
  <c r="H52" i="12"/>
  <c r="L52" i="12" s="1"/>
  <c r="H41" i="12"/>
  <c r="L41" i="12" s="1"/>
  <c r="H24" i="12"/>
  <c r="L24" i="12" s="1"/>
  <c r="M24" i="12" s="1"/>
  <c r="J61" i="5"/>
  <c r="J52" i="5"/>
  <c r="L63" i="3"/>
  <c r="H65" i="3"/>
  <c r="F102" i="15"/>
  <c r="K49" i="3"/>
  <c r="I48" i="3"/>
  <c r="B1733" i="19" l="1"/>
  <c r="B1683" i="19"/>
  <c r="B1623" i="19"/>
  <c r="F103" i="15"/>
  <c r="K62" i="3"/>
  <c r="L62" i="3" s="1"/>
  <c r="B1734" i="19" l="1"/>
  <c r="B1684" i="19"/>
  <c r="B1624" i="19"/>
  <c r="K65" i="3"/>
  <c r="L65" i="3" s="1"/>
  <c r="J13" i="24"/>
  <c r="J30" i="3"/>
  <c r="J14" i="24"/>
  <c r="B1568" i="19"/>
  <c r="C1525" i="19"/>
  <c r="C1526" i="19" s="1"/>
  <c r="B1526" i="19" s="1"/>
  <c r="J58" i="24"/>
  <c r="B1735" i="19" l="1"/>
  <c r="C1736" i="19"/>
  <c r="C1686" i="19"/>
  <c r="B1685" i="19"/>
  <c r="B1625" i="19"/>
  <c r="C1626" i="19"/>
  <c r="B1525" i="19"/>
  <c r="K48" i="3"/>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J34" i="3"/>
  <c r="B1740" i="19" l="1"/>
  <c r="B1690" i="19"/>
  <c r="B1630" i="19"/>
  <c r="B1531" i="19"/>
  <c r="B1505" i="19"/>
  <c r="C128"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2" i="3"/>
  <c r="I46" i="3"/>
  <c r="G91" i="15" s="1"/>
  <c r="G92" i="15"/>
  <c r="B1743" i="19" l="1"/>
  <c r="C1694" i="19"/>
  <c r="B1693" i="19"/>
  <c r="B1633" i="19"/>
  <c r="B1534" i="19"/>
  <c r="B1508" i="19"/>
  <c r="C1745" i="19" l="1"/>
  <c r="B1744" i="19"/>
  <c r="C1695" i="19"/>
  <c r="B1694" i="19"/>
  <c r="C1635" i="19"/>
  <c r="B1634" i="19"/>
  <c r="C1536" i="19"/>
  <c r="B1535" i="19"/>
  <c r="B1509" i="19"/>
  <c r="C1510" i="19"/>
  <c r="E73" i="6"/>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23" i="24"/>
  <c r="J16" i="12"/>
  <c r="M14" i="24" l="1"/>
  <c r="B1747" i="19"/>
  <c r="C1748" i="19"/>
  <c r="B1697" i="19"/>
  <c r="B1637" i="19"/>
  <c r="B1538" i="19"/>
  <c r="B1512" i="19"/>
  <c r="C71" i="6"/>
  <c r="G70" i="6"/>
  <c r="H28" i="3" s="1"/>
  <c r="J28" i="3" s="1"/>
  <c r="G69" i="6"/>
  <c r="B1748" i="19" l="1"/>
  <c r="C1699" i="19"/>
  <c r="B1698" i="19"/>
  <c r="B1638" i="19"/>
  <c r="B1539" i="19"/>
  <c r="B1513" i="19"/>
  <c r="I58" i="26"/>
  <c r="H58" i="26"/>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I40" i="26"/>
  <c r="L40" i="26" s="1"/>
  <c r="M40" i="26" s="1"/>
  <c r="H40" i="26"/>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G28" i="26"/>
  <c r="I28" i="26" s="1"/>
  <c r="I27" i="26"/>
  <c r="L27" i="26" s="1"/>
  <c r="H27" i="26"/>
  <c r="G27" i="26"/>
  <c r="H26" i="26"/>
  <c r="I26" i="26" s="1"/>
  <c r="G26" i="26"/>
  <c r="H25" i="26"/>
  <c r="I25" i="26" s="1"/>
  <c r="I23" i="26"/>
  <c r="L23" i="26" s="1"/>
  <c r="I22" i="26"/>
  <c r="L22" i="26" s="1"/>
  <c r="G21" i="26"/>
  <c r="H21" i="26" s="1"/>
  <c r="K20" i="26"/>
  <c r="G20" i="26"/>
  <c r="G29" i="26" s="1"/>
  <c r="I19" i="26"/>
  <c r="L19" i="26" s="1"/>
  <c r="I18" i="26"/>
  <c r="M18" i="26" s="1"/>
  <c r="H17" i="26"/>
  <c r="I17" i="26" s="1"/>
  <c r="L17" i="26" s="1"/>
  <c r="M16" i="26"/>
  <c r="I16" i="26"/>
  <c r="L16" i="26" s="1"/>
  <c r="H15" i="26"/>
  <c r="I15" i="26" s="1"/>
  <c r="M14" i="26"/>
  <c r="I14" i="26"/>
  <c r="L14" i="26" s="1"/>
  <c r="H13" i="26"/>
  <c r="I13" i="26" s="1"/>
  <c r="I11" i="26"/>
  <c r="I10" i="26"/>
  <c r="M10" i="26" s="1"/>
  <c r="M9" i="26"/>
  <c r="I9" i="26"/>
  <c r="L9" i="26" s="1"/>
  <c r="I8" i="26"/>
  <c r="B1749" i="19" l="1"/>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F109" i="15"/>
  <c r="D106" i="15"/>
  <c r="D105" i="15"/>
  <c r="D104" i="15"/>
  <c r="B1755" i="19" l="1"/>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K68" i="24"/>
  <c r="H35" i="12"/>
  <c r="L35" i="12" s="1"/>
  <c r="L8" i="5"/>
  <c r="G109" i="15"/>
  <c r="K46" i="3"/>
  <c r="B1757" i="19" l="1"/>
  <c r="B1707" i="19"/>
  <c r="B1647" i="19"/>
  <c r="B1548" i="19"/>
  <c r="B1522" i="19"/>
  <c r="B1758" i="19" l="1"/>
  <c r="B1708" i="19"/>
  <c r="B1648" i="19"/>
  <c r="B1549" i="19"/>
  <c r="C1550" i="19"/>
  <c r="B1524" i="19"/>
  <c r="B1523" i="19"/>
  <c r="G80" i="3"/>
  <c r="M76" i="3"/>
  <c r="G76" i="3"/>
  <c r="F76" i="3"/>
  <c r="L72" i="3"/>
  <c r="K71" i="3"/>
  <c r="L71" i="3" s="1"/>
  <c r="K70" i="3"/>
  <c r="L70" i="3" s="1"/>
  <c r="H69" i="3"/>
  <c r="K69" i="3" s="1"/>
  <c r="J76" i="3"/>
  <c r="H58" i="3"/>
  <c r="G58" i="3"/>
  <c r="I55" i="3"/>
  <c r="J55" i="3" s="1"/>
  <c r="J58" i="3" s="1"/>
  <c r="F55" i="3"/>
  <c r="F58" i="3" s="1"/>
  <c r="I43" i="3"/>
  <c r="K43" i="3" s="1"/>
  <c r="I41" i="3"/>
  <c r="K41" i="3" s="1"/>
  <c r="I40" i="3"/>
  <c r="K35" i="3"/>
  <c r="B1759" i="19" l="1"/>
  <c r="B1709" i="19"/>
  <c r="C1650" i="19"/>
  <c r="B1649" i="19"/>
  <c r="B1550" i="19"/>
  <c r="I58" i="3"/>
  <c r="L76" i="3"/>
  <c r="L78" i="3" s="1"/>
  <c r="G28" i="3"/>
  <c r="K40" i="3"/>
  <c r="K58" i="3" s="1"/>
  <c r="L58" i="3" s="1"/>
  <c r="I80" i="3"/>
  <c r="K76"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96" i="15"/>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M24" i="24"/>
  <c r="J25" i="24"/>
  <c r="J9" i="24"/>
  <c r="B1763" i="19" l="1"/>
  <c r="B1653" i="19"/>
  <c r="B1554" i="19"/>
  <c r="C1555" i="19"/>
  <c r="A4" i="24"/>
  <c r="A3" i="24"/>
  <c r="M58" i="24"/>
  <c r="J42" i="24"/>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K54" i="24"/>
  <c r="O54" i="24" s="1"/>
  <c r="P54" i="24" s="1"/>
  <c r="B1555" i="19"/>
  <c r="K29" i="24"/>
  <c r="O29" i="24" s="1"/>
  <c r="P29" i="24" s="1"/>
  <c r="M68" i="24"/>
  <c r="J68" i="24"/>
  <c r="B1802" i="19" l="1"/>
  <c r="B1765" i="19"/>
  <c r="B1655" i="19"/>
  <c r="C1656" i="19"/>
  <c r="K55" i="24"/>
  <c r="K62" i="24"/>
  <c r="K65" i="24"/>
  <c r="B1556" i="19"/>
  <c r="J62" i="24"/>
  <c r="J65" i="24"/>
  <c r="C1804" i="19" l="1"/>
  <c r="B1803" i="19"/>
  <c r="K59" i="24"/>
  <c r="O59" i="24" s="1"/>
  <c r="O55" i="24"/>
  <c r="P55" i="24" s="1"/>
  <c r="B1766" i="19"/>
  <c r="B1656" i="19"/>
  <c r="B1557" i="19"/>
  <c r="C1558" i="19"/>
  <c r="F104" i="15"/>
  <c r="F105" i="15"/>
  <c r="E105" i="15"/>
  <c r="E104" i="15"/>
  <c r="F94" i="15"/>
  <c r="D95" i="15"/>
  <c r="B1804" i="19" l="1"/>
  <c r="B1767" i="19"/>
  <c r="B1657" i="19"/>
  <c r="B1558" i="19"/>
  <c r="C1559" i="19"/>
  <c r="E110"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5" i="12"/>
  <c r="G36" i="12"/>
  <c r="J27" i="12"/>
  <c r="B1807" i="19" l="1"/>
  <c r="B1770" i="19"/>
  <c r="M25" i="24"/>
  <c r="B1561" i="19"/>
  <c r="C1562" i="19"/>
  <c r="C1809" i="19" l="1"/>
  <c r="B1808" i="19"/>
  <c r="B1771" i="19"/>
  <c r="M26" i="24"/>
  <c r="M29" i="24" s="1"/>
  <c r="B1562" i="19"/>
  <c r="B1809" i="19" l="1"/>
  <c r="M54" i="24"/>
  <c r="M55" i="24" s="1"/>
  <c r="B1563" i="19"/>
  <c r="C1564" i="19"/>
  <c r="C1811" i="19" l="1"/>
  <c r="B1810" i="19"/>
  <c r="M62" i="24"/>
  <c r="M65" i="24"/>
  <c r="M59" i="24"/>
  <c r="B1564" i="19"/>
  <c r="R32" i="18"/>
  <c r="R30" i="18"/>
  <c r="B1811" i="19" l="1"/>
  <c r="C1812" i="19"/>
  <c r="B1772" i="19"/>
  <c r="B1565" i="19"/>
  <c r="J13" i="18"/>
  <c r="J24" i="18"/>
  <c r="M31" i="18"/>
  <c r="J31" i="18"/>
  <c r="R31" i="18" s="1"/>
  <c r="S33" i="18" s="1"/>
  <c r="R19" i="18"/>
  <c r="R50" i="18"/>
  <c r="R48" i="18"/>
  <c r="R45" i="18"/>
  <c r="S45" i="18" s="1"/>
  <c r="R44" i="18"/>
  <c r="R43" i="18"/>
  <c r="S43" i="18" s="1"/>
  <c r="R42" i="18"/>
  <c r="R41" i="18"/>
  <c r="S41" i="18" s="1"/>
  <c r="R38" i="18"/>
  <c r="C1813" i="19" l="1"/>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J36" i="12"/>
  <c r="H36" i="12"/>
  <c r="L36" i="12" s="1"/>
  <c r="C1822" i="19" l="1"/>
  <c r="B1821" i="19"/>
  <c r="B1782" i="19"/>
  <c r="J26" i="24"/>
  <c r="H16" i="5"/>
  <c r="J56" i="5"/>
  <c r="J49" i="5"/>
  <c r="J16" i="5"/>
  <c r="J23" i="5"/>
  <c r="G94" i="15"/>
  <c r="C1823" i="19" l="1"/>
  <c r="B1822" i="19"/>
  <c r="B1783" i="19"/>
  <c r="J29" i="24"/>
  <c r="J58" i="5"/>
  <c r="J25" i="5"/>
  <c r="J35" i="5" s="1"/>
  <c r="G71" i="6"/>
  <c r="B1823" i="19" l="1"/>
  <c r="B1784" i="19"/>
  <c r="J55" i="24"/>
  <c r="B1824" i="19" l="1"/>
  <c r="C1825" i="19"/>
  <c r="B1785" i="19"/>
  <c r="J59" i="24"/>
  <c r="G68" i="15"/>
  <c r="F38" i="15"/>
  <c r="F45" i="15" s="1"/>
  <c r="D38" i="15"/>
  <c r="B1825" i="19" l="1"/>
  <c r="C1826" i="19"/>
  <c r="B1786" i="19"/>
  <c r="G572" i="19"/>
  <c r="G571" i="19"/>
  <c r="B1826" i="19" l="1"/>
  <c r="B1787" i="19"/>
  <c r="G629" i="19"/>
  <c r="J18" i="18"/>
  <c r="O18" i="18" s="1"/>
  <c r="M53" i="18"/>
  <c r="M22" i="18"/>
  <c r="M39" i="18" s="1"/>
  <c r="M21" i="18"/>
  <c r="M15" i="18"/>
  <c r="M63" i="18"/>
  <c r="J68" i="12"/>
  <c r="J57" i="12"/>
  <c r="B1827" i="19" l="1"/>
  <c r="B1788" i="19"/>
  <c r="J69" i="12"/>
  <c r="M23" i="18"/>
  <c r="M26" i="18" s="1"/>
  <c r="M49" i="18"/>
  <c r="J28" i="12"/>
  <c r="J30" i="12" s="1"/>
  <c r="J59" i="12" s="1"/>
  <c r="L63" i="5" s="1"/>
  <c r="G65" i="6"/>
  <c r="I67" i="3" s="1"/>
  <c r="C8" i="6"/>
  <c r="H8" i="3"/>
  <c r="B1828" i="19" l="1"/>
  <c r="B1789" i="19"/>
  <c r="J8" i="3"/>
  <c r="J11" i="18"/>
  <c r="O11" i="18" s="1"/>
  <c r="H76" i="3"/>
  <c r="I76" i="3"/>
  <c r="J71" i="12"/>
  <c r="J74" i="12" s="1"/>
  <c r="M60" i="18"/>
  <c r="M57" i="18"/>
  <c r="M50" i="18"/>
  <c r="M54" i="18" s="1"/>
  <c r="O17" i="18"/>
  <c r="B1829" i="19" l="1"/>
  <c r="C1830" i="19"/>
  <c r="B1790" i="19"/>
  <c r="B1830" i="19" l="1"/>
  <c r="B1791" i="19"/>
  <c r="O47" i="23"/>
  <c r="O45" i="23"/>
  <c r="O42" i="23"/>
  <c r="O36" i="23"/>
  <c r="O35" i="23"/>
  <c r="O32" i="23"/>
  <c r="M31" i="23"/>
  <c r="O24" i="23"/>
  <c r="O18" i="23"/>
  <c r="O17" i="23"/>
  <c r="O16" i="23"/>
  <c r="O15" i="23"/>
  <c r="O14" i="23"/>
  <c r="O13" i="23"/>
  <c r="O10" i="23"/>
  <c r="O9" i="23"/>
  <c r="J34" i="23"/>
  <c r="O34" i="23" s="1"/>
  <c r="M41" i="23"/>
  <c r="O41" i="23" s="1"/>
  <c r="J41" i="23"/>
  <c r="J43" i="23"/>
  <c r="M39" i="23"/>
  <c r="O39" i="23" s="1"/>
  <c r="J39" i="23"/>
  <c r="J35" i="23"/>
  <c r="J33" i="23"/>
  <c r="O33" i="23" s="1"/>
  <c r="M30" i="23"/>
  <c r="O30" i="23" s="1"/>
  <c r="B1831" i="19" l="1"/>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4" i="15"/>
  <c r="E35" i="15"/>
  <c r="B1835" i="19" l="1"/>
  <c r="C1836" i="19"/>
  <c r="B1796" i="19"/>
  <c r="O12" i="23"/>
  <c r="P12" i="23" s="1"/>
  <c r="O38" i="23"/>
  <c r="O52" i="23"/>
  <c r="M48" i="23"/>
  <c r="O22" i="23"/>
  <c r="P38" i="23"/>
  <c r="P31" i="23"/>
  <c r="P37" i="23"/>
  <c r="P40" i="23"/>
  <c r="J22" i="23"/>
  <c r="J25" i="23" s="1"/>
  <c r="K48" i="23"/>
  <c r="K22" i="23"/>
  <c r="K25" i="23" s="1"/>
  <c r="P13" i="23"/>
  <c r="P30" i="23"/>
  <c r="J48" i="23"/>
  <c r="M22" i="23"/>
  <c r="M25" i="23" s="1"/>
  <c r="O21" i="23"/>
  <c r="B1836" i="19" l="1"/>
  <c r="B1797" i="19"/>
  <c r="O48" i="23"/>
  <c r="K49" i="23"/>
  <c r="K53" i="23" s="1"/>
  <c r="O25" i="23"/>
  <c r="P25" i="23" s="1"/>
  <c r="J49" i="23"/>
  <c r="M49" i="23"/>
  <c r="M53" i="23" s="1"/>
  <c r="P9" i="23"/>
  <c r="P22" i="23"/>
  <c r="P48" i="23"/>
  <c r="B1837" i="19" l="1"/>
  <c r="B1798" i="19"/>
  <c r="O49" i="23"/>
  <c r="P49" i="23" s="1"/>
  <c r="J53" i="23"/>
  <c r="O53" i="23" s="1"/>
  <c r="C1839" i="19" l="1"/>
  <c r="B1838" i="19"/>
  <c r="B1799" i="19"/>
  <c r="J14" i="18"/>
  <c r="C1840" i="19" l="1"/>
  <c r="B1839" i="19"/>
  <c r="B1800" i="19"/>
  <c r="B1840" i="19" l="1"/>
  <c r="C1841" i="19"/>
  <c r="B1801" i="19"/>
  <c r="G43" i="15"/>
  <c r="G42" i="15"/>
  <c r="G41" i="15"/>
  <c r="G40" i="15"/>
  <c r="G39" i="15"/>
  <c r="G38" i="15"/>
  <c r="G37" i="15"/>
  <c r="G36" i="15"/>
  <c r="E45" i="15"/>
  <c r="C45"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C1843" i="19" l="1"/>
  <c r="B1842" i="19"/>
  <c r="N589" i="19"/>
  <c r="N590" i="19" s="1"/>
  <c r="N591" i="19" s="1"/>
  <c r="N592" i="19" s="1"/>
  <c r="N593" i="19" s="1"/>
  <c r="N594" i="19" s="1"/>
  <c r="N595" i="19" s="1"/>
  <c r="N596" i="19" s="1"/>
  <c r="C1844" i="19" l="1"/>
  <c r="B1844" i="19" s="1"/>
  <c r="B1843" i="19"/>
  <c r="D51" i="6"/>
  <c r="G626" i="19" l="1"/>
  <c r="G627" i="19" l="1"/>
  <c r="G631" i="19" s="1"/>
  <c r="G634"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H68" i="12"/>
  <c r="L68" i="12" s="1"/>
  <c r="H69" i="12" l="1"/>
  <c r="O24" i="18"/>
  <c r="P24" i="18" s="1"/>
  <c r="O44" i="18"/>
  <c r="P44" i="18" s="1"/>
  <c r="O43" i="18"/>
  <c r="P43" i="18" s="1"/>
  <c r="O42" i="18"/>
  <c r="P42" i="18" s="1"/>
  <c r="G67" i="6" l="1"/>
  <c r="G40" i="6" l="1"/>
  <c r="E16" i="15"/>
  <c r="H30" i="3" l="1"/>
  <c r="G30" i="3" s="1"/>
  <c r="A4" i="18"/>
  <c r="G51" i="22" l="1"/>
  <c r="G47" i="22"/>
  <c r="G46" i="22"/>
  <c r="G28" i="22"/>
  <c r="G13" i="22"/>
  <c r="G20" i="22"/>
  <c r="G34" i="22" l="1"/>
  <c r="G53" i="22" l="1"/>
  <c r="G55" i="22" s="1"/>
  <c r="L31" i="5"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H12" i="3" l="1"/>
  <c r="A3" i="21"/>
  <c r="J12" i="3" l="1"/>
  <c r="G12" i="3"/>
  <c r="H45"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E80" i="15" l="1"/>
  <c r="D32" i="6" l="1"/>
  <c r="D73" i="6" s="1"/>
  <c r="J21" i="18" l="1"/>
  <c r="O21" i="18" s="1"/>
  <c r="G8" i="12" l="1"/>
  <c r="J8" i="12" s="1"/>
  <c r="M8" i="24" l="1"/>
  <c r="J8" i="24"/>
  <c r="E81" i="15"/>
  <c r="B323" i="19" l="1"/>
  <c r="K26" i="18" l="1"/>
  <c r="K50" i="18" s="1"/>
  <c r="K54" i="18" s="1"/>
  <c r="O22" i="18"/>
  <c r="J63" i="18" l="1"/>
  <c r="J8" i="18"/>
  <c r="J53" i="18"/>
  <c r="O53" i="18" s="1"/>
  <c r="O9" i="18" l="1"/>
  <c r="P9" i="18" s="1"/>
  <c r="O39" i="18"/>
  <c r="P39" i="18" s="1"/>
  <c r="J57" i="18" l="1"/>
  <c r="O49" i="18"/>
  <c r="P49" i="18" s="1"/>
  <c r="J60" i="18"/>
  <c r="M8" i="18"/>
  <c r="G57" i="12" l="1"/>
  <c r="G28" i="12"/>
  <c r="J15" i="18"/>
  <c r="O15" i="18" s="1"/>
  <c r="P15" i="18" s="1"/>
  <c r="H28" i="12"/>
  <c r="H30" i="12" s="1"/>
  <c r="L28" i="12" l="1"/>
  <c r="M28" i="12" s="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8"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06" i="15" l="1"/>
  <c r="F110" i="15" s="1"/>
  <c r="G58" i="6" l="1"/>
  <c r="C51" i="6"/>
  <c r="G51" i="6" s="1"/>
  <c r="C44" i="6"/>
  <c r="G17" i="6"/>
  <c r="G18" i="6" l="1"/>
  <c r="D110" i="15"/>
  <c r="G108" i="15"/>
  <c r="G106" i="15"/>
  <c r="H57" i="12" l="1"/>
  <c r="G103" i="15"/>
  <c r="G102" i="15" l="1"/>
  <c r="G104"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0" i="3" s="1"/>
  <c r="H80" i="3" l="1"/>
  <c r="K80" i="3" s="1"/>
  <c r="E14" i="15"/>
  <c r="L23" i="5" l="1"/>
  <c r="L25" i="5" s="1"/>
  <c r="L35" i="5" s="1"/>
  <c r="H56" i="5"/>
  <c r="L69" i="5" l="1"/>
  <c r="D210" i="6" l="1"/>
  <c r="D211" i="6"/>
  <c r="D212" i="6"/>
  <c r="F210" i="6" l="1"/>
  <c r="G31" i="6" l="1"/>
  <c r="G60" i="6"/>
  <c r="G50" i="6"/>
  <c r="H25" i="3" s="1"/>
  <c r="G25" i="3" s="1"/>
  <c r="E17" i="15" l="1"/>
  <c r="H34" i="3"/>
  <c r="H15" i="3"/>
  <c r="I15" i="3" s="1"/>
  <c r="G34" i="3"/>
  <c r="N214" i="6"/>
  <c r="M214" i="6"/>
  <c r="L214" i="6"/>
  <c r="K214" i="6"/>
  <c r="J214" i="6"/>
  <c r="I214" i="6"/>
  <c r="H214" i="6"/>
  <c r="G214" i="6"/>
  <c r="G15" i="3" l="1"/>
  <c r="J15" i="3"/>
  <c r="C56" i="6"/>
  <c r="F27" i="6"/>
  <c r="C32" i="6"/>
  <c r="C213" i="6" l="1"/>
  <c r="G54" i="6" l="1"/>
  <c r="G55" i="6"/>
  <c r="G56" i="6" l="1"/>
  <c r="G20" i="6" l="1"/>
  <c r="C14" i="6"/>
  <c r="C73" i="6" s="1"/>
  <c r="G12" i="6"/>
  <c r="L30" i="12" l="1"/>
  <c r="M30" i="12" s="1"/>
  <c r="L57" i="12" l="1"/>
  <c r="G30" i="12" l="1"/>
  <c r="G59" i="12" l="1"/>
  <c r="H63" i="5" s="1"/>
  <c r="H59" i="12"/>
  <c r="J63" i="5" s="1"/>
  <c r="H61" i="5" s="1"/>
  <c r="J64" i="5" l="1"/>
  <c r="J66" i="5" s="1"/>
  <c r="H71" i="12"/>
  <c r="H74" i="12" s="1"/>
  <c r="G73" i="12" s="1"/>
  <c r="L64" i="5"/>
  <c r="L59" i="12"/>
  <c r="M59" i="12" s="1"/>
  <c r="L66" i="5" l="1"/>
  <c r="L72" i="5" s="1"/>
  <c r="C211" i="6" l="1"/>
  <c r="G39" i="6"/>
  <c r="E15" i="15" s="1"/>
  <c r="G32" i="6"/>
  <c r="G11" i="6"/>
  <c r="H22" i="3" l="1"/>
  <c r="G22" i="3" s="1"/>
  <c r="G44" i="6"/>
  <c r="E12" i="15"/>
  <c r="D214" i="6"/>
  <c r="G14" i="6"/>
  <c r="E13" i="15" s="1"/>
  <c r="G27" i="6"/>
  <c r="F214" i="6" l="1"/>
  <c r="H62" i="5" l="1"/>
  <c r="H64" i="5" l="1"/>
  <c r="G71" i="12"/>
  <c r="G74" i="12" s="1"/>
  <c r="L69" i="12"/>
  <c r="G105" i="15"/>
  <c r="G110" i="15" s="1"/>
  <c r="L71" i="12" l="1"/>
  <c r="G7" i="6"/>
  <c r="H10" i="3" s="1"/>
  <c r="G10" i="3" s="1"/>
  <c r="G35" i="3" s="1"/>
  <c r="H35" i="3" l="1"/>
  <c r="C212" i="6"/>
  <c r="G8" i="6"/>
  <c r="G73" i="6" s="1"/>
  <c r="H19" i="5" s="1"/>
  <c r="J85" i="3" l="1"/>
  <c r="C75" i="6"/>
  <c r="J84" i="3"/>
  <c r="J10" i="3"/>
  <c r="J35" i="3" s="1"/>
  <c r="I35" i="3"/>
  <c r="E11" i="15"/>
  <c r="E18" i="15" s="1"/>
  <c r="C210" i="6"/>
  <c r="C214" i="6" s="1"/>
  <c r="J86" i="3" l="1"/>
  <c r="E75" i="6"/>
  <c r="F75" i="6"/>
  <c r="D75" i="6"/>
  <c r="G75" i="6"/>
  <c r="F17" i="15"/>
  <c r="F15" i="15"/>
  <c r="F14" i="15"/>
  <c r="F13" i="15"/>
  <c r="F12" i="15"/>
  <c r="F11" i="15"/>
  <c r="F16" i="15"/>
  <c r="C102" i="6"/>
  <c r="H23" i="5"/>
  <c r="H25" i="5" s="1"/>
  <c r="H35" i="5" s="1"/>
  <c r="F18" i="15" l="1"/>
  <c r="H48" i="5" l="1"/>
  <c r="H49" i="5" s="1"/>
  <c r="H58" i="5" l="1"/>
  <c r="H69" i="5" l="1"/>
  <c r="H66" i="5"/>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7"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8" authorId="0" shapeId="0">
      <text>
        <r>
          <rPr>
            <b/>
            <sz val="9"/>
            <color indexed="81"/>
            <rFont val="Tahoma"/>
            <family val="2"/>
          </rPr>
          <t>John Ray:</t>
        </r>
        <r>
          <rPr>
            <sz val="9"/>
            <color indexed="81"/>
            <rFont val="Tahoma"/>
            <family val="2"/>
          </rPr>
          <t xml:space="preserve">
85100+85200</t>
        </r>
      </text>
    </comment>
    <comment ref="C49"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6.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7.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<sst xmlns="http://schemas.openxmlformats.org/spreadsheetml/2006/main" count="1215" uniqueCount="653">
  <si>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</si>
  <si>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</si>
  <si>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</si>
  <si>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</si>
  <si>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</si>
  <si>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</si>
  <si>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</si>
  <si>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</si>
  <si>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</si>
  <si>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</si>
  <si>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</si>
  <si>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</si>
  <si>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</si>
  <si>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</si>
  <si>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</si>
  <si>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</si>
  <si>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</si>
  <si>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</si>
  <si>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</si>
  <si>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</si>
  <si>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</si>
  <si>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</si>
  <si>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</si>
  <si>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</si>
  <si>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</si>
  <si>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</si>
  <si>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</si>
  <si>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</si>
  <si>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</si>
  <si>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</si>
  <si>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</si>
  <si>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</si>
  <si>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</si>
  <si>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</si>
  <si>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</si>
  <si>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</si>
  <si>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</si>
  <si>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</si>
  <si>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</si>
  <si>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</si>
  <si>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</si>
  <si>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</si>
  <si>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</si>
  <si>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</si>
  <si>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</si>
  <si>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</si>
  <si>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</si>
  <si>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</si>
  <si>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</si>
  <si>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</si>
  <si>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</si>
  <si>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</si>
  <si>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</si>
  <si>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</si>
  <si>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</si>
  <si>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</si>
  <si>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</si>
  <si>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</si>
  <si>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</si>
  <si>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</si>
  <si>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</si>
  <si>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</si>
  <si>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</si>
  <si>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</si>
  <si>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</si>
  <si>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</si>
  <si>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</si>
  <si>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</si>
  <si>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</si>
  <si>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</si>
  <si>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</si>
  <si>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</si>
  <si>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</si>
  <si>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</si>
  <si>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</si>
  <si>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</si>
  <si>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</si>
  <si>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</si>
  <si>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</si>
  <si>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</si>
  <si>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</si>
  <si>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</si>
  <si>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</si>
  <si>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</si>
  <si>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</si>
  <si>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</si>
  <si>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</si>
  <si>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</si>
  <si>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</si>
  <si>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</si>
  <si>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</si>
  <si>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</si>
  <si>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</si>
  <si>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</si>
  <si>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</si>
  <si>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</si>
  <si>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</si>
  <si>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</si>
  <si>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</si>
  <si>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</si>
  <si>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</si>
  <si>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</si>
  <si>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</si>
  <si>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</si>
  <si>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</si>
  <si>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</si>
  <si>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</si>
  <si>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</si>
  <si>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</si>
  <si>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</si>
  <si>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</si>
  <si>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</si>
  <si>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</si>
  <si>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</si>
  <si>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</si>
  <si>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</si>
  <si>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</si>
  <si>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</si>
  <si>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</si>
  <si>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</si>
  <si>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</si>
  <si>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</si>
  <si>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</si>
  <si>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</si>
  <si>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</si>
  <si>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</si>
  <si>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</si>
  <si>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</si>
  <si>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</si>
  <si>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</si>
  <si>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</si>
  <si>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</si>
  <si>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</si>
  <si>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</si>
  <si>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</si>
  <si>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</si>
  <si>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</si>
  <si>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</si>
  <si>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</si>
  <si>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</si>
  <si>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</si>
  <si>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</si>
  <si>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</si>
  <si>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</si>
  <si>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</si>
  <si>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</si>
  <si>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</si>
  <si>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</si>
  <si>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</si>
  <si>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</si>
  <si>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</si>
  <si>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</si>
  <si>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</si>
  <si>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</si>
  <si>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</si>
  <si>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</si>
  <si>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</si>
  <si>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</si>
  <si>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</si>
  <si>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</si>
  <si>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</si>
  <si>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</si>
  <si>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</si>
  <si>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</si>
  <si>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</si>
  <si>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</si>
  <si>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</si>
  <si>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</si>
  <si>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</si>
  <si>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</si>
  <si>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</si>
  <si>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</si>
  <si>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</si>
  <si>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</si>
  <si>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</si>
  <si>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</si>
  <si>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</si>
  <si>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</si>
  <si>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</si>
  <si>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</si>
  <si>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</si>
  <si>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</si>
  <si>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</si>
  <si>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</si>
  <si>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</si>
  <si>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</si>
  <si>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</si>
  <si>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</si>
  <si>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</si>
  <si>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</si>
  <si>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</si>
  <si>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</si>
  <si>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</si>
  <si>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</si>
  <si>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</si>
  <si>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</si>
  <si>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</si>
  <si>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</si>
  <si>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</si>
  <si>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</si>
  <si>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</si>
  <si>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</si>
  <si>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</si>
  <si>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</si>
  <si>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</si>
  <si>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</si>
  <si>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</si>
  <si>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</si>
  <si>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</si>
  <si>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</si>
  <si>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</si>
  <si>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</si>
  <si>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</si>
  <si>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</si>
  <si>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</si>
  <si>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</si>
  <si>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</si>
  <si>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</si>
  <si>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</si>
  <si>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</si>
  <si>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</si>
  <si>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</si>
  <si>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</si>
  <si>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</si>
  <si>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</si>
  <si>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</si>
  <si>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</si>
  <si>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</si>
  <si>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</si>
  <si>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</si>
  <si>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</si>
  <si>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</si>
  <si>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</si>
  <si>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</si>
  <si>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</si>
  <si>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</si>
  <si>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</si>
  <si>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</si>
  <si>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</si>
  <si>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</si>
  <si>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</si>
  <si>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</si>
  <si>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</si>
  <si>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</si>
  <si>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</si>
  <si>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</si>
  <si>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</si>
  <si>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</si>
  <si>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</si>
  <si>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</si>
  <si>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</si>
  <si>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</si>
  <si>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</si>
  <si>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</si>
  <si>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</si>
  <si>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</si>
  <si>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</si>
  <si>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</si>
  <si>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</si>
  <si>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</si>
  <si>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</si>
  <si>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</si>
  <si>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</si>
  <si>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</si>
  <si>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</si>
  <si>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</si>
  <si>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</si>
  <si>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</si>
  <si>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</si>
  <si>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</si>
  <si>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</si>
  <si>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</si>
  <si>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</si>
  <si>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</si>
  <si>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</si>
  <si>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</si>
  <si>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</si>
  <si>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</si>
  <si>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</si>
  <si>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</si>
  <si>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</si>
  <si>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</si>
  <si>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</si>
  <si>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</si>
  <si>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</si>
  <si>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</si>
  <si>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</si>
  <si>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</si>
  <si>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</si>
  <si>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</si>
  <si>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</si>
  <si>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</si>
  <si>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</si>
  <si>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</si>
  <si>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</si>
  <si>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</si>
  <si>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</si>
  <si>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</si>
  <si>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</si>
  <si>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</si>
  <si>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</si>
  <si>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</si>
  <si>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</si>
  <si>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</si>
  <si>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</si>
  <si>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</si>
  <si>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</si>
  <si>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</si>
  <si>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</si>
  <si>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</si>
  <si>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</si>
  <si>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</si>
  <si>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</si>
  <si>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</si>
  <si>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</si>
  <si>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</si>
  <si>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</si>
  <si>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</si>
  <si>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</si>
  <si>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</si>
  <si>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</si>
  <si>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</si>
  <si>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</si>
  <si>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</si>
  <si>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</si>
  <si>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</si>
  <si>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</si>
  <si>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</si>
  <si>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</si>
  <si>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</si>
  <si>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</si>
  <si>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</si>
  <si>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</si>
  <si>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</si>
  <si>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</si>
  <si>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</si>
  <si>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</si>
  <si>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</si>
  <si>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</si>
  <si>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</si>
  <si>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</si>
  <si>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</si>
  <si>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</si>
  <si>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</si>
  <si>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</si>
  <si>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</si>
  <si>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</si>
  <si>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</si>
  <si>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</si>
  <si>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</si>
  <si>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</si>
  <si>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</si>
  <si>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</si>
  <si>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</si>
  <si>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</si>
  <si>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</si>
  <si>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</si>
  <si>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</si>
  <si>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</si>
  <si>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</si>
  <si>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</si>
  <si>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</si>
  <si>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</si>
  <si>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</si>
  <si>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</si>
  <si>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</si>
  <si>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</si>
  <si>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</si>
  <si>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</si>
  <si>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</si>
  <si>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</si>
  <si>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</si>
  <si>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</si>
  <si>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</si>
  <si>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</si>
  <si>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</si>
  <si>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</si>
  <si>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</si>
  <si>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</si>
  <si>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</si>
  <si>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</si>
  <si>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</si>
  <si>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</si>
  <si>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</si>
  <si>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</si>
  <si>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</si>
  <si>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</si>
  <si>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</si>
  <si>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</si>
  <si>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</si>
  <si>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</si>
  <si>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</si>
  <si>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</si>
  <si>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</si>
  <si>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</si>
  <si>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</si>
  <si>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</si>
  <si>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</si>
  <si>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</si>
  <si>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</si>
  <si>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</si>
  <si>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</si>
  <si>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</si>
  <si>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</si>
  <si>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</si>
  <si>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</si>
  <si>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</si>
  <si>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</si>
  <si>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</si>
  <si>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</si>
  <si>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</si>
  <si>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</si>
  <si>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</si>
  <si>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</si>
  <si>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</si>
  <si>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</si>
  <si>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</si>
  <si>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</si>
  <si>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</si>
  <si>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</si>
  <si>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</si>
  <si>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</si>
  <si>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</si>
  <si>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</si>
  <si>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</si>
  <si>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</si>
  <si>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</si>
  <si>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</si>
  <si>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</si>
  <si>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</si>
  <si>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</si>
  <si>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Greene County -Dept of Social Services - HEAP Program</t>
  </si>
  <si>
    <r>
      <t xml:space="preserve">Greene County DSS </t>
    </r>
    <r>
      <rPr>
        <sz val="10"/>
        <color theme="1"/>
        <rFont val="Arial"/>
        <family val="2"/>
      </rPr>
      <t xml:space="preserve">(HEAP Program ) </t>
    </r>
  </si>
  <si>
    <t xml:space="preserve">Transportation Clients  </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</si>
  <si>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</si>
  <si>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</si>
  <si>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</si>
  <si>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</si>
  <si>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t>NY Connects E&amp;EP         04/21 to 03/22</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</si>
  <si>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</si>
  <si>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</si>
  <si>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</si>
  <si>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</si>
  <si>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</si>
  <si>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</si>
  <si>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</si>
  <si>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</si>
  <si>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</si>
  <si>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</si>
  <si>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</si>
  <si>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</si>
  <si>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</si>
  <si>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</si>
  <si>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</si>
  <si>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</si>
  <si>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Agreement</t>
  </si>
  <si>
    <t>NYSDOH 07/21 to 06/22 - Year#3 of 5</t>
  </si>
  <si>
    <t xml:space="preserve">NY Connects Expansion &amp; Enhancement Program </t>
  </si>
  <si>
    <t>QuickBooks AR at 08/31/2021</t>
  </si>
  <si>
    <t>Paycheck Protection Program (PPP) Loan Forgiveness</t>
  </si>
  <si>
    <t>Foundation Revenue - FCH, Dyson, Rip Van Winkle</t>
  </si>
  <si>
    <t>Rural Health Network - 3rd Qrt Voucher</t>
  </si>
  <si>
    <t>In Person Assistors &amp; Navigators- Yr#3 of 5</t>
  </si>
  <si>
    <t xml:space="preserve">General Operating Support </t>
  </si>
  <si>
    <t>Tobacco Yr#3 - Sept 2021 Voucher</t>
  </si>
  <si>
    <t>HEALing Communities Impact Dollars -  2021 Voucher</t>
  </si>
  <si>
    <t xml:space="preserve">Tobacco Free Communities Grant - Yr#3 of 5 </t>
  </si>
  <si>
    <t>Columbia County BOS 2022 Budget Appropriation</t>
  </si>
  <si>
    <t>Columbia County Departments 2022 Donations (CARTS)</t>
  </si>
  <si>
    <t>Collaborative Community Health Planning Jan'22-Dec'22</t>
  </si>
  <si>
    <t xml:space="preserve">Ancram/Copake Prescription Access (2021) </t>
  </si>
  <si>
    <t>Foundation Revenue-Community Foundation of the Hudson Valley</t>
  </si>
  <si>
    <t xml:space="preserve">Add Back Deprecation </t>
  </si>
  <si>
    <t>NYSARH - (0% of $29,668)</t>
  </si>
  <si>
    <t xml:space="preserve">Rural Health Network Program- Yr#4 of 5 </t>
  </si>
  <si>
    <t>NYSDOH 01/22 to 12/22 Yr#4 (Quarterly Voucher)</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</si>
  <si>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</si>
  <si>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</si>
  <si>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</si>
  <si>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</si>
  <si>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Ancram/Copake Prescription Access (2022) </t>
  </si>
  <si>
    <t>Balance as of 01/01/2022</t>
  </si>
  <si>
    <t xml:space="preserve">County Government - 2022 </t>
  </si>
  <si>
    <t xml:space="preserve">County Departments - 2022 </t>
  </si>
  <si>
    <t xml:space="preserve">Columbia Memorial Hospital </t>
  </si>
  <si>
    <t xml:space="preserve">Columbia County BOS 2021 Restore </t>
  </si>
  <si>
    <t>New Program for 2021/2022 Yr - HEALing Community Study Impact</t>
  </si>
  <si>
    <t>Capped @  $15,000</t>
  </si>
  <si>
    <t>Capped @  $20,000</t>
  </si>
  <si>
    <t>2022 Operating Support</t>
  </si>
  <si>
    <t>MIPPA                              04/22 to 8/22</t>
  </si>
  <si>
    <t>NY Connects E&amp;EP         04/22 to 03/23</t>
  </si>
  <si>
    <t>Greene County Public Health Department</t>
  </si>
  <si>
    <t>RHN Program - Jan - Mar 2022 Voucher</t>
  </si>
  <si>
    <t>County Government - 2021</t>
  </si>
  <si>
    <t>Greene County Public Health</t>
  </si>
  <si>
    <t>Tobacco</t>
  </si>
  <si>
    <t>Amazon &amp; B&amp;H Photo</t>
  </si>
  <si>
    <t>Camera Equipment</t>
  </si>
  <si>
    <t>NY Connects</t>
  </si>
  <si>
    <t>Intelligent Tech Solutions</t>
  </si>
  <si>
    <t>TV Display for Outreach</t>
  </si>
  <si>
    <t>Grants Receivable</t>
  </si>
  <si>
    <t xml:space="preserve"> Full Staffing compared with 2021, wage increases</t>
  </si>
  <si>
    <t xml:space="preserve">NYS Assocaition for Rural Health </t>
  </si>
  <si>
    <t>Transportation - Other: CMH, Greene Cty</t>
  </si>
  <si>
    <t>NYSDOH 07/22 to 06/23 - Year#4 of 5</t>
  </si>
  <si>
    <t>NYSDOH 08/21 to 07/22 - Year#3 of 5</t>
  </si>
  <si>
    <t>NYSDOH 08/22 to 07/23 - Year#4 of 5</t>
  </si>
  <si>
    <t>Total funds pending on NYS SFS Website</t>
  </si>
  <si>
    <t>Vehicle Lease Liability</t>
  </si>
  <si>
    <t>Depreciation &amp; Amortization</t>
  </si>
  <si>
    <t>Interest Expense</t>
  </si>
  <si>
    <t>Depreciation &amp; Amortization -Vehicles</t>
  </si>
  <si>
    <t>Increase in 2022 Rates + $1.2K for ESET Renewal + Surge Protectors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</si>
  <si>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2023.  </t>
    </r>
  </si>
  <si>
    <t>Agency</t>
  </si>
  <si>
    <t>Enterprise Fleet</t>
  </si>
  <si>
    <t>2022 Ford Escape - Leased</t>
  </si>
  <si>
    <t>October</t>
  </si>
  <si>
    <t>NYSARH 04/22 to 3/23 - $15,310</t>
  </si>
  <si>
    <t>Columbia County Dept of Human Services</t>
  </si>
  <si>
    <t>Columbia County Dept of Health - HEALing Comm Study</t>
  </si>
  <si>
    <t>Columbia County Office for the Aging-Senior Transportation</t>
  </si>
  <si>
    <t>RHN - 3rd Quarter Voucher</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</si>
  <si>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</si>
  <si>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</si>
  <si>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Ten Months Ended October 31, 2022 and 2021</t>
  </si>
  <si>
    <t>Increase in Vehicle Fuel in 2022 &amp; less Vehicle R&amp;M in 2022</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</si>
  <si>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</si>
  <si>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</si>
  <si>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</si>
  <si>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</si>
  <si>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</si>
  <si>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</si>
  <si>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</si>
  <si>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</si>
  <si>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</si>
  <si>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</si>
  <si>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</si>
  <si>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</si>
  <si>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</si>
  <si>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</si>
  <si>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</si>
  <si>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</si>
  <si>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</si>
  <si>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</si>
  <si>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</si>
  <si>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</si>
  <si>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</si>
  <si>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</si>
  <si>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</si>
  <si>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</si>
  <si>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</si>
  <si>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</si>
  <si>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</si>
  <si>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</si>
  <si>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</si>
  <si>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</si>
  <si>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</si>
  <si>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</si>
  <si>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</si>
  <si>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</si>
  <si>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</si>
  <si>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</si>
  <si>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</si>
  <si>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</si>
  <si>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</si>
  <si>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</si>
  <si>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</si>
  <si>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</si>
  <si>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</si>
  <si>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</si>
  <si>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</si>
  <si>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</si>
  <si>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</si>
  <si>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</si>
  <si>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</si>
  <si>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</si>
  <si>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</si>
  <si>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</si>
  <si>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</si>
  <si>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</si>
  <si>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</si>
  <si>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</si>
  <si>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</si>
  <si>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</si>
  <si>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</si>
  <si>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</si>
  <si>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Grants Receivable Aging Summary as of December 31, 2022</t>
  </si>
  <si>
    <t>December</t>
  </si>
  <si>
    <t>Payments Received After December 31, 2022</t>
  </si>
  <si>
    <t>Total AR Payments Received After December 31, 2022</t>
  </si>
  <si>
    <t>November</t>
  </si>
  <si>
    <t>Tobacco-Free - November 2022 Voucher</t>
  </si>
  <si>
    <t>OFA: Senior Transportation - November 2021 Voucher</t>
  </si>
  <si>
    <t>Tobacco - November &amp; December 2020 - 20% Held back</t>
  </si>
  <si>
    <t>HEALing Community Study - November 2021 Voucher</t>
  </si>
  <si>
    <t>OFA: NY Connects E&amp;EP -  November'21 Voucher</t>
  </si>
  <si>
    <t>OFA: Senior Transportation - November 2022 Voucher</t>
  </si>
  <si>
    <t>Tobacco Yr#3 - November 2021 Voucher</t>
  </si>
  <si>
    <t>Navigator Program - November 2022 Voucher</t>
  </si>
  <si>
    <t>Navigator Program - October 2021 Voucher</t>
  </si>
  <si>
    <t>Medicaid Claims - Month of October 2021</t>
  </si>
  <si>
    <t>Tobacco Yr#3 - October 2021 Voucher</t>
  </si>
  <si>
    <t>Navigator Yr#3-October 2021 Voucher</t>
  </si>
  <si>
    <t>September &amp; Older</t>
  </si>
  <si>
    <t>Grants Receivable at 12/31/2022</t>
  </si>
  <si>
    <t>NY Connects ADRC         11/22 to 09/23</t>
  </si>
  <si>
    <t>FCH: Rx Access</t>
  </si>
  <si>
    <t xml:space="preserve">Greene County - Human Services - Transportation </t>
  </si>
  <si>
    <t>OFA:NY Connects ADRC - November 2022 Voucher</t>
  </si>
  <si>
    <t>GC Dept of Human Services - Transportation</t>
  </si>
  <si>
    <t>Tobacco  - October 2022 Voucher</t>
  </si>
  <si>
    <t>December 31st AR Balance at January 23, 2023</t>
  </si>
  <si>
    <t>Dyson Foundation - 2023 General Operating Grant</t>
  </si>
  <si>
    <t>Lehman-Stamm Family Fund Donation</t>
  </si>
  <si>
    <t>As of December 31, 2022</t>
  </si>
  <si>
    <t xml:space="preserve">RHN - NYSARH - Legislative Appropriation </t>
  </si>
  <si>
    <t xml:space="preserve">Tobacco Free Communities Grant - Yr#4 of 5 </t>
  </si>
  <si>
    <t xml:space="preserve">In Person Assistors &amp; Navigators- Yr#4 of 5 </t>
  </si>
  <si>
    <t xml:space="preserve">Senior Transportation Services - 2023 </t>
  </si>
  <si>
    <t xml:space="preserve">HEALing Communities Study  - 2023 </t>
  </si>
  <si>
    <r>
      <t>Transportation Services</t>
    </r>
    <r>
      <rPr>
        <b/>
        <sz val="11"/>
        <color rgb="FFFF0000"/>
        <rFont val="Arial"/>
        <family val="2"/>
      </rPr>
      <t xml:space="preserve"> (NEW)</t>
    </r>
  </si>
  <si>
    <r>
      <t xml:space="preserve">NY Connects E &amp; EP ADRC </t>
    </r>
    <r>
      <rPr>
        <b/>
        <sz val="11"/>
        <color rgb="FFFF0000"/>
        <rFont val="Arial"/>
        <family val="2"/>
      </rPr>
      <t>(NEW)</t>
    </r>
  </si>
  <si>
    <r>
      <t>Transportation Services (2023)</t>
    </r>
    <r>
      <rPr>
        <b/>
        <sz val="11"/>
        <color rgb="FFFF0000"/>
        <rFont val="Arial"/>
        <family val="2"/>
      </rPr>
      <t xml:space="preserve">  </t>
    </r>
  </si>
  <si>
    <r>
      <t xml:space="preserve">Ancram/Copake Prescription Access (2023)  </t>
    </r>
    <r>
      <rPr>
        <b/>
        <sz val="11"/>
        <color rgb="FFFF0000"/>
        <rFont val="Arial"/>
        <family val="2"/>
      </rPr>
      <t>(NEW)</t>
    </r>
  </si>
  <si>
    <r>
      <t xml:space="preserve">County Government - 2023 </t>
    </r>
    <r>
      <rPr>
        <b/>
        <sz val="11"/>
        <color rgb="FFFF0000"/>
        <rFont val="Arial"/>
        <family val="2"/>
      </rPr>
      <t xml:space="preserve"> (NEW) </t>
    </r>
  </si>
  <si>
    <t>Columbia County BOS 2023 Budget Appropriation</t>
  </si>
  <si>
    <r>
      <t xml:space="preserve">County Departments - 2023 </t>
    </r>
    <r>
      <rPr>
        <b/>
        <sz val="11"/>
        <color rgb="FFFF0000"/>
        <rFont val="Arial"/>
        <family val="2"/>
      </rPr>
      <t>(NEW)</t>
    </r>
  </si>
  <si>
    <t>Columbia County Departments 2023 Donations (CARTS)</t>
  </si>
  <si>
    <r>
      <t>Transportation Services (2023)</t>
    </r>
    <r>
      <rPr>
        <b/>
        <sz val="11"/>
        <color rgb="FFFF0000"/>
        <rFont val="Arial"/>
        <family val="2"/>
      </rPr>
      <t xml:space="preserve">  (NEW)</t>
    </r>
  </si>
  <si>
    <t>.</t>
  </si>
  <si>
    <t>For the Years Ended December 31, 2022 and 2021</t>
  </si>
  <si>
    <t>Greene County Public Health Services</t>
  </si>
  <si>
    <t>Timing plus increase in Y/E 2022 audit</t>
  </si>
  <si>
    <t>Lifting of COVID restriction in 2022 allows for more outreach</t>
  </si>
  <si>
    <t>December'22 vs.'21</t>
  </si>
  <si>
    <t>Transportation Billing Software-Kinetik</t>
  </si>
  <si>
    <t>Health Ins Increased by $35K (along with # of employees)</t>
  </si>
  <si>
    <t>Tobacco increased by $68K, Navigator by $44K, plus NYSARH $44K</t>
  </si>
  <si>
    <t>During 2022, relased $100K from FCH</t>
  </si>
  <si>
    <r>
      <t>è</t>
    </r>
    <r>
      <rPr>
        <b/>
        <sz val="12"/>
        <color theme="1"/>
        <rFont val="Times New Roman"/>
        <family val="1"/>
      </rPr>
      <t xml:space="preserve"> Cash</t>
    </r>
    <r>
      <rPr>
        <sz val="12"/>
        <color theme="1"/>
        <rFont val="Calibri"/>
        <family val="2"/>
      </rPr>
      <t xml:space="preserve"> -  Cash balance in the operating checking account started the 2022 year off with $406.5K and ended in the month of December 2022 with $432K.  The low balance on March 30, 2022, was $141K &amp; the high balance on November 16, 2022, was $473K. The average daily balance for the 2022 &amp; 2021 years were $320K and $395K, respectively. On July 22, 2021, we transferred $100,000 to the Investment account, on February 17, 2022, we loaned $100,000 to NYSARH and on March 23, 2022, we transferred $100,000 to the Investment account. NYSARH repaid the $100K loan on June 15, 2022.</t>
    </r>
  </si>
  <si>
    <t>Total Grant Receivable - December 2022</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</si>
  <si>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December 31, 2022, our Grant Receivable is $360K. We expect to collect on all receivables.  </t>
    </r>
  </si>
  <si>
    <r>
      <t>è</t>
    </r>
    <r>
      <rPr>
        <b/>
        <sz val="12"/>
        <color theme="1"/>
        <rFont val="Times New Roman"/>
        <family val="1"/>
      </rPr>
      <t xml:space="preserve"> Investment - North Country Financial Group </t>
    </r>
    <r>
      <rPr>
        <sz val="12"/>
        <color theme="1"/>
        <rFont val="Calibri"/>
        <family val="2"/>
      </rPr>
      <t xml:space="preserve"> - As of December 31, 2022, the investment account value is $386K. Initial investment during the month of March 2016 was $152K. The change in value for the 2022 year is a decrease of &lt;$61.4K&gt;. On July 22, 2021, we transferred $100,000 into the investment account from our operating account and on March 23, 2022, we transferred another $100,000.</t>
    </r>
  </si>
  <si>
    <t>2022 Chevy Malibu - Leased</t>
  </si>
  <si>
    <t xml:space="preserve">2010 Ford Van </t>
  </si>
  <si>
    <r>
      <t>è</t>
    </r>
    <r>
      <rPr>
        <b/>
        <sz val="12"/>
        <color theme="1"/>
        <rFont val="Times New Roman"/>
        <family val="1"/>
      </rPr>
      <t xml:space="preserve">Accounts Payable - </t>
    </r>
    <r>
      <rPr>
        <sz val="12"/>
        <color theme="1"/>
        <rFont val="Calibri"/>
        <family val="2"/>
        <scheme val="minor"/>
      </rPr>
      <t xml:space="preserve">At October 31, 2022, accounts payable lability is $21,269. All accounts payable liability is being paid timely within 28 days. </t>
    </r>
  </si>
  <si>
    <t>Ending Balance at December 31, 2022</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</si>
  <si>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December 31, 2022,</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</si>
  <si>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December 31, 2022: </t>
    </r>
  </si>
  <si>
    <t>Trade-In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</si>
</sst>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s>
  <fonts count="7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5">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1046">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0" fontId="0" fillId="0" borderId="49"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Font="1" applyFill="1" applyBorder="1" applyAlignment="1">
      <alignment horizontal="left"/>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14" fontId="0" fillId="0" borderId="0" xfId="0" applyNumberFormat="1"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41" fontId="0" fillId="0" borderId="47" xfId="1" applyNumberFormat="1" applyFont="1" applyFill="1" applyBorder="1" applyAlignment="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41" fontId="16" fillId="0" borderId="30" xfId="0" applyNumberFormat="1" applyFont="1" applyBorder="1" applyAlignment="1">
      <alignment horizontal="center" vertical="center"/>
    </xf>
    <xf numFmtId="0" fontId="0" fillId="0" borderId="0" xfId="0" applyFill="1" applyBorder="1" applyAlignment="1">
      <alignment horizontal="left"/>
    </xf>
    <xf numFmtId="0" fontId="6" fillId="3" borderId="33" xfId="0" applyFont="1" applyFill="1" applyBorder="1" applyAlignment="1">
      <alignment horizontal="center" vertical="center"/>
    </xf>
    <xf numFmtId="49" fontId="18" fillId="0" borderId="0" xfId="0" applyNumberFormat="1" applyFont="1" applyAlignment="1">
      <alignment horizontal="left" vertical="center"/>
    </xf>
    <xf numFmtId="14" fontId="0" fillId="0" borderId="14" xfId="0" applyNumberFormat="1" applyFill="1" applyBorder="1" applyAlignment="1">
      <alignment horizontal="center"/>
    </xf>
    <xf numFmtId="41" fontId="0" fillId="0" borderId="28" xfId="1" applyNumberFormat="1" applyFont="1" applyFill="1" applyBorder="1" applyAlignment="1"/>
    <xf numFmtId="41" fontId="18" fillId="2" borderId="0" xfId="0" applyNumberFormat="1" applyFont="1" applyFill="1" applyBorder="1" applyAlignment="1">
      <alignment vertical="center"/>
    </xf>
    <xf numFmtId="44" fontId="6" fillId="0" borderId="0" xfId="0" applyNumberFormat="1" applyFont="1" applyBorder="1" applyAlignment="1">
      <alignment horizontal="center" vertical="center" wrapText="1"/>
    </xf>
    <xf numFmtId="38" fontId="13" fillId="0" borderId="0" xfId="0" applyNumberFormat="1" applyFont="1"/>
    <xf numFmtId="38" fontId="0" fillId="0" borderId="0" xfId="0" applyNumberFormat="1" applyFont="1" applyAlignment="1">
      <alignment horizontal="right"/>
    </xf>
    <xf numFmtId="38" fontId="0" fillId="0" borderId="0" xfId="0" applyNumberFormat="1" applyBorder="1" applyAlignment="1">
      <alignment horizontal="center" vertical="center"/>
    </xf>
    <xf numFmtId="38" fontId="0" fillId="0" borderId="0" xfId="0" applyNumberFormat="1" applyFont="1" applyBorder="1" applyAlignment="1">
      <alignment horizontal="right" vertical="center"/>
    </xf>
    <xf numFmtId="38" fontId="0" fillId="0" borderId="0" xfId="0" applyNumberFormat="1" applyBorder="1" applyAlignment="1">
      <alignment vertical="center"/>
    </xf>
    <xf numFmtId="49" fontId="14" fillId="0" borderId="33" xfId="0" applyNumberFormat="1" applyFont="1" applyBorder="1" applyAlignment="1">
      <alignment vertical="center"/>
    </xf>
    <xf numFmtId="42" fontId="22" fillId="0" borderId="33" xfId="0" applyNumberFormat="1" applyFont="1" applyFill="1" applyBorder="1" applyAlignment="1">
      <alignment horizontal="center" vertical="center" wrapText="1"/>
    </xf>
    <xf numFmtId="38" fontId="0" fillId="0" borderId="0" xfId="0" applyNumberFormat="1" applyFont="1" applyBorder="1" applyAlignment="1">
      <alignment horizontal="right" vertical="center" wrapText="1"/>
    </xf>
    <xf numFmtId="38" fontId="0" fillId="0" borderId="0" xfId="0" applyNumberFormat="1" applyFont="1" applyBorder="1" applyAlignment="1">
      <alignment vertical="center"/>
    </xf>
    <xf numFmtId="49" fontId="22" fillId="0" borderId="0" xfId="0" applyNumberFormat="1" applyFont="1" applyBorder="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NumberFormat="1" applyFont="1" applyBorder="1"/>
    <xf numFmtId="0" fontId="5" fillId="0" borderId="0" xfId="0" applyFont="1" applyBorder="1"/>
    <xf numFmtId="0" fontId="9" fillId="0" borderId="0" xfId="0" applyFont="1" applyBorder="1"/>
    <xf numFmtId="0" fontId="59" fillId="0" borderId="0" xfId="0" applyNumberFormat="1" applyFont="1"/>
    <xf numFmtId="0" fontId="20" fillId="0" borderId="0" xfId="0" applyNumberFormat="1"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Fill="1"/>
    <xf numFmtId="40" fontId="8" fillId="0" borderId="0" xfId="0" applyNumberFormat="1" applyFont="1" applyFill="1"/>
    <xf numFmtId="40" fontId="0" fillId="0" borderId="0" xfId="0" applyNumberFormat="1" applyBorder="1" applyAlignment="1">
      <alignment horizontal="center" vertical="center"/>
    </xf>
    <xf numFmtId="14" fontId="0" fillId="0" borderId="0" xfId="0" applyNumberFormat="1" applyBorder="1" applyAlignment="1">
      <alignment horizontal="center" vertical="center"/>
    </xf>
    <xf numFmtId="40" fontId="8" fillId="0" borderId="0" xfId="0" applyNumberFormat="1" applyFont="1" applyBorder="1" applyAlignment="1">
      <alignment horizontal="center" vertical="center"/>
    </xf>
    <xf numFmtId="0" fontId="17" fillId="0" borderId="56" xfId="0" applyFont="1" applyBorder="1" applyAlignment="1">
      <alignment vertical="center"/>
    </xf>
    <xf numFmtId="40" fontId="17" fillId="0" borderId="0" xfId="0" applyNumberFormat="1" applyFont="1" applyBorder="1" applyAlignment="1">
      <alignment vertical="center"/>
    </xf>
    <xf numFmtId="14" fontId="17" fillId="0" borderId="0" xfId="0" applyNumberFormat="1" applyFont="1" applyBorder="1" applyAlignment="1">
      <alignment horizontal="center" vertical="center"/>
    </xf>
    <xf numFmtId="40" fontId="8" fillId="0" borderId="0" xfId="0" applyNumberFormat="1" applyFont="1" applyBorder="1" applyAlignment="1">
      <alignment vertical="center"/>
    </xf>
    <xf numFmtId="40" fontId="0" fillId="0" borderId="0" xfId="0" applyNumberFormat="1" applyBorder="1" applyAlignment="1">
      <alignment vertical="center"/>
    </xf>
    <xf numFmtId="40" fontId="0" fillId="0" borderId="0" xfId="0" applyNumberFormat="1" applyBorder="1" applyAlignment="1"/>
    <xf numFmtId="14" fontId="0" fillId="0" borderId="0" xfId="0" applyNumberFormat="1" applyBorder="1" applyAlignment="1">
      <alignment horizontal="center"/>
    </xf>
    <xf numFmtId="40" fontId="8" fillId="0" borderId="0" xfId="0" applyNumberFormat="1" applyFont="1" applyBorder="1" applyAlignment="1"/>
    <xf numFmtId="8" fontId="0" fillId="0" borderId="0" xfId="0" applyNumberFormat="1" applyFill="1" applyBorder="1" applyAlignment="1">
      <alignment vertical="center"/>
    </xf>
    <xf numFmtId="8" fontId="6" fillId="0" borderId="0" xfId="0" applyNumberFormat="1" applyFont="1" applyFill="1" applyBorder="1" applyAlignment="1">
      <alignment horizontal="center" vertical="center" wrapText="1"/>
    </xf>
    <xf numFmtId="40" fontId="0" fillId="0" borderId="0" xfId="0" applyNumberFormat="1" applyFont="1" applyBorder="1" applyAlignment="1">
      <alignment vertical="center"/>
    </xf>
    <xf numFmtId="14" fontId="0" fillId="0" borderId="0" xfId="0" applyNumberFormat="1" applyFont="1" applyBorder="1" applyAlignment="1">
      <alignment horizontal="center" vertical="center"/>
    </xf>
    <xf numFmtId="6" fontId="18" fillId="0" borderId="0" xfId="0" applyNumberFormat="1" applyFont="1" applyBorder="1" applyAlignment="1">
      <alignment horizontal="right" vertical="center"/>
    </xf>
    <xf numFmtId="7" fontId="18" fillId="0" borderId="19" xfId="0" applyNumberFormat="1" applyFont="1" applyBorder="1" applyAlignment="1">
      <alignment vertical="center"/>
    </xf>
    <xf numFmtId="172" fontId="18" fillId="0" borderId="19" xfId="0" applyNumberFormat="1" applyFont="1" applyBorder="1" applyAlignment="1">
      <alignment vertical="center"/>
    </xf>
    <xf numFmtId="172" fontId="18" fillId="0" borderId="0" xfId="0" applyNumberFormat="1" applyFont="1" applyBorder="1" applyAlignment="1">
      <alignment vertical="center"/>
    </xf>
    <xf numFmtId="49" fontId="73" fillId="0" borderId="0" xfId="0" applyNumberFormat="1" applyFont="1" applyBorder="1" applyAlignment="1">
      <alignment vertical="center"/>
    </xf>
    <xf numFmtId="5" fontId="14" fillId="0" borderId="0" xfId="0" applyNumberFormat="1" applyFont="1" applyBorder="1" applyAlignment="1">
      <alignment vertical="center"/>
    </xf>
    <xf numFmtId="8" fontId="74" fillId="0" borderId="0" xfId="0" applyNumberFormat="1" applyFont="1" applyBorder="1" applyAlignment="1">
      <alignment vertical="center"/>
    </xf>
    <xf numFmtId="5" fontId="14" fillId="0" borderId="31" xfId="0" applyNumberFormat="1" applyFont="1" applyBorder="1" applyAlignment="1">
      <alignment vertical="center"/>
    </xf>
    <xf numFmtId="3" fontId="14" fillId="0" borderId="0" xfId="0" applyNumberFormat="1" applyFont="1" applyBorder="1" applyAlignment="1">
      <alignment vertical="center"/>
    </xf>
    <xf numFmtId="37" fontId="14" fillId="0" borderId="0" xfId="0" applyNumberFormat="1" applyFont="1" applyBorder="1" applyAlignment="1">
      <alignment vertical="center"/>
    </xf>
    <xf numFmtId="8" fontId="14" fillId="0" borderId="0" xfId="0" applyNumberFormat="1" applyFont="1" applyBorder="1" applyAlignment="1">
      <alignment vertical="center"/>
    </xf>
    <xf numFmtId="40" fontId="15" fillId="0" borderId="0" xfId="0" applyNumberFormat="1" applyFont="1" applyBorder="1" applyAlignment="1">
      <alignment vertical="center"/>
    </xf>
    <xf numFmtId="14" fontId="15" fillId="0" borderId="0" xfId="0" applyNumberFormat="1" applyFont="1" applyBorder="1" applyAlignment="1">
      <alignment horizontal="center" vertical="center"/>
    </xf>
    <xf numFmtId="40" fontId="21" fillId="0" borderId="0" xfId="0" applyNumberFormat="1" applyFont="1" applyBorder="1" applyAlignment="1">
      <alignment vertical="center"/>
    </xf>
    <xf numFmtId="41" fontId="74" fillId="0" borderId="0" xfId="0" applyNumberFormat="1" applyFont="1" applyBorder="1"/>
    <xf numFmtId="40" fontId="0" fillId="0" borderId="0" xfId="0" applyNumberFormat="1" applyBorder="1"/>
    <xf numFmtId="40" fontId="8" fillId="0" borderId="0" xfId="0" applyNumberFormat="1" applyFont="1" applyBorder="1"/>
    <xf numFmtId="38" fontId="74" fillId="0" borderId="0" xfId="0" applyNumberFormat="1" applyFont="1" applyBorder="1"/>
    <xf numFmtId="8" fontId="74" fillId="0" borderId="0" xfId="0" applyNumberFormat="1" applyFont="1" applyBorder="1"/>
    <xf numFmtId="41" fontId="0" fillId="0" borderId="0" xfId="0" applyNumberFormat="1" applyFill="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59" fillId="0" borderId="0" xfId="0" applyNumberFormat="1" applyFont="1" applyBorder="1"/>
    <xf numFmtId="0" fontId="11"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0" fillId="0" borderId="0" xfId="0" applyBorder="1" applyAlignment="1">
      <alignment horizontal="left" vertical="center"/>
    </xf>
    <xf numFmtId="38" fontId="0" fillId="0" borderId="0" xfId="0" applyNumberFormat="1" applyBorder="1" applyAlignment="1">
      <alignment horizontal="left" vertical="center"/>
    </xf>
    <xf numFmtId="38" fontId="0" fillId="0" borderId="0" xfId="0" applyNumberFormat="1" applyFont="1" applyBorder="1" applyAlignment="1">
      <alignment horizontal="left" vertical="center"/>
    </xf>
    <xf numFmtId="0" fontId="0" fillId="0" borderId="2" xfId="0" applyFill="1" applyBorder="1" applyAlignment="1">
      <alignment horizontal="center"/>
    </xf>
    <xf numFmtId="0" fontId="0" fillId="0" borderId="28" xfId="0" applyFill="1" applyBorder="1" applyAlignment="1">
      <alignment horizontal="left"/>
    </xf>
    <xf numFmtId="14" fontId="0" fillId="0" borderId="28" xfId="0" applyNumberFormat="1" applyFill="1" applyBorder="1" applyAlignment="1">
      <alignment horizontal="center"/>
    </xf>
    <xf numFmtId="38" fontId="0" fillId="0" borderId="28" xfId="1" applyNumberFormat="1" applyFont="1" applyFill="1" applyBorder="1" applyAlignment="1"/>
    <xf numFmtId="41" fontId="0" fillId="0" borderId="41" xfId="1" applyNumberFormat="1" applyFont="1" applyFill="1" applyBorder="1" applyAlignment="1"/>
    <xf numFmtId="14" fontId="0" fillId="0" borderId="47" xfId="0" applyNumberFormat="1" applyFill="1" applyBorder="1" applyAlignment="1">
      <alignment horizontal="center"/>
    </xf>
    <xf numFmtId="41" fontId="0" fillId="0" borderId="14" xfId="1" applyNumberFormat="1" applyFont="1" applyFill="1" applyBorder="1" applyAlignment="1"/>
    <xf numFmtId="0" fontId="0" fillId="0" borderId="16" xfId="0" applyFill="1" applyBorder="1"/>
    <xf numFmtId="41" fontId="0" fillId="0" borderId="29" xfId="1" applyNumberFormat="1" applyFont="1" applyFill="1" applyBorder="1" applyAlignment="1"/>
    <xf numFmtId="0" fontId="0" fillId="0" borderId="24" xfId="0" applyFill="1" applyBorder="1"/>
    <xf numFmtId="0" fontId="0" fillId="0" borderId="34" xfId="0" applyFill="1" applyBorder="1"/>
    <xf numFmtId="0" fontId="0" fillId="0" borderId="72" xfId="0" applyFill="1" applyBorder="1"/>
    <xf numFmtId="0" fontId="0" fillId="0" borderId="73" xfId="0" applyFill="1" applyBorder="1"/>
    <xf numFmtId="0" fontId="61" fillId="0" borderId="16" xfId="0" applyFont="1" applyFill="1" applyBorder="1"/>
    <xf numFmtId="0" fontId="0" fillId="0" borderId="16" xfId="0" applyFont="1" applyFill="1" applyBorder="1"/>
    <xf numFmtId="0" fontId="0" fillId="0" borderId="16" xfId="0" applyFill="1" applyBorder="1" applyAlignment="1">
      <alignment vertical="center"/>
    </xf>
    <xf numFmtId="0" fontId="0" fillId="0" borderId="24" xfId="0" applyFill="1" applyBorder="1" applyAlignment="1">
      <alignment vertical="center"/>
    </xf>
    <xf numFmtId="0" fontId="0" fillId="0" borderId="16" xfId="0" applyFill="1" applyBorder="1" applyAlignment="1"/>
    <xf numFmtId="0" fontId="0" fillId="0" borderId="35" xfId="0" applyFill="1" applyBorder="1" applyAlignment="1"/>
    <xf numFmtId="0" fontId="0" fillId="0" borderId="47" xfId="0" applyFill="1" applyBorder="1" applyAlignment="1">
      <alignment horizontal="left"/>
    </xf>
    <xf numFmtId="0" fontId="0" fillId="0" borderId="48" xfId="0" applyFill="1" applyBorder="1" applyAlignment="1">
      <alignment horizontal="left"/>
    </xf>
    <xf numFmtId="0" fontId="0" fillId="0" borderId="58" xfId="0" applyFill="1" applyBorder="1" applyAlignment="1">
      <alignment horizontal="left"/>
    </xf>
    <xf numFmtId="0" fontId="0" fillId="0" borderId="49" xfId="0" applyFill="1" applyBorder="1" applyAlignment="1">
      <alignment horizontal="left" vertical="center"/>
    </xf>
    <xf numFmtId="0" fontId="0" fillId="0" borderId="48" xfId="0" applyFill="1" applyBorder="1" applyAlignment="1">
      <alignment horizontal="left" vertical="center"/>
    </xf>
    <xf numFmtId="0" fontId="0" fillId="0" borderId="28"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vertical="center"/>
    </xf>
    <xf numFmtId="0" fontId="0" fillId="0" borderId="27" xfId="0" applyFill="1" applyBorder="1" applyAlignment="1">
      <alignment horizontal="center"/>
    </xf>
    <xf numFmtId="14" fontId="0" fillId="0" borderId="29" xfId="0" applyNumberFormat="1" applyFill="1" applyBorder="1" applyAlignment="1">
      <alignment horizontal="center"/>
    </xf>
    <xf numFmtId="41" fontId="0" fillId="0" borderId="43" xfId="1" applyNumberFormat="1" applyFont="1" applyFill="1" applyBorder="1" applyAlignment="1"/>
    <xf numFmtId="41" fontId="0" fillId="0" borderId="74" xfId="1" applyNumberFormat="1" applyFont="1" applyFill="1" applyBorder="1" applyAlignment="1"/>
    <xf numFmtId="41" fontId="0" fillId="0" borderId="29" xfId="1" applyNumberFormat="1" applyFont="1" applyFill="1" applyBorder="1" applyAlignment="1">
      <alignment vertical="center"/>
    </xf>
    <xf numFmtId="41" fontId="0" fillId="0" borderId="52" xfId="1" applyNumberFormat="1" applyFont="1" applyFill="1" applyBorder="1" applyAlignment="1"/>
    <xf numFmtId="38" fontId="0" fillId="0" borderId="47" xfId="1" applyNumberFormat="1" applyFont="1" applyFill="1" applyBorder="1" applyAlignment="1"/>
    <xf numFmtId="38" fontId="33" fillId="0" borderId="48" xfId="1" applyNumberFormat="1" applyFont="1" applyFill="1" applyBorder="1" applyAlignment="1"/>
    <xf numFmtId="38" fontId="33" fillId="0" borderId="49" xfId="1" applyNumberFormat="1" applyFont="1" applyFill="1" applyBorder="1" applyAlignment="1">
      <alignment horizontal="right"/>
    </xf>
    <xf numFmtId="38" fontId="33" fillId="0" borderId="48" xfId="1" applyNumberFormat="1" applyFont="1" applyFill="1" applyBorder="1" applyAlignment="1">
      <alignment horizontal="right"/>
    </xf>
    <xf numFmtId="38" fontId="0" fillId="0" borderId="48" xfId="1" applyNumberFormat="1" applyFont="1" applyFill="1" applyBorder="1" applyAlignment="1"/>
    <xf numFmtId="38" fontId="0" fillId="0" borderId="58" xfId="1" applyNumberFormat="1" applyFont="1" applyFill="1" applyBorder="1" applyAlignment="1"/>
    <xf numFmtId="38" fontId="0" fillId="0" borderId="49" xfId="1" applyNumberFormat="1" applyFont="1" applyFill="1" applyBorder="1" applyAlignment="1">
      <alignment horizontal="right"/>
    </xf>
    <xf numFmtId="38" fontId="0" fillId="0" borderId="48" xfId="1" applyNumberFormat="1" applyFont="1" applyFill="1" applyBorder="1" applyAlignment="1">
      <alignment horizontal="right"/>
    </xf>
    <xf numFmtId="38" fontId="0" fillId="0" borderId="49"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41" fontId="0" fillId="0" borderId="3" xfId="1" applyNumberFormat="1" applyFont="1" applyFill="1" applyBorder="1" applyAlignment="1"/>
    <xf numFmtId="41" fontId="0" fillId="0" borderId="0" xfId="1" applyNumberFormat="1" applyFont="1" applyFill="1" applyBorder="1" applyAlignment="1">
      <alignment vertical="center"/>
    </xf>
    <xf numFmtId="41" fontId="0" fillId="0" borderId="2" xfId="1" applyNumberFormat="1" applyFont="1" applyFill="1" applyBorder="1" applyAlignment="1">
      <alignment vertical="center"/>
    </xf>
    <xf numFmtId="38" fontId="0" fillId="0" borderId="49" xfId="1" applyNumberFormat="1" applyFont="1" applyFill="1" applyBorder="1" applyAlignment="1">
      <alignment vertical="center"/>
    </xf>
    <xf numFmtId="38" fontId="0" fillId="0" borderId="48" xfId="1" applyNumberFormat="1" applyFont="1" applyFill="1" applyBorder="1" applyAlignment="1">
      <alignment vertic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1" fontId="5" fillId="0" borderId="0"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41" fontId="0" fillId="0" borderId="41" xfId="1" applyNumberFormat="1" applyFont="1" applyFill="1" applyBorder="1" applyAlignment="1">
      <alignment horizontal="center"/>
    </xf>
    <xf numFmtId="41" fontId="0" fillId="0" borderId="71" xfId="1" applyNumberFormat="1" applyFont="1" applyFill="1" applyBorder="1" applyAlignment="1">
      <alignment horizontal="center"/>
    </xf>
    <xf numFmtId="41" fontId="0" fillId="0" borderId="43" xfId="1" applyNumberFormat="1" applyFont="1" applyFill="1" applyBorder="1" applyAlignment="1">
      <alignment horizontal="center"/>
    </xf>
    <xf numFmtId="43" fontId="0" fillId="0" borderId="29" xfId="1" applyNumberFormat="1" applyFont="1" applyFill="1" applyBorder="1" applyAlignment="1"/>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59"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49" fontId="14" fillId="0" borderId="0"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49" fontId="18" fillId="0" borderId="0" xfId="0" applyNumberFormat="1" applyFont="1" applyAlignment="1">
      <alignment horizontal="left"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Data!$A$1309:$A$1844</c:f>
              <c:numCache>
                <c:formatCode>[$-F800]dddd\,\ mmmm\ dd\,\ yyyy</c:formatCode>
                <c:ptCount val="53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44835</c:v>
                </c:pt>
                <c:pt idx="457">
                  <c:v>44836</c:v>
                </c:pt>
                <c:pt idx="458">
                  <c:v>44837</c:v>
                </c:pt>
                <c:pt idx="459">
                  <c:v>44838</c:v>
                </c:pt>
                <c:pt idx="460">
                  <c:v>44839</c:v>
                </c:pt>
                <c:pt idx="461">
                  <c:v>44840</c:v>
                </c:pt>
                <c:pt idx="462">
                  <c:v>44841</c:v>
                </c:pt>
                <c:pt idx="463">
                  <c:v>44844</c:v>
                </c:pt>
                <c:pt idx="464">
                  <c:v>44845</c:v>
                </c:pt>
                <c:pt idx="465">
                  <c:v>44846</c:v>
                </c:pt>
                <c:pt idx="466">
                  <c:v>44847</c:v>
                </c:pt>
                <c:pt idx="467">
                  <c:v>44848</c:v>
                </c:pt>
                <c:pt idx="468">
                  <c:v>44849</c:v>
                </c:pt>
                <c:pt idx="469">
                  <c:v>44850</c:v>
                </c:pt>
                <c:pt idx="470">
                  <c:v>44851</c:v>
                </c:pt>
                <c:pt idx="471">
                  <c:v>44852</c:v>
                </c:pt>
                <c:pt idx="472">
                  <c:v>44853</c:v>
                </c:pt>
                <c:pt idx="473">
                  <c:v>44854</c:v>
                </c:pt>
                <c:pt idx="474">
                  <c:v>44855</c:v>
                </c:pt>
                <c:pt idx="475">
                  <c:v>44856</c:v>
                </c:pt>
                <c:pt idx="476">
                  <c:v>44857</c:v>
                </c:pt>
                <c:pt idx="477">
                  <c:v>44858</c:v>
                </c:pt>
                <c:pt idx="478">
                  <c:v>44859</c:v>
                </c:pt>
                <c:pt idx="479">
                  <c:v>44860</c:v>
                </c:pt>
                <c:pt idx="480">
                  <c:v>44861</c:v>
                </c:pt>
                <c:pt idx="481">
                  <c:v>44862</c:v>
                </c:pt>
                <c:pt idx="482">
                  <c:v>44863</c:v>
                </c:pt>
                <c:pt idx="483">
                  <c:v>44864</c:v>
                </c:pt>
                <c:pt idx="484">
                  <c:v>44865</c:v>
                </c:pt>
                <c:pt idx="485">
                  <c:v>44866</c:v>
                </c:pt>
                <c:pt idx="486">
                  <c:v>44867</c:v>
                </c:pt>
                <c:pt idx="487">
                  <c:v>44868</c:v>
                </c:pt>
                <c:pt idx="488">
                  <c:v>44869</c:v>
                </c:pt>
                <c:pt idx="489">
                  <c:v>44870</c:v>
                </c:pt>
                <c:pt idx="490">
                  <c:v>44871</c:v>
                </c:pt>
                <c:pt idx="491">
                  <c:v>44872</c:v>
                </c:pt>
                <c:pt idx="492">
                  <c:v>44873</c:v>
                </c:pt>
                <c:pt idx="493">
                  <c:v>44874</c:v>
                </c:pt>
                <c:pt idx="494">
                  <c:v>44875</c:v>
                </c:pt>
                <c:pt idx="495">
                  <c:v>44876</c:v>
                </c:pt>
                <c:pt idx="496">
                  <c:v>44879</c:v>
                </c:pt>
                <c:pt idx="497">
                  <c:v>44880</c:v>
                </c:pt>
                <c:pt idx="498">
                  <c:v>44881</c:v>
                </c:pt>
                <c:pt idx="499">
                  <c:v>44882</c:v>
                </c:pt>
                <c:pt idx="500">
                  <c:v>44883</c:v>
                </c:pt>
                <c:pt idx="501">
                  <c:v>44886</c:v>
                </c:pt>
                <c:pt idx="502">
                  <c:v>44887</c:v>
                </c:pt>
                <c:pt idx="503">
                  <c:v>44888</c:v>
                </c:pt>
                <c:pt idx="504">
                  <c:v>44889</c:v>
                </c:pt>
                <c:pt idx="505">
                  <c:v>44890</c:v>
                </c:pt>
                <c:pt idx="506">
                  <c:v>44893</c:v>
                </c:pt>
                <c:pt idx="507">
                  <c:v>44894</c:v>
                </c:pt>
                <c:pt idx="508">
                  <c:v>44895</c:v>
                </c:pt>
                <c:pt idx="509">
                  <c:v>44896</c:v>
                </c:pt>
                <c:pt idx="510">
                  <c:v>44897</c:v>
                </c:pt>
                <c:pt idx="511">
                  <c:v>44900</c:v>
                </c:pt>
                <c:pt idx="512">
                  <c:v>44901</c:v>
                </c:pt>
                <c:pt idx="513">
                  <c:v>44902</c:v>
                </c:pt>
                <c:pt idx="514">
                  <c:v>44903</c:v>
                </c:pt>
                <c:pt idx="515">
                  <c:v>44904</c:v>
                </c:pt>
                <c:pt idx="516">
                  <c:v>44907</c:v>
                </c:pt>
                <c:pt idx="517">
                  <c:v>44908</c:v>
                </c:pt>
                <c:pt idx="518">
                  <c:v>44909</c:v>
                </c:pt>
                <c:pt idx="519">
                  <c:v>44910</c:v>
                </c:pt>
                <c:pt idx="520">
                  <c:v>44911</c:v>
                </c:pt>
                <c:pt idx="521">
                  <c:v>44914</c:v>
                </c:pt>
                <c:pt idx="522">
                  <c:v>44915</c:v>
                </c:pt>
                <c:pt idx="523">
                  <c:v>44916</c:v>
                </c:pt>
                <c:pt idx="524">
                  <c:v>44917</c:v>
                </c:pt>
                <c:pt idx="525">
                  <c:v>44918</c:v>
                </c:pt>
                <c:pt idx="526">
                  <c:v>44921</c:v>
                </c:pt>
                <c:pt idx="527">
                  <c:v>44922</c:v>
                </c:pt>
                <c:pt idx="528">
                  <c:v>44923</c:v>
                </c:pt>
                <c:pt idx="529">
                  <c:v>44924</c:v>
                </c:pt>
                <c:pt idx="530">
                  <c:v>44925</c:v>
                </c:pt>
                <c:pt idx="531">
                  <c:v>44928</c:v>
                </c:pt>
                <c:pt idx="532">
                  <c:v>44929</c:v>
                </c:pt>
                <c:pt idx="533">
                  <c:v>44930</c:v>
                </c:pt>
                <c:pt idx="534">
                  <c:v>44931</c:v>
                </c:pt>
                <c:pt idx="535">
                  <c:v>44932</c:v>
                </c:pt>
              </c:numCache>
            </c:numRef>
          </c:cat>
          <c:val>
            <c:numRef>
              <c:f>Data!$B$1309:$B$1844</c:f>
              <c:numCache>
                <c:formatCode>#,##0_);[Red]\(#,##0\)</c:formatCode>
                <c:ptCount val="536"/>
                <c:pt idx="0">
                  <c:v>397543</c:v>
                </c:pt>
                <c:pt idx="1">
                  <c:v>380539.51</c:v>
                </c:pt>
                <c:pt idx="2">
                  <c:v>349091.91</c:v>
                </c:pt>
                <c:pt idx="3">
                  <c:v>349092</c:v>
                </c:pt>
                <c:pt idx="4">
                  <c:v>409281.75</c:v>
                </c:pt>
                <c:pt idx="5">
                  <c:v>408971.69</c:v>
                </c:pt>
                <c:pt idx="6">
                  <c:v>408739.83</c:v>
                </c:pt>
                <c:pt idx="7">
                  <c:v>401650.97</c:v>
                </c:pt>
                <c:pt idx="8">
                  <c:v>413709.67</c:v>
                </c:pt>
                <c:pt idx="9">
                  <c:v>412321.56</c:v>
                </c:pt>
                <c:pt idx="10">
                  <c:v>412384.91</c:v>
                </c:pt>
                <c:pt idx="11">
                  <c:v>412385</c:v>
                </c:pt>
                <c:pt idx="12">
                  <c:v>417699.08</c:v>
                </c:pt>
                <c:pt idx="13">
                  <c:v>417952.08</c:v>
                </c:pt>
                <c:pt idx="14">
                  <c:v>402996.41</c:v>
                </c:pt>
                <c:pt idx="15">
                  <c:v>402527.5</c:v>
                </c:pt>
                <c:pt idx="16">
                  <c:v>402528</c:v>
                </c:pt>
                <c:pt idx="17">
                  <c:v>399742.18</c:v>
                </c:pt>
                <c:pt idx="18">
                  <c:v>399886.18</c:v>
                </c:pt>
                <c:pt idx="19">
                  <c:v>393628.47</c:v>
                </c:pt>
                <c:pt idx="20">
                  <c:v>393628</c:v>
                </c:pt>
                <c:pt idx="21">
                  <c:v>393628</c:v>
                </c:pt>
                <c:pt idx="22">
                  <c:v>359326.4</c:v>
                </c:pt>
                <c:pt idx="23">
                  <c:v>359521.7</c:v>
                </c:pt>
                <c:pt idx="24">
                  <c:v>359522</c:v>
                </c:pt>
                <c:pt idx="25">
                  <c:v>347055.28</c:v>
                </c:pt>
                <c:pt idx="26">
                  <c:v>369629.13</c:v>
                </c:pt>
                <c:pt idx="27">
                  <c:v>382278.77</c:v>
                </c:pt>
                <c:pt idx="28">
                  <c:v>382279</c:v>
                </c:pt>
                <c:pt idx="29">
                  <c:v>378310.6</c:v>
                </c:pt>
                <c:pt idx="30">
                  <c:v>378369.91</c:v>
                </c:pt>
                <c:pt idx="31">
                  <c:v>378370</c:v>
                </c:pt>
                <c:pt idx="32">
                  <c:v>345442.81</c:v>
                </c:pt>
                <c:pt idx="33">
                  <c:v>345443</c:v>
                </c:pt>
                <c:pt idx="34">
                  <c:v>345443</c:v>
                </c:pt>
                <c:pt idx="35">
                  <c:v>364859.97</c:v>
                </c:pt>
                <c:pt idx="36">
                  <c:v>368452.97</c:v>
                </c:pt>
                <c:pt idx="37">
                  <c:v>368407.65</c:v>
                </c:pt>
                <c:pt idx="38">
                  <c:v>373249.01</c:v>
                </c:pt>
                <c:pt idx="39">
                  <c:v>373249.01</c:v>
                </c:pt>
                <c:pt idx="40">
                  <c:v>404359.4</c:v>
                </c:pt>
                <c:pt idx="41">
                  <c:v>398860.85</c:v>
                </c:pt>
                <c:pt idx="42">
                  <c:v>365079.52</c:v>
                </c:pt>
                <c:pt idx="43">
                  <c:v>406124.9</c:v>
                </c:pt>
                <c:pt idx="44">
                  <c:v>409953.76</c:v>
                </c:pt>
                <c:pt idx="45">
                  <c:v>400983.29</c:v>
                </c:pt>
                <c:pt idx="46">
                  <c:v>400983</c:v>
                </c:pt>
                <c:pt idx="47">
                  <c:v>399908.16</c:v>
                </c:pt>
                <c:pt idx="48">
                  <c:v>399908</c:v>
                </c:pt>
                <c:pt idx="49">
                  <c:v>399908</c:v>
                </c:pt>
                <c:pt idx="50">
                  <c:v>399766.22</c:v>
                </c:pt>
                <c:pt idx="51">
                  <c:v>366689.23</c:v>
                </c:pt>
                <c:pt idx="52">
                  <c:v>392136.38</c:v>
                </c:pt>
                <c:pt idx="53">
                  <c:v>414771.89</c:v>
                </c:pt>
                <c:pt idx="54">
                  <c:v>442093.39</c:v>
                </c:pt>
                <c:pt idx="55">
                  <c:v>439966.74</c:v>
                </c:pt>
                <c:pt idx="56">
                  <c:v>439966.74</c:v>
                </c:pt>
                <c:pt idx="57">
                  <c:v>439966.74</c:v>
                </c:pt>
                <c:pt idx="58">
                  <c:v>440251.74</c:v>
                </c:pt>
                <c:pt idx="59">
                  <c:v>440252</c:v>
                </c:pt>
                <c:pt idx="60">
                  <c:v>424641.64</c:v>
                </c:pt>
                <c:pt idx="61">
                  <c:v>527059.86</c:v>
                </c:pt>
                <c:pt idx="62">
                  <c:v>552226.89</c:v>
                </c:pt>
                <c:pt idx="63">
                  <c:v>552439.89</c:v>
                </c:pt>
                <c:pt idx="64">
                  <c:v>552439.89</c:v>
                </c:pt>
                <c:pt idx="65">
                  <c:v>552129.82999999996</c:v>
                </c:pt>
                <c:pt idx="66">
                  <c:v>552130</c:v>
                </c:pt>
                <c:pt idx="67">
                  <c:v>552377.82999999996</c:v>
                </c:pt>
                <c:pt idx="68">
                  <c:v>552378</c:v>
                </c:pt>
                <c:pt idx="69">
                  <c:v>553005.37</c:v>
                </c:pt>
                <c:pt idx="70">
                  <c:v>553005</c:v>
                </c:pt>
                <c:pt idx="71">
                  <c:v>536104.62</c:v>
                </c:pt>
                <c:pt idx="72">
                  <c:v>503475.62</c:v>
                </c:pt>
                <c:pt idx="73">
                  <c:v>515272.72</c:v>
                </c:pt>
                <c:pt idx="74">
                  <c:v>519939.48</c:v>
                </c:pt>
                <c:pt idx="75">
                  <c:v>518569.61</c:v>
                </c:pt>
                <c:pt idx="76">
                  <c:v>518755.61</c:v>
                </c:pt>
                <c:pt idx="77">
                  <c:v>518755.61</c:v>
                </c:pt>
                <c:pt idx="78">
                  <c:v>518755.61</c:v>
                </c:pt>
                <c:pt idx="79">
                  <c:v>507528.36</c:v>
                </c:pt>
                <c:pt idx="80">
                  <c:v>506769.51</c:v>
                </c:pt>
                <c:pt idx="81">
                  <c:v>506770</c:v>
                </c:pt>
                <c:pt idx="82">
                  <c:v>473061.43</c:v>
                </c:pt>
                <c:pt idx="83">
                  <c:v>479261.62</c:v>
                </c:pt>
                <c:pt idx="84">
                  <c:v>478222.46</c:v>
                </c:pt>
                <c:pt idx="85">
                  <c:v>477922.01</c:v>
                </c:pt>
                <c:pt idx="86">
                  <c:v>477922.01</c:v>
                </c:pt>
                <c:pt idx="87">
                  <c:v>477922.01</c:v>
                </c:pt>
                <c:pt idx="88">
                  <c:v>477922.01</c:v>
                </c:pt>
                <c:pt idx="89">
                  <c:v>477922.01</c:v>
                </c:pt>
                <c:pt idx="90">
                  <c:v>463576.89</c:v>
                </c:pt>
                <c:pt idx="91">
                  <c:v>473954.09</c:v>
                </c:pt>
                <c:pt idx="92">
                  <c:v>520561.7</c:v>
                </c:pt>
                <c:pt idx="93">
                  <c:v>520562</c:v>
                </c:pt>
                <c:pt idx="94">
                  <c:v>525995.02</c:v>
                </c:pt>
                <c:pt idx="95">
                  <c:v>521947.98</c:v>
                </c:pt>
                <c:pt idx="96">
                  <c:v>521948</c:v>
                </c:pt>
                <c:pt idx="97">
                  <c:v>521948</c:v>
                </c:pt>
                <c:pt idx="98">
                  <c:v>522186.98</c:v>
                </c:pt>
                <c:pt idx="99">
                  <c:v>518466.54</c:v>
                </c:pt>
                <c:pt idx="100">
                  <c:v>518467</c:v>
                </c:pt>
                <c:pt idx="101">
                  <c:v>486541.35</c:v>
                </c:pt>
                <c:pt idx="102">
                  <c:v>486541</c:v>
                </c:pt>
                <c:pt idx="103">
                  <c:v>512462.15</c:v>
                </c:pt>
                <c:pt idx="104">
                  <c:v>512462</c:v>
                </c:pt>
                <c:pt idx="105">
                  <c:v>513609.04</c:v>
                </c:pt>
                <c:pt idx="106">
                  <c:v>513609</c:v>
                </c:pt>
                <c:pt idx="107">
                  <c:v>513579.05</c:v>
                </c:pt>
                <c:pt idx="108">
                  <c:v>514399.44</c:v>
                </c:pt>
                <c:pt idx="109">
                  <c:v>501741.57</c:v>
                </c:pt>
                <c:pt idx="110">
                  <c:v>501742</c:v>
                </c:pt>
                <c:pt idx="111">
                  <c:v>502500.51</c:v>
                </c:pt>
                <c:pt idx="112">
                  <c:v>502953.51</c:v>
                </c:pt>
                <c:pt idx="113">
                  <c:v>502954</c:v>
                </c:pt>
                <c:pt idx="114">
                  <c:v>483592.4</c:v>
                </c:pt>
                <c:pt idx="115">
                  <c:v>483291.95</c:v>
                </c:pt>
                <c:pt idx="116">
                  <c:v>495768.59</c:v>
                </c:pt>
                <c:pt idx="117">
                  <c:v>495822.72</c:v>
                </c:pt>
                <c:pt idx="118">
                  <c:v>520028.1</c:v>
                </c:pt>
                <c:pt idx="119">
                  <c:v>517161.8</c:v>
                </c:pt>
                <c:pt idx="120">
                  <c:v>518094.91</c:v>
                </c:pt>
                <c:pt idx="121">
                  <c:v>484042.38</c:v>
                </c:pt>
                <c:pt idx="122">
                  <c:v>497746.99</c:v>
                </c:pt>
                <c:pt idx="123">
                  <c:v>497747</c:v>
                </c:pt>
                <c:pt idx="124">
                  <c:v>495381.8</c:v>
                </c:pt>
                <c:pt idx="125">
                  <c:v>495081.35</c:v>
                </c:pt>
                <c:pt idx="126">
                  <c:v>495055.65</c:v>
                </c:pt>
                <c:pt idx="127">
                  <c:v>495056</c:v>
                </c:pt>
                <c:pt idx="128">
                  <c:v>497588.94</c:v>
                </c:pt>
                <c:pt idx="129">
                  <c:v>488300.76</c:v>
                </c:pt>
                <c:pt idx="130">
                  <c:v>488301</c:v>
                </c:pt>
                <c:pt idx="131">
                  <c:v>488301</c:v>
                </c:pt>
                <c:pt idx="132">
                  <c:v>453460.75</c:v>
                </c:pt>
                <c:pt idx="133">
                  <c:v>453461</c:v>
                </c:pt>
                <c:pt idx="134">
                  <c:v>453914.75</c:v>
                </c:pt>
                <c:pt idx="135">
                  <c:v>451808.36</c:v>
                </c:pt>
                <c:pt idx="136">
                  <c:v>451808</c:v>
                </c:pt>
                <c:pt idx="137">
                  <c:v>452941.65</c:v>
                </c:pt>
                <c:pt idx="138">
                  <c:v>453131.97</c:v>
                </c:pt>
                <c:pt idx="139">
                  <c:v>453180.49</c:v>
                </c:pt>
                <c:pt idx="140">
                  <c:v>453180</c:v>
                </c:pt>
                <c:pt idx="141">
                  <c:v>436299.85</c:v>
                </c:pt>
                <c:pt idx="142">
                  <c:v>400936.9</c:v>
                </c:pt>
                <c:pt idx="143">
                  <c:v>400937</c:v>
                </c:pt>
                <c:pt idx="144">
                  <c:v>298716.2</c:v>
                </c:pt>
                <c:pt idx="145">
                  <c:v>298557.34999999998</c:v>
                </c:pt>
                <c:pt idx="146">
                  <c:v>298557</c:v>
                </c:pt>
                <c:pt idx="147">
                  <c:v>298047.28999999998</c:v>
                </c:pt>
                <c:pt idx="148">
                  <c:v>298221.59000000003</c:v>
                </c:pt>
                <c:pt idx="149">
                  <c:v>298222</c:v>
                </c:pt>
                <c:pt idx="150">
                  <c:v>286090</c:v>
                </c:pt>
                <c:pt idx="151">
                  <c:v>285690.83</c:v>
                </c:pt>
                <c:pt idx="152">
                  <c:v>250196.9</c:v>
                </c:pt>
                <c:pt idx="153">
                  <c:v>250197</c:v>
                </c:pt>
                <c:pt idx="154">
                  <c:v>242217.24</c:v>
                </c:pt>
                <c:pt idx="155">
                  <c:v>241916.79</c:v>
                </c:pt>
                <c:pt idx="156">
                  <c:v>242014.29</c:v>
                </c:pt>
                <c:pt idx="157">
                  <c:v>260028.48</c:v>
                </c:pt>
                <c:pt idx="158">
                  <c:v>261085.42</c:v>
                </c:pt>
                <c:pt idx="159">
                  <c:v>261983.68</c:v>
                </c:pt>
                <c:pt idx="160">
                  <c:v>262016.54</c:v>
                </c:pt>
                <c:pt idx="161">
                  <c:v>262016.54</c:v>
                </c:pt>
                <c:pt idx="162">
                  <c:v>226196.56</c:v>
                </c:pt>
                <c:pt idx="163">
                  <c:v>245030.16</c:v>
                </c:pt>
                <c:pt idx="164">
                  <c:v>229633.33</c:v>
                </c:pt>
                <c:pt idx="165">
                  <c:v>247195.12</c:v>
                </c:pt>
                <c:pt idx="166">
                  <c:v>247195.12</c:v>
                </c:pt>
                <c:pt idx="167">
                  <c:v>347649.83</c:v>
                </c:pt>
                <c:pt idx="168">
                  <c:v>347649.83</c:v>
                </c:pt>
                <c:pt idx="169">
                  <c:v>341237.68</c:v>
                </c:pt>
                <c:pt idx="170">
                  <c:v>373525.01</c:v>
                </c:pt>
                <c:pt idx="171">
                  <c:v>373525.01</c:v>
                </c:pt>
                <c:pt idx="172">
                  <c:v>336851.39</c:v>
                </c:pt>
                <c:pt idx="173">
                  <c:v>336851.39</c:v>
                </c:pt>
                <c:pt idx="174">
                  <c:v>336851.39</c:v>
                </c:pt>
                <c:pt idx="175">
                  <c:v>360197.14</c:v>
                </c:pt>
                <c:pt idx="176">
                  <c:v>360197.14</c:v>
                </c:pt>
                <c:pt idx="177">
                  <c:v>354806.36</c:v>
                </c:pt>
                <c:pt idx="178">
                  <c:v>354806.36</c:v>
                </c:pt>
                <c:pt idx="179">
                  <c:v>354806.36</c:v>
                </c:pt>
                <c:pt idx="180">
                  <c:v>354806.36</c:v>
                </c:pt>
                <c:pt idx="181">
                  <c:v>317290.98</c:v>
                </c:pt>
                <c:pt idx="182">
                  <c:v>365898.08</c:v>
                </c:pt>
                <c:pt idx="183">
                  <c:v>365935.11</c:v>
                </c:pt>
                <c:pt idx="184">
                  <c:v>365935.11</c:v>
                </c:pt>
                <c:pt idx="185">
                  <c:v>357664.5</c:v>
                </c:pt>
                <c:pt idx="186">
                  <c:v>357664.5</c:v>
                </c:pt>
                <c:pt idx="187">
                  <c:v>357664.5</c:v>
                </c:pt>
                <c:pt idx="188">
                  <c:v>364108.39</c:v>
                </c:pt>
                <c:pt idx="189">
                  <c:v>372557.83</c:v>
                </c:pt>
                <c:pt idx="190">
                  <c:v>372557.83</c:v>
                </c:pt>
                <c:pt idx="191">
                  <c:v>393073.43</c:v>
                </c:pt>
                <c:pt idx="192">
                  <c:v>354832.22</c:v>
                </c:pt>
                <c:pt idx="193">
                  <c:v>354832.22</c:v>
                </c:pt>
                <c:pt idx="194">
                  <c:v>354832.22</c:v>
                </c:pt>
                <c:pt idx="195">
                  <c:v>343420.25</c:v>
                </c:pt>
                <c:pt idx="196">
                  <c:v>343420.25</c:v>
                </c:pt>
                <c:pt idx="197">
                  <c:v>343582.25</c:v>
                </c:pt>
                <c:pt idx="198">
                  <c:v>343582.25</c:v>
                </c:pt>
                <c:pt idx="199">
                  <c:v>343606.26</c:v>
                </c:pt>
                <c:pt idx="200">
                  <c:v>329221.56</c:v>
                </c:pt>
                <c:pt idx="201">
                  <c:v>329221.56</c:v>
                </c:pt>
                <c:pt idx="202">
                  <c:v>288818.46999999997</c:v>
                </c:pt>
                <c:pt idx="203">
                  <c:v>288818.46999999997</c:v>
                </c:pt>
                <c:pt idx="204">
                  <c:v>295077.74</c:v>
                </c:pt>
                <c:pt idx="205">
                  <c:v>313755.08</c:v>
                </c:pt>
                <c:pt idx="206">
                  <c:v>314129.08</c:v>
                </c:pt>
                <c:pt idx="207">
                  <c:v>314618.64</c:v>
                </c:pt>
                <c:pt idx="208">
                  <c:v>312798.90999999997</c:v>
                </c:pt>
                <c:pt idx="209">
                  <c:v>312798.90999999997</c:v>
                </c:pt>
                <c:pt idx="210">
                  <c:v>312852.06</c:v>
                </c:pt>
                <c:pt idx="211">
                  <c:v>276164.93</c:v>
                </c:pt>
                <c:pt idx="212">
                  <c:v>272175.64</c:v>
                </c:pt>
                <c:pt idx="213">
                  <c:v>272175.64</c:v>
                </c:pt>
                <c:pt idx="214">
                  <c:v>272474.64</c:v>
                </c:pt>
                <c:pt idx="215">
                  <c:v>272174.19</c:v>
                </c:pt>
                <c:pt idx="216">
                  <c:v>272174.19</c:v>
                </c:pt>
                <c:pt idx="217">
                  <c:v>272174.19</c:v>
                </c:pt>
                <c:pt idx="218">
                  <c:v>260821.81</c:v>
                </c:pt>
                <c:pt idx="219">
                  <c:v>260821.81</c:v>
                </c:pt>
                <c:pt idx="220">
                  <c:v>260821.81</c:v>
                </c:pt>
                <c:pt idx="221">
                  <c:v>224274.32</c:v>
                </c:pt>
                <c:pt idx="222">
                  <c:v>239871.56</c:v>
                </c:pt>
                <c:pt idx="223">
                  <c:v>260426.56</c:v>
                </c:pt>
                <c:pt idx="224">
                  <c:v>260426.56</c:v>
                </c:pt>
                <c:pt idx="225">
                  <c:v>260450.57</c:v>
                </c:pt>
                <c:pt idx="226">
                  <c:v>260178.68</c:v>
                </c:pt>
                <c:pt idx="227">
                  <c:v>260178.68</c:v>
                </c:pt>
                <c:pt idx="228">
                  <c:v>260178.68</c:v>
                </c:pt>
                <c:pt idx="229">
                  <c:v>298441.25</c:v>
                </c:pt>
                <c:pt idx="230">
                  <c:v>302391.25</c:v>
                </c:pt>
                <c:pt idx="231">
                  <c:v>261860.06</c:v>
                </c:pt>
                <c:pt idx="232">
                  <c:v>261860.06</c:v>
                </c:pt>
                <c:pt idx="233">
                  <c:v>336740.96</c:v>
                </c:pt>
                <c:pt idx="234">
                  <c:v>336740.96</c:v>
                </c:pt>
                <c:pt idx="235">
                  <c:v>396383.57</c:v>
                </c:pt>
                <c:pt idx="236">
                  <c:v>396383.57</c:v>
                </c:pt>
                <c:pt idx="237">
                  <c:v>396383.57</c:v>
                </c:pt>
                <c:pt idx="238">
                  <c:v>406646.33</c:v>
                </c:pt>
                <c:pt idx="239">
                  <c:v>406646.33</c:v>
                </c:pt>
                <c:pt idx="240">
                  <c:v>402705.53</c:v>
                </c:pt>
                <c:pt idx="241">
                  <c:v>402705.53</c:v>
                </c:pt>
                <c:pt idx="242">
                  <c:v>367227.88</c:v>
                </c:pt>
                <c:pt idx="243">
                  <c:v>367227.88</c:v>
                </c:pt>
                <c:pt idx="244">
                  <c:v>361816.56</c:v>
                </c:pt>
                <c:pt idx="245">
                  <c:v>363428.01</c:v>
                </c:pt>
                <c:pt idx="246">
                  <c:v>363428.01</c:v>
                </c:pt>
                <c:pt idx="247">
                  <c:v>388311.01</c:v>
                </c:pt>
                <c:pt idx="248">
                  <c:v>388648.09</c:v>
                </c:pt>
                <c:pt idx="249">
                  <c:v>388648.09</c:v>
                </c:pt>
                <c:pt idx="250">
                  <c:v>388648.09</c:v>
                </c:pt>
                <c:pt idx="251">
                  <c:v>402388.44</c:v>
                </c:pt>
                <c:pt idx="252">
                  <c:v>364870.61</c:v>
                </c:pt>
                <c:pt idx="253">
                  <c:v>364870.61</c:v>
                </c:pt>
                <c:pt idx="254">
                  <c:v>364270.61</c:v>
                </c:pt>
                <c:pt idx="255">
                  <c:v>364270.61</c:v>
                </c:pt>
                <c:pt idx="256">
                  <c:v>364511.61</c:v>
                </c:pt>
                <c:pt idx="257">
                  <c:v>366287.78</c:v>
                </c:pt>
                <c:pt idx="258">
                  <c:v>406505.93</c:v>
                </c:pt>
                <c:pt idx="259">
                  <c:v>406602.93</c:v>
                </c:pt>
                <c:pt idx="260">
                  <c:v>406700.45</c:v>
                </c:pt>
                <c:pt idx="261">
                  <c:v>406650.45</c:v>
                </c:pt>
                <c:pt idx="262">
                  <c:v>372842.39</c:v>
                </c:pt>
                <c:pt idx="263">
                  <c:v>370078.36</c:v>
                </c:pt>
                <c:pt idx="264">
                  <c:v>368257.32</c:v>
                </c:pt>
                <c:pt idx="265">
                  <c:v>369146.3</c:v>
                </c:pt>
                <c:pt idx="266">
                  <c:v>369146.3</c:v>
                </c:pt>
                <c:pt idx="267">
                  <c:v>369146.3</c:v>
                </c:pt>
                <c:pt idx="268">
                  <c:v>369146.3</c:v>
                </c:pt>
                <c:pt idx="269">
                  <c:v>369318.3</c:v>
                </c:pt>
                <c:pt idx="270">
                  <c:v>369357.16</c:v>
                </c:pt>
                <c:pt idx="271">
                  <c:v>369357.16</c:v>
                </c:pt>
                <c:pt idx="272">
                  <c:v>328912.42</c:v>
                </c:pt>
                <c:pt idx="273">
                  <c:v>324854.01</c:v>
                </c:pt>
                <c:pt idx="274">
                  <c:v>373026.22</c:v>
                </c:pt>
                <c:pt idx="275">
                  <c:v>372715.39</c:v>
                </c:pt>
                <c:pt idx="276">
                  <c:v>352413.78</c:v>
                </c:pt>
                <c:pt idx="277">
                  <c:v>324543.71999999997</c:v>
                </c:pt>
                <c:pt idx="278">
                  <c:v>324510.76</c:v>
                </c:pt>
                <c:pt idx="279">
                  <c:v>290902.11</c:v>
                </c:pt>
                <c:pt idx="280">
                  <c:v>290902.11</c:v>
                </c:pt>
                <c:pt idx="281">
                  <c:v>309578.59999999998</c:v>
                </c:pt>
                <c:pt idx="282">
                  <c:v>292963.95</c:v>
                </c:pt>
                <c:pt idx="283">
                  <c:v>345714.5</c:v>
                </c:pt>
                <c:pt idx="284">
                  <c:v>344030.58</c:v>
                </c:pt>
                <c:pt idx="285">
                  <c:v>387503.42</c:v>
                </c:pt>
                <c:pt idx="286">
                  <c:v>387503.42</c:v>
                </c:pt>
                <c:pt idx="287">
                  <c:v>387503.42</c:v>
                </c:pt>
                <c:pt idx="288">
                  <c:v>387503.42</c:v>
                </c:pt>
                <c:pt idx="289">
                  <c:v>411517.59</c:v>
                </c:pt>
                <c:pt idx="290">
                  <c:v>388476.71</c:v>
                </c:pt>
                <c:pt idx="291">
                  <c:v>388476.71</c:v>
                </c:pt>
                <c:pt idx="292">
                  <c:v>350398.25</c:v>
                </c:pt>
                <c:pt idx="293">
                  <c:v>350398.25</c:v>
                </c:pt>
                <c:pt idx="294">
                  <c:v>329726.17</c:v>
                </c:pt>
                <c:pt idx="295">
                  <c:v>329566.19</c:v>
                </c:pt>
                <c:pt idx="296">
                  <c:v>329566.19</c:v>
                </c:pt>
                <c:pt idx="297">
                  <c:v>329566.19</c:v>
                </c:pt>
                <c:pt idx="298">
                  <c:v>330827.17</c:v>
                </c:pt>
                <c:pt idx="299">
                  <c:v>331382.17</c:v>
                </c:pt>
                <c:pt idx="300">
                  <c:v>331382.17</c:v>
                </c:pt>
                <c:pt idx="301">
                  <c:v>331382.17</c:v>
                </c:pt>
                <c:pt idx="302">
                  <c:v>293888.99</c:v>
                </c:pt>
                <c:pt idx="303">
                  <c:v>321342.32</c:v>
                </c:pt>
                <c:pt idx="304">
                  <c:v>328875.55</c:v>
                </c:pt>
                <c:pt idx="305">
                  <c:v>311978.17</c:v>
                </c:pt>
                <c:pt idx="306">
                  <c:v>311978.17</c:v>
                </c:pt>
                <c:pt idx="307">
                  <c:v>323791.65000000002</c:v>
                </c:pt>
                <c:pt idx="308">
                  <c:v>323791.65000000002</c:v>
                </c:pt>
                <c:pt idx="309">
                  <c:v>304395.95</c:v>
                </c:pt>
                <c:pt idx="310">
                  <c:v>304395.95</c:v>
                </c:pt>
                <c:pt idx="311">
                  <c:v>304395.95</c:v>
                </c:pt>
                <c:pt idx="312">
                  <c:v>354177.58</c:v>
                </c:pt>
                <c:pt idx="313">
                  <c:v>354177.58</c:v>
                </c:pt>
                <c:pt idx="314">
                  <c:v>272443</c:v>
                </c:pt>
                <c:pt idx="315">
                  <c:v>271968.02</c:v>
                </c:pt>
                <c:pt idx="316">
                  <c:v>287143.02</c:v>
                </c:pt>
                <c:pt idx="317">
                  <c:v>287143.02</c:v>
                </c:pt>
                <c:pt idx="318">
                  <c:v>171561.3</c:v>
                </c:pt>
                <c:pt idx="319">
                  <c:v>171561.3</c:v>
                </c:pt>
                <c:pt idx="320">
                  <c:v>194069.16</c:v>
                </c:pt>
                <c:pt idx="321">
                  <c:v>184965.34</c:v>
                </c:pt>
                <c:pt idx="322">
                  <c:v>140741.59</c:v>
                </c:pt>
                <c:pt idx="323">
                  <c:v>140708.63</c:v>
                </c:pt>
                <c:pt idx="324">
                  <c:v>281239.25</c:v>
                </c:pt>
                <c:pt idx="325">
                  <c:v>283716.02</c:v>
                </c:pt>
                <c:pt idx="326">
                  <c:v>283716.02</c:v>
                </c:pt>
                <c:pt idx="327">
                  <c:v>300477.89</c:v>
                </c:pt>
                <c:pt idx="328">
                  <c:v>300477.89</c:v>
                </c:pt>
                <c:pt idx="329">
                  <c:v>301029.09000000003</c:v>
                </c:pt>
                <c:pt idx="330">
                  <c:v>296794.44</c:v>
                </c:pt>
                <c:pt idx="331">
                  <c:v>296989.44</c:v>
                </c:pt>
                <c:pt idx="332">
                  <c:v>274755.46000000002</c:v>
                </c:pt>
                <c:pt idx="333">
                  <c:v>274755.46000000002</c:v>
                </c:pt>
                <c:pt idx="334">
                  <c:v>273817.88</c:v>
                </c:pt>
                <c:pt idx="335">
                  <c:v>273375.03999999998</c:v>
                </c:pt>
                <c:pt idx="336">
                  <c:v>306978.36</c:v>
                </c:pt>
                <c:pt idx="337">
                  <c:v>306978.36</c:v>
                </c:pt>
                <c:pt idx="338">
                  <c:v>266613.8</c:v>
                </c:pt>
                <c:pt idx="339">
                  <c:v>271958.33</c:v>
                </c:pt>
                <c:pt idx="340">
                  <c:v>271799.48</c:v>
                </c:pt>
                <c:pt idx="341">
                  <c:v>271799.48</c:v>
                </c:pt>
                <c:pt idx="342">
                  <c:v>231449.55</c:v>
                </c:pt>
                <c:pt idx="343">
                  <c:v>255926.54</c:v>
                </c:pt>
                <c:pt idx="344">
                  <c:v>256457.54</c:v>
                </c:pt>
                <c:pt idx="345">
                  <c:v>255982.56</c:v>
                </c:pt>
                <c:pt idx="346">
                  <c:v>255982.56</c:v>
                </c:pt>
                <c:pt idx="347">
                  <c:v>255982.56</c:v>
                </c:pt>
                <c:pt idx="348">
                  <c:v>237408.49</c:v>
                </c:pt>
                <c:pt idx="349">
                  <c:v>237595.16</c:v>
                </c:pt>
                <c:pt idx="350">
                  <c:v>237595.16</c:v>
                </c:pt>
                <c:pt idx="351">
                  <c:v>237595.16</c:v>
                </c:pt>
                <c:pt idx="352">
                  <c:v>198176.08</c:v>
                </c:pt>
                <c:pt idx="353">
                  <c:v>206509.41</c:v>
                </c:pt>
                <c:pt idx="354">
                  <c:v>196309.39</c:v>
                </c:pt>
                <c:pt idx="355">
                  <c:v>217592.12</c:v>
                </c:pt>
                <c:pt idx="356">
                  <c:v>217592.12</c:v>
                </c:pt>
                <c:pt idx="357">
                  <c:v>217592.12</c:v>
                </c:pt>
                <c:pt idx="358">
                  <c:v>217592.12</c:v>
                </c:pt>
                <c:pt idx="359">
                  <c:v>221731.08</c:v>
                </c:pt>
                <c:pt idx="360">
                  <c:v>217798.74</c:v>
                </c:pt>
                <c:pt idx="361">
                  <c:v>176485.8</c:v>
                </c:pt>
                <c:pt idx="362">
                  <c:v>176485.8</c:v>
                </c:pt>
                <c:pt idx="363">
                  <c:v>176485.8</c:v>
                </c:pt>
                <c:pt idx="364">
                  <c:v>317719.40999999997</c:v>
                </c:pt>
                <c:pt idx="365">
                  <c:v>317244.43</c:v>
                </c:pt>
                <c:pt idx="366">
                  <c:v>317244.43</c:v>
                </c:pt>
                <c:pt idx="367">
                  <c:v>317244.43</c:v>
                </c:pt>
                <c:pt idx="368">
                  <c:v>317244.43</c:v>
                </c:pt>
                <c:pt idx="369">
                  <c:v>317244.43</c:v>
                </c:pt>
                <c:pt idx="370">
                  <c:v>311632.77</c:v>
                </c:pt>
                <c:pt idx="371">
                  <c:v>311632.77</c:v>
                </c:pt>
                <c:pt idx="372">
                  <c:v>272576.3</c:v>
                </c:pt>
                <c:pt idx="373">
                  <c:v>272576.3</c:v>
                </c:pt>
                <c:pt idx="374">
                  <c:v>262789.33</c:v>
                </c:pt>
                <c:pt idx="375">
                  <c:v>262314.34999999998</c:v>
                </c:pt>
                <c:pt idx="376">
                  <c:v>262577.34999999998</c:v>
                </c:pt>
                <c:pt idx="377">
                  <c:v>262577.34999999998</c:v>
                </c:pt>
                <c:pt idx="378">
                  <c:v>359115.13</c:v>
                </c:pt>
                <c:pt idx="379">
                  <c:v>359115.13</c:v>
                </c:pt>
                <c:pt idx="380">
                  <c:v>359115.13</c:v>
                </c:pt>
                <c:pt idx="381">
                  <c:v>317912.34000000003</c:v>
                </c:pt>
                <c:pt idx="382">
                  <c:v>318373.34000000003</c:v>
                </c:pt>
                <c:pt idx="383">
                  <c:v>319350.08</c:v>
                </c:pt>
                <c:pt idx="384">
                  <c:v>329131.38</c:v>
                </c:pt>
                <c:pt idx="385">
                  <c:v>329131.38</c:v>
                </c:pt>
                <c:pt idx="386">
                  <c:v>329131.38</c:v>
                </c:pt>
                <c:pt idx="387">
                  <c:v>329131.38</c:v>
                </c:pt>
                <c:pt idx="388">
                  <c:v>358518.98</c:v>
                </c:pt>
                <c:pt idx="389">
                  <c:v>388026.98</c:v>
                </c:pt>
                <c:pt idx="390">
                  <c:v>388026.98</c:v>
                </c:pt>
                <c:pt idx="391">
                  <c:v>388026.98</c:v>
                </c:pt>
                <c:pt idx="392">
                  <c:v>347383.35</c:v>
                </c:pt>
                <c:pt idx="393">
                  <c:v>347507.35</c:v>
                </c:pt>
                <c:pt idx="394">
                  <c:v>347648.35</c:v>
                </c:pt>
                <c:pt idx="395">
                  <c:v>347173.37</c:v>
                </c:pt>
                <c:pt idx="396">
                  <c:v>347173.37</c:v>
                </c:pt>
                <c:pt idx="397">
                  <c:v>347422.37</c:v>
                </c:pt>
                <c:pt idx="398">
                  <c:v>347422.37</c:v>
                </c:pt>
                <c:pt idx="399">
                  <c:v>353674.1</c:v>
                </c:pt>
                <c:pt idx="400">
                  <c:v>355815.56</c:v>
                </c:pt>
                <c:pt idx="401">
                  <c:v>319836.78000000003</c:v>
                </c:pt>
                <c:pt idx="402">
                  <c:v>296807.06</c:v>
                </c:pt>
                <c:pt idx="403">
                  <c:v>296807.06</c:v>
                </c:pt>
                <c:pt idx="404">
                  <c:v>291257.96000000002</c:v>
                </c:pt>
                <c:pt idx="405">
                  <c:v>290782.98</c:v>
                </c:pt>
                <c:pt idx="406">
                  <c:v>290782.98</c:v>
                </c:pt>
                <c:pt idx="407">
                  <c:v>290754.14</c:v>
                </c:pt>
                <c:pt idx="408">
                  <c:v>290450.96000000002</c:v>
                </c:pt>
                <c:pt idx="409">
                  <c:v>282840.40000000002</c:v>
                </c:pt>
                <c:pt idx="410">
                  <c:v>318945.52</c:v>
                </c:pt>
                <c:pt idx="411">
                  <c:v>318945.52</c:v>
                </c:pt>
                <c:pt idx="412">
                  <c:v>278401.03999999998</c:v>
                </c:pt>
                <c:pt idx="413">
                  <c:v>277801.03999999998</c:v>
                </c:pt>
                <c:pt idx="414">
                  <c:v>277801.03999999998</c:v>
                </c:pt>
                <c:pt idx="415">
                  <c:v>277326.06</c:v>
                </c:pt>
                <c:pt idx="416">
                  <c:v>277326.06</c:v>
                </c:pt>
                <c:pt idx="417">
                  <c:v>254730.8</c:v>
                </c:pt>
                <c:pt idx="418">
                  <c:v>254730.8</c:v>
                </c:pt>
                <c:pt idx="419">
                  <c:v>277867.62</c:v>
                </c:pt>
                <c:pt idx="420">
                  <c:v>278679.81</c:v>
                </c:pt>
                <c:pt idx="421">
                  <c:v>278711.32</c:v>
                </c:pt>
                <c:pt idx="422">
                  <c:v>238555.14</c:v>
                </c:pt>
                <c:pt idx="423">
                  <c:v>238555.14</c:v>
                </c:pt>
                <c:pt idx="424">
                  <c:v>238555.14</c:v>
                </c:pt>
                <c:pt idx="425">
                  <c:v>227371.3</c:v>
                </c:pt>
                <c:pt idx="426">
                  <c:v>227907.61</c:v>
                </c:pt>
                <c:pt idx="427">
                  <c:v>227907.61</c:v>
                </c:pt>
                <c:pt idx="428">
                  <c:v>250036.67</c:v>
                </c:pt>
                <c:pt idx="429">
                  <c:v>255964.71</c:v>
                </c:pt>
                <c:pt idx="430">
                  <c:v>315493.2</c:v>
                </c:pt>
                <c:pt idx="431">
                  <c:v>315493.2</c:v>
                </c:pt>
                <c:pt idx="432">
                  <c:v>332334.94</c:v>
                </c:pt>
                <c:pt idx="433">
                  <c:v>332334.94</c:v>
                </c:pt>
                <c:pt idx="434">
                  <c:v>370869.56</c:v>
                </c:pt>
                <c:pt idx="435">
                  <c:v>370394.58</c:v>
                </c:pt>
                <c:pt idx="436">
                  <c:v>370394.58</c:v>
                </c:pt>
                <c:pt idx="437">
                  <c:v>346842.59</c:v>
                </c:pt>
                <c:pt idx="438">
                  <c:v>346842.59</c:v>
                </c:pt>
                <c:pt idx="439">
                  <c:v>346842.59</c:v>
                </c:pt>
                <c:pt idx="440">
                  <c:v>347076.59</c:v>
                </c:pt>
                <c:pt idx="441">
                  <c:v>308665.48</c:v>
                </c:pt>
                <c:pt idx="442">
                  <c:v>308665.48</c:v>
                </c:pt>
                <c:pt idx="443">
                  <c:v>320782.46999999997</c:v>
                </c:pt>
                <c:pt idx="444">
                  <c:v>317911.17</c:v>
                </c:pt>
                <c:pt idx="445">
                  <c:v>317436.19</c:v>
                </c:pt>
                <c:pt idx="446">
                  <c:v>317436.19</c:v>
                </c:pt>
                <c:pt idx="447">
                  <c:v>428386.24</c:v>
                </c:pt>
                <c:pt idx="448">
                  <c:v>428386.24</c:v>
                </c:pt>
                <c:pt idx="449">
                  <c:v>425851.86</c:v>
                </c:pt>
                <c:pt idx="450">
                  <c:v>453679.91</c:v>
                </c:pt>
                <c:pt idx="451">
                  <c:v>412431.05</c:v>
                </c:pt>
                <c:pt idx="452">
                  <c:v>412402.21</c:v>
                </c:pt>
                <c:pt idx="453">
                  <c:v>417372.63</c:v>
                </c:pt>
                <c:pt idx="454">
                  <c:v>415449.23</c:v>
                </c:pt>
                <c:pt idx="455">
                  <c:v>435708</c:v>
                </c:pt>
                <c:pt idx="456">
                  <c:v>435708</c:v>
                </c:pt>
                <c:pt idx="457">
                  <c:v>435708</c:v>
                </c:pt>
                <c:pt idx="458">
                  <c:v>435708</c:v>
                </c:pt>
                <c:pt idx="459">
                  <c:v>435708</c:v>
                </c:pt>
                <c:pt idx="460">
                  <c:v>436040</c:v>
                </c:pt>
                <c:pt idx="461">
                  <c:v>427559.36</c:v>
                </c:pt>
                <c:pt idx="462">
                  <c:v>427559.36</c:v>
                </c:pt>
                <c:pt idx="463">
                  <c:v>427559.36</c:v>
                </c:pt>
                <c:pt idx="464">
                  <c:v>388161.54</c:v>
                </c:pt>
                <c:pt idx="465">
                  <c:v>388161.54</c:v>
                </c:pt>
                <c:pt idx="466">
                  <c:v>381514.53</c:v>
                </c:pt>
                <c:pt idx="467">
                  <c:v>389507.01</c:v>
                </c:pt>
                <c:pt idx="468">
                  <c:v>389507.01</c:v>
                </c:pt>
                <c:pt idx="469">
                  <c:v>389507.01</c:v>
                </c:pt>
                <c:pt idx="470">
                  <c:v>414035.71</c:v>
                </c:pt>
                <c:pt idx="471">
                  <c:v>413985.71</c:v>
                </c:pt>
                <c:pt idx="472">
                  <c:v>413985.71</c:v>
                </c:pt>
                <c:pt idx="473">
                  <c:v>411319.14</c:v>
                </c:pt>
                <c:pt idx="474">
                  <c:v>411160.29</c:v>
                </c:pt>
                <c:pt idx="475">
                  <c:v>411160.29</c:v>
                </c:pt>
                <c:pt idx="476">
                  <c:v>411160.29</c:v>
                </c:pt>
                <c:pt idx="477">
                  <c:v>372476.51</c:v>
                </c:pt>
                <c:pt idx="478">
                  <c:v>376660.01</c:v>
                </c:pt>
                <c:pt idx="479">
                  <c:v>397613.66</c:v>
                </c:pt>
                <c:pt idx="480">
                  <c:v>387878.55</c:v>
                </c:pt>
                <c:pt idx="481">
                  <c:v>387403.57</c:v>
                </c:pt>
                <c:pt idx="482">
                  <c:v>387403.57</c:v>
                </c:pt>
                <c:pt idx="483">
                  <c:v>387403.57</c:v>
                </c:pt>
                <c:pt idx="484">
                  <c:v>417270.82</c:v>
                </c:pt>
                <c:pt idx="485">
                  <c:v>417270.82</c:v>
                </c:pt>
                <c:pt idx="486">
                  <c:v>417270.82</c:v>
                </c:pt>
                <c:pt idx="487">
                  <c:v>411865.95</c:v>
                </c:pt>
                <c:pt idx="488">
                  <c:v>411865.95</c:v>
                </c:pt>
                <c:pt idx="489">
                  <c:v>411865.95</c:v>
                </c:pt>
                <c:pt idx="490">
                  <c:v>411865.95</c:v>
                </c:pt>
                <c:pt idx="491">
                  <c:v>368529.24</c:v>
                </c:pt>
                <c:pt idx="492">
                  <c:v>369146.24</c:v>
                </c:pt>
                <c:pt idx="493">
                  <c:v>369146.24</c:v>
                </c:pt>
                <c:pt idx="494">
                  <c:v>423875.79</c:v>
                </c:pt>
                <c:pt idx="495">
                  <c:v>423875.79</c:v>
                </c:pt>
                <c:pt idx="496">
                  <c:v>423400.81</c:v>
                </c:pt>
                <c:pt idx="497">
                  <c:v>423210.99</c:v>
                </c:pt>
                <c:pt idx="498">
                  <c:v>473210.99</c:v>
                </c:pt>
                <c:pt idx="499">
                  <c:v>470084.64</c:v>
                </c:pt>
                <c:pt idx="500">
                  <c:v>470084.64</c:v>
                </c:pt>
                <c:pt idx="501">
                  <c:v>424767.46</c:v>
                </c:pt>
                <c:pt idx="502">
                  <c:v>424767.46</c:v>
                </c:pt>
                <c:pt idx="503">
                  <c:v>424767.46</c:v>
                </c:pt>
                <c:pt idx="504">
                  <c:v>424767.46</c:v>
                </c:pt>
                <c:pt idx="505">
                  <c:v>442650.11</c:v>
                </c:pt>
                <c:pt idx="506">
                  <c:v>442518.27</c:v>
                </c:pt>
                <c:pt idx="507">
                  <c:v>442518.27</c:v>
                </c:pt>
                <c:pt idx="508">
                  <c:v>442518.27</c:v>
                </c:pt>
                <c:pt idx="509">
                  <c:v>442518.27</c:v>
                </c:pt>
                <c:pt idx="510">
                  <c:v>420942.38</c:v>
                </c:pt>
                <c:pt idx="511">
                  <c:v>379216.39</c:v>
                </c:pt>
                <c:pt idx="512">
                  <c:v>379216.39</c:v>
                </c:pt>
                <c:pt idx="513">
                  <c:v>379216.39</c:v>
                </c:pt>
                <c:pt idx="514">
                  <c:v>379216.39</c:v>
                </c:pt>
                <c:pt idx="515">
                  <c:v>383318.34</c:v>
                </c:pt>
                <c:pt idx="516">
                  <c:v>383318.34</c:v>
                </c:pt>
                <c:pt idx="517">
                  <c:v>383318.34</c:v>
                </c:pt>
                <c:pt idx="518">
                  <c:v>378306.47</c:v>
                </c:pt>
                <c:pt idx="519">
                  <c:v>385097.98</c:v>
                </c:pt>
                <c:pt idx="520">
                  <c:v>385399.2</c:v>
                </c:pt>
                <c:pt idx="521">
                  <c:v>385399.2</c:v>
                </c:pt>
                <c:pt idx="522">
                  <c:v>343338.22</c:v>
                </c:pt>
                <c:pt idx="523">
                  <c:v>339355.16</c:v>
                </c:pt>
                <c:pt idx="524">
                  <c:v>346945.63</c:v>
                </c:pt>
                <c:pt idx="525">
                  <c:v>346470.13</c:v>
                </c:pt>
                <c:pt idx="526">
                  <c:v>346470.13</c:v>
                </c:pt>
                <c:pt idx="527">
                  <c:v>346470.13</c:v>
                </c:pt>
                <c:pt idx="528">
                  <c:v>432503.36</c:v>
                </c:pt>
                <c:pt idx="529">
                  <c:v>432600.88</c:v>
                </c:pt>
                <c:pt idx="530">
                  <c:v>432600.88</c:v>
                </c:pt>
                <c:pt idx="531">
                  <c:v>432600.88</c:v>
                </c:pt>
                <c:pt idx="532">
                  <c:v>432600.88</c:v>
                </c:pt>
                <c:pt idx="533">
                  <c:v>432600.88</c:v>
                </c:pt>
                <c:pt idx="534">
                  <c:v>432600.88</c:v>
                </c:pt>
                <c:pt idx="535">
                  <c:v>432600.88</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Data!$F$574:$F$609</c:f>
              <c:numCache>
                <c:formatCode>mmm\-yy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Data!$G$574:$G$609</c:f>
              <c:numCache>
                <c:formatCode>"$"#,##0_);[Red]\("$"#,##0\)</c:formatCode>
                <c:ptCount val="36"/>
                <c:pt idx="0">
                  <c:v>326352.59000000003</c:v>
                </c:pt>
                <c:pt idx="1">
                  <c:v>247842.14</c:v>
                </c:pt>
                <c:pt idx="2">
                  <c:v>256001.05</c:v>
                </c:pt>
                <c:pt idx="3">
                  <c:v>319553.11</c:v>
                </c:pt>
                <c:pt idx="4">
                  <c:v>373887.89</c:v>
                </c:pt>
                <c:pt idx="5">
                  <c:v>387259.9</c:v>
                </c:pt>
                <c:pt idx="6">
                  <c:v>393896.48</c:v>
                </c:pt>
                <c:pt idx="7">
                  <c:v>318622.86</c:v>
                </c:pt>
                <c:pt idx="8">
                  <c:v>310792.11</c:v>
                </c:pt>
                <c:pt idx="9">
                  <c:v>337545.3</c:v>
                </c:pt>
                <c:pt idx="10">
                  <c:v>407385.79</c:v>
                </c:pt>
                <c:pt idx="11">
                  <c:v>325944.61</c:v>
                </c:pt>
                <c:pt idx="12">
                  <c:v>416865.56</c:v>
                </c:pt>
                <c:pt idx="13">
                  <c:v>403762.36</c:v>
                </c:pt>
                <c:pt idx="14">
                  <c:v>218522.99</c:v>
                </c:pt>
                <c:pt idx="15">
                  <c:v>281784.46000000002</c:v>
                </c:pt>
                <c:pt idx="16">
                  <c:v>231705.38</c:v>
                </c:pt>
                <c:pt idx="17">
                  <c:v>254786.13</c:v>
                </c:pt>
                <c:pt idx="18">
                  <c:v>323671.89</c:v>
                </c:pt>
                <c:pt idx="19">
                  <c:v>334383.06</c:v>
                </c:pt>
                <c:pt idx="20">
                  <c:v>325598.5</c:v>
                </c:pt>
                <c:pt idx="21">
                  <c:v>397934.47</c:v>
                </c:pt>
                <c:pt idx="22">
                  <c:v>304557.78000000003</c:v>
                </c:pt>
                <c:pt idx="23">
                  <c:v>339829.81</c:v>
                </c:pt>
                <c:pt idx="24">
                  <c:v>483670.84</c:v>
                </c:pt>
                <c:pt idx="25">
                  <c:v>403181.63</c:v>
                </c:pt>
                <c:pt idx="26">
                  <c:v>315833.28999999998</c:v>
                </c:pt>
                <c:pt idx="27">
                  <c:v>327170</c:v>
                </c:pt>
                <c:pt idx="28">
                  <c:v>246847.16</c:v>
                </c:pt>
                <c:pt idx="29">
                  <c:v>274391.32</c:v>
                </c:pt>
                <c:pt idx="30">
                  <c:v>311473.07</c:v>
                </c:pt>
                <c:pt idx="31">
                  <c:v>246923.1</c:v>
                </c:pt>
                <c:pt idx="32">
                  <c:v>214783.77</c:v>
                </c:pt>
                <c:pt idx="33">
                  <c:v>264786.40999999997</c:v>
                </c:pt>
                <c:pt idx="34">
                  <c:v>290701.14</c:v>
                </c:pt>
                <c:pt idx="35">
                  <c:v>360388.09</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186187470367861"/>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Data!$J$526:$J$606</c:f>
              <c:numCache>
                <c:formatCode>mmm\-yy</c:formatCode>
                <c:ptCount val="81"/>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numCache>
            </c:numRef>
          </c:xVal>
          <c:yVal>
            <c:numRef>
              <c:f>Data!$K$526:$K$606</c:f>
              <c:numCache>
                <c:formatCode>_("$"* #,##0_);_("$"* \(#,##0\);_("$"* "-"_);_(@_)</c:formatCode>
                <c:ptCount val="81"/>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48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inorUnit val="50"/>
      </c:valAx>
      <c:valAx>
        <c:axId val="416924224"/>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'December''22 AR Aging '!$B$210</c:f>
              <c:strCache>
                <c:ptCount val="1"/>
                <c:pt idx="0">
                  <c:v>Current Month</c:v>
                </c:pt>
              </c:strCache>
            </c:strRef>
          </c:tx>
          <c:spPr>
            <a:solidFill>
              <a:srgbClr val="0070C0"/>
            </a:solidFill>
          </c:spPr>
          <c:invertIfNegative val="0"/>
          <c:val>
            <c:numRef>
              <c:f>'December''22 AR Aging '!$C$210:$N$210</c:f>
            </c:numRef>
          </c:val>
          <c:extLst>
            <c:ext xmlns:c15="http://schemas.microsoft.com/office/drawing/2012/chart" uri="{02D57815-91ED-43cb-92C2-25804820EDAC}">
              <c15:filteredCategoryTitle>
                <c15:cat>
                  <c:multiLvlStrRef>
                    <c:extLst>
                      <c:ext uri="{02D57815-91ED-43cb-92C2-25804820EDAC}">
                        <c15:formulaRef>
                          <c15:sqref>'December''22 AR Aging '!$C$209:$N$209</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'December''22 AR Aging '!$B$211</c:f>
              <c:strCache>
                <c:ptCount val="1"/>
                <c:pt idx="0">
                  <c:v>Previous Month</c:v>
                </c:pt>
              </c:strCache>
            </c:strRef>
          </c:tx>
          <c:spPr>
            <a:solidFill>
              <a:schemeClr val="accent6">
                <a:lumMod val="40000"/>
                <a:lumOff val="60000"/>
              </a:schemeClr>
            </a:solidFill>
          </c:spPr>
          <c:invertIfNegative val="0"/>
          <c:val>
            <c:numRef>
              <c:f>'December''22 AR Aging '!$C$211:$N$211</c:f>
            </c:numRef>
          </c:val>
          <c:extLst>
            <c:ext xmlns:c15="http://schemas.microsoft.com/office/drawing/2012/chart" uri="{02D57815-91ED-43cb-92C2-25804820EDAC}">
              <c15:filteredCategoryTitle>
                <c15:cat>
                  <c:multiLvlStrRef>
                    <c:extLst>
                      <c:ext uri="{02D57815-91ED-43cb-92C2-25804820EDAC}">
                        <c15:formulaRef>
                          <c15:sqref>'December''22 AR Aging '!$C$209:$N$209</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'December''22 AR Aging '!$B$212</c:f>
              <c:strCache>
                <c:ptCount val="1"/>
                <c:pt idx="0">
                  <c:v>Three Months Ago</c:v>
                </c:pt>
              </c:strCache>
            </c:strRef>
          </c:tx>
          <c:spPr>
            <a:solidFill>
              <a:schemeClr val="accent3">
                <a:lumMod val="75000"/>
              </a:schemeClr>
            </a:solidFill>
          </c:spPr>
          <c:invertIfNegative val="0"/>
          <c:val>
            <c:numRef>
              <c:f>'December''22 AR Aging '!$C$212:$N$212</c:f>
            </c:numRef>
          </c:val>
          <c:extLst>
            <c:ext xmlns:c15="http://schemas.microsoft.com/office/drawing/2012/chart" uri="{02D57815-91ED-43cb-92C2-25804820EDAC}">
              <c15:filteredCategoryTitle>
                <c15:cat>
                  <c:multiLvlStrRef>
                    <c:extLst>
                      <c:ext uri="{02D57815-91ED-43cb-92C2-25804820EDAC}">
                        <c15:formulaRef>
                          <c15:sqref>'December''22 AR Aging '!$C$209:$N$209</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'December''22 AR Aging '!$B$213</c:f>
              <c:strCache>
                <c:ptCount val="1"/>
                <c:pt idx="0">
                  <c:v>Older than Three Months</c:v>
                </c:pt>
              </c:strCache>
            </c:strRef>
          </c:tx>
          <c:spPr>
            <a:solidFill>
              <a:schemeClr val="accent4">
                <a:lumMod val="40000"/>
                <a:lumOff val="60000"/>
              </a:schemeClr>
            </a:solidFill>
          </c:spPr>
          <c:invertIfNegative val="0"/>
          <c:val>
            <c:numRef>
              <c:f>'December''22 AR Aging '!$C$213:$N$213</c:f>
            </c:numRef>
          </c:val>
          <c:extLst>
            <c:ext xmlns:c15="http://schemas.microsoft.com/office/drawing/2012/chart" uri="{02D57815-91ED-43cb-92C2-25804820EDAC}">
              <c15:filteredCategoryTitle>
                <c15:cat>
                  <c:multiLvlStrRef>
                    <c:extLst>
                      <c:ext uri="{02D57815-91ED-43cb-92C2-25804820EDAC}">
                        <c15:formulaRef>
                          <c15:sqref>'December''22 AR Aging '!$C$209:$N$209</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1381125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203</xdr:row>
      <xdr:rowOff>47625</xdr:rowOff>
    </xdr:from>
    <xdr:to>
      <xdr:col>8</xdr:col>
      <xdr:colOff>523875</xdr:colOff>
      <xdr:row>240</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04%2030%202020%20Updated%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row r="71">
          <cell r="G71"/>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413</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441</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77" t="s">
        <v>49</v>
      </c>
      <c r="H5" s="977"/>
      <c r="I5" s="977"/>
      <c r="J5" s="977"/>
      <c r="K5" s="977"/>
      <c r="L5" s="415" t="s">
        <v>181</v>
      </c>
      <c r="M5" s="412"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97" t="s">
        <v>442</v>
      </c>
      <c r="H7" s="798" t="s">
        <v>443</v>
      </c>
      <c r="I7" s="798" t="s">
        <v>444</v>
      </c>
      <c r="J7" s="798"/>
      <c r="K7" s="799" t="s">
        <v>449</v>
      </c>
      <c r="L7" s="978" t="s">
        <v>417</v>
      </c>
      <c r="M7" s="97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101</v>
      </c>
      <c r="D8" s="420"/>
      <c r="E8" s="420"/>
      <c r="F8" s="73"/>
      <c r="G8" s="326">
        <v>200992</v>
      </c>
      <c r="H8" s="326">
        <v>507048</v>
      </c>
      <c r="I8" s="326">
        <f>G8+H8</f>
        <v>708040</v>
      </c>
      <c r="J8" s="326"/>
      <c r="K8" s="263">
        <v>700893</v>
      </c>
      <c r="L8" s="378">
        <f>I8-K8</f>
        <v>7147</v>
      </c>
      <c r="M8" s="413">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150</v>
      </c>
      <c r="D9" s="420"/>
      <c r="E9" s="420"/>
      <c r="F9" s="73"/>
      <c r="G9" s="322">
        <v>18908</v>
      </c>
      <c r="H9" s="322">
        <v>61000</v>
      </c>
      <c r="I9" s="322">
        <f>G9+H9</f>
        <v>79908</v>
      </c>
      <c r="J9" s="322"/>
      <c r="K9" s="264">
        <v>90000</v>
      </c>
      <c r="L9" s="508">
        <f>I9-K9</f>
        <v>-10092</v>
      </c>
      <c r="M9" s="413">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179</v>
      </c>
      <c r="D10" s="420"/>
      <c r="E10" s="420"/>
      <c r="F10" s="73"/>
      <c r="G10" s="322">
        <v>16159</v>
      </c>
      <c r="H10" s="322">
        <v>25547</v>
      </c>
      <c r="I10" s="322">
        <f>G10+H10</f>
        <v>41706</v>
      </c>
      <c r="J10" s="322"/>
      <c r="K10" s="264">
        <v>50397</v>
      </c>
      <c r="L10" s="508">
        <f>I10-K10</f>
        <v>-8691</v>
      </c>
      <c r="M10" s="413">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102</v>
      </c>
      <c r="D11" s="420"/>
      <c r="E11" s="420"/>
      <c r="F11" s="73"/>
      <c r="G11" s="322"/>
      <c r="H11" s="322"/>
      <c r="I11" s="322">
        <f t="shared" ref="I11:I28" si="1">G11+H11</f>
        <v>0</v>
      </c>
      <c r="J11" s="322"/>
      <c r="K11" s="264"/>
      <c r="L11" s="508"/>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139</v>
      </c>
      <c r="E12" s="420"/>
      <c r="F12" s="73"/>
      <c r="G12" s="322">
        <v>78605</v>
      </c>
      <c r="H12" s="322">
        <f>239968-H10-H13-H14</f>
        <v>121781</v>
      </c>
      <c r="I12" s="322">
        <f t="shared" si="1"/>
        <v>200386</v>
      </c>
      <c r="J12" s="322"/>
      <c r="K12" s="264">
        <v>169789</v>
      </c>
      <c r="L12" s="508">
        <f t="shared" ref="L12:L28" si="2">I12-K12</f>
        <v>30597</v>
      </c>
      <c r="M12" s="413">
        <f t="shared" si="0"/>
        <v>0.18020602041357214</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159</v>
      </c>
      <c r="E13" s="420"/>
      <c r="F13" s="73"/>
      <c r="G13" s="322">
        <v>6000</v>
      </c>
      <c r="H13" s="322">
        <f>1500*8</f>
        <v>12000</v>
      </c>
      <c r="I13" s="322">
        <f t="shared" si="1"/>
        <v>18000</v>
      </c>
      <c r="J13" s="322"/>
      <c r="K13" s="264">
        <v>18000</v>
      </c>
      <c r="L13" s="508">
        <f t="shared" si="2"/>
        <v>0</v>
      </c>
      <c r="M13" s="413">
        <f t="shared" si="0"/>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405</v>
      </c>
      <c r="E14" s="420"/>
      <c r="F14" s="73"/>
      <c r="G14" s="322">
        <v>39088</v>
      </c>
      <c r="H14" s="322">
        <v>80640</v>
      </c>
      <c r="I14" s="322">
        <f t="shared" si="1"/>
        <v>119728</v>
      </c>
      <c r="J14" s="322"/>
      <c r="K14" s="264">
        <v>114072</v>
      </c>
      <c r="L14" s="508">
        <f t="shared" si="2"/>
        <v>5656</v>
      </c>
      <c r="M14" s="413">
        <f t="shared" si="0"/>
        <v>4.9582719685812467E-2</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377</v>
      </c>
      <c r="D15" s="420"/>
      <c r="E15" s="420"/>
      <c r="F15" s="73"/>
      <c r="G15" s="322">
        <v>5511</v>
      </c>
      <c r="H15" s="322">
        <f>17000-G15</f>
        <v>11489</v>
      </c>
      <c r="I15" s="322">
        <f t="shared" si="1"/>
        <v>17000</v>
      </c>
      <c r="J15" s="322"/>
      <c r="K15" s="264">
        <v>17000</v>
      </c>
      <c r="L15" s="508">
        <f t="shared" si="2"/>
        <v>0</v>
      </c>
      <c r="M15" s="413">
        <f t="shared" si="0"/>
        <v>0</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110</v>
      </c>
      <c r="D16" s="420"/>
      <c r="E16" s="420"/>
      <c r="F16" s="73"/>
      <c r="G16" s="322">
        <v>228</v>
      </c>
      <c r="H16" s="322">
        <v>684</v>
      </c>
      <c r="I16" s="322">
        <f t="shared" si="1"/>
        <v>912</v>
      </c>
      <c r="J16" s="322"/>
      <c r="K16" s="264">
        <v>1200</v>
      </c>
      <c r="L16" s="508">
        <f t="shared" si="2"/>
        <v>-288</v>
      </c>
      <c r="M16" s="413">
        <f t="shared" si="0"/>
        <v>-0.24</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237</v>
      </c>
      <c r="D17" s="420"/>
      <c r="E17" s="420"/>
      <c r="F17" s="73"/>
      <c r="G17" s="322">
        <v>-405</v>
      </c>
      <c r="H17" s="322">
        <f>400*8-1000</f>
        <v>2200</v>
      </c>
      <c r="I17" s="322">
        <f t="shared" si="1"/>
        <v>1795</v>
      </c>
      <c r="J17" s="322"/>
      <c r="K17" s="264">
        <v>4680</v>
      </c>
      <c r="L17" s="508">
        <f t="shared" si="2"/>
        <v>-2885</v>
      </c>
      <c r="M17" s="413">
        <f t="shared" si="0"/>
        <v>-0.61645299145299148</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320</v>
      </c>
      <c r="D18" s="420"/>
      <c r="E18" s="420"/>
      <c r="F18" s="73"/>
      <c r="G18" s="322">
        <v>12304</v>
      </c>
      <c r="H18" s="322">
        <v>1500</v>
      </c>
      <c r="I18" s="322">
        <f t="shared" si="1"/>
        <v>13804</v>
      </c>
      <c r="J18" s="322"/>
      <c r="K18" s="264">
        <v>1500</v>
      </c>
      <c r="L18" s="508">
        <f t="shared" si="2"/>
        <v>12304</v>
      </c>
      <c r="M18" s="413">
        <f t="shared" si="0"/>
        <v>8.2026666666666674</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418</v>
      </c>
      <c r="D19" s="420"/>
      <c r="E19" s="420"/>
      <c r="F19" s="73"/>
      <c r="G19" s="322"/>
      <c r="H19" s="322"/>
      <c r="I19" s="322">
        <f t="shared" si="1"/>
        <v>0</v>
      </c>
      <c r="J19" s="322"/>
      <c r="K19" s="264"/>
      <c r="L19" s="508">
        <f t="shared" si="2"/>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f>10047-3000</f>
        <v>7047</v>
      </c>
      <c r="H20" s="322">
        <f>65179-H21-12000</f>
        <v>21179</v>
      </c>
      <c r="I20" s="322">
        <f t="shared" si="1"/>
        <v>28226</v>
      </c>
      <c r="J20" s="322"/>
      <c r="K20" s="264">
        <f>79293-48000</f>
        <v>31293</v>
      </c>
      <c r="L20" s="508">
        <f t="shared" si="2"/>
        <v>-3067</v>
      </c>
      <c r="M20" s="413">
        <f t="shared" si="0"/>
        <v>-9.8009139424152361E-2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796"/>
      <c r="D21" s="420" t="s">
        <v>17</v>
      </c>
      <c r="E21" s="796"/>
      <c r="F21" s="796"/>
      <c r="G21" s="322">
        <f>48000/12*4</f>
        <v>16000</v>
      </c>
      <c r="H21" s="322">
        <f>48000-G21</f>
        <v>32000</v>
      </c>
      <c r="I21" s="322">
        <f t="shared" si="1"/>
        <v>48000</v>
      </c>
      <c r="J21" s="322"/>
      <c r="K21" s="264">
        <v>48000</v>
      </c>
      <c r="L21" s="508">
        <f t="shared" si="2"/>
        <v>0</v>
      </c>
      <c r="M21" s="413">
        <f t="shared" si="0"/>
        <v>0</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96"/>
      <c r="D22" s="420" t="s">
        <v>445</v>
      </c>
      <c r="E22" s="796"/>
      <c r="F22" s="796"/>
      <c r="G22" s="322">
        <v>3000</v>
      </c>
      <c r="H22" s="322">
        <v>12000</v>
      </c>
      <c r="I22" s="322">
        <f t="shared" si="1"/>
        <v>15000</v>
      </c>
      <c r="J22" s="322"/>
      <c r="K22" s="264">
        <v>0</v>
      </c>
      <c r="L22" s="508">
        <f t="shared" si="2"/>
        <v>15000</v>
      </c>
      <c r="M22" s="413"/>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0" t="s">
        <v>322</v>
      </c>
      <c r="D23" s="796"/>
      <c r="E23" s="796"/>
      <c r="F23" s="796"/>
      <c r="G23" s="322">
        <v>3150</v>
      </c>
      <c r="H23" s="322">
        <v>0</v>
      </c>
      <c r="I23" s="322">
        <f t="shared" si="1"/>
        <v>3150</v>
      </c>
      <c r="J23" s="322"/>
      <c r="K23" s="264"/>
      <c r="L23" s="508">
        <f t="shared" si="2"/>
        <v>3150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0" t="s">
        <v>109</v>
      </c>
      <c r="D24" s="796"/>
      <c r="E24" s="796"/>
      <c r="F24" s="796"/>
      <c r="G24" s="322">
        <v>17580</v>
      </c>
      <c r="H24" s="322">
        <f>H35</f>
        <v>35160</v>
      </c>
      <c r="I24" s="322">
        <f t="shared" si="1"/>
        <v>52740</v>
      </c>
      <c r="J24" s="322"/>
      <c r="K24" s="322">
        <v>46576</v>
      </c>
      <c r="L24" s="508">
        <f t="shared" si="2"/>
        <v>6164</v>
      </c>
      <c r="M24" s="413">
        <f t="shared" si="0"/>
        <v>0.13234283751288217</v>
      </c>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421</v>
      </c>
      <c r="D25" s="796"/>
      <c r="E25" s="796"/>
      <c r="F25" s="796"/>
      <c r="G25" s="322">
        <v>5055</v>
      </c>
      <c r="H25" s="322">
        <f>15000+250</f>
        <v>15250</v>
      </c>
      <c r="I25" s="322">
        <f t="shared" si="1"/>
        <v>20305</v>
      </c>
      <c r="J25" s="322"/>
      <c r="K25" s="322">
        <v>21600</v>
      </c>
      <c r="L25" s="508">
        <f t="shared" si="2"/>
        <v>-1295</v>
      </c>
      <c r="M25" s="413">
        <f t="shared" si="0"/>
        <v>-5.9953703703703703E-2</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102</v>
      </c>
      <c r="D26" s="796"/>
      <c r="E26" s="796"/>
      <c r="F26" s="796"/>
      <c r="G26" s="322">
        <f>18500/12*4</f>
        <v>6166.666666666667</v>
      </c>
      <c r="H26" s="322">
        <f>18500-G26</f>
        <v>12333.333333333332</v>
      </c>
      <c r="I26" s="322">
        <f t="shared" si="1"/>
        <v>18500</v>
      </c>
      <c r="J26" s="322"/>
      <c r="K26" s="322">
        <v>19000</v>
      </c>
      <c r="L26" s="508">
        <f t="shared" si="2"/>
        <v>-500</v>
      </c>
      <c r="M26" s="413">
        <f t="shared" si="0"/>
        <v>-2.6315789473684209E-2</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319</v>
      </c>
      <c r="D27" s="796"/>
      <c r="E27" s="796"/>
      <c r="F27" s="796"/>
      <c r="G27" s="322">
        <f>41600/12*4</f>
        <v>13866.666666666666</v>
      </c>
      <c r="H27" s="322">
        <f>3466.67*8</f>
        <v>27733.360000000001</v>
      </c>
      <c r="I27" s="322">
        <f t="shared" si="1"/>
        <v>41600.026666666665</v>
      </c>
      <c r="J27" s="322"/>
      <c r="K27" s="322">
        <v>50000</v>
      </c>
      <c r="L27" s="508">
        <f t="shared" si="2"/>
        <v>-8399.9733333333352</v>
      </c>
      <c r="M27" s="413">
        <f t="shared" si="0"/>
        <v>-0.16799946666666671</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321</v>
      </c>
      <c r="D28" s="796"/>
      <c r="E28" s="796"/>
      <c r="F28" s="796"/>
      <c r="G28" s="322">
        <f>27832-G26-G27</f>
        <v>7798.6666666666661</v>
      </c>
      <c r="H28" s="322">
        <v>11317</v>
      </c>
      <c r="I28" s="322">
        <f t="shared" si="1"/>
        <v>19115.666666666664</v>
      </c>
      <c r="J28" s="322"/>
      <c r="K28" s="322">
        <v>16835</v>
      </c>
      <c r="L28" s="508">
        <f t="shared" si="2"/>
        <v>2280.6666666666642</v>
      </c>
      <c r="M28" s="413">
        <f t="shared" si="0"/>
        <v>0.13547173547173533</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c r="D29" s="73" t="s">
        <v>105</v>
      </c>
      <c r="E29" s="420"/>
      <c r="F29" s="73"/>
      <c r="G29" s="753">
        <f>SUM(G8:G28)</f>
        <v>457054.00000000006</v>
      </c>
      <c r="H29" s="753">
        <f>SUM(H8:H28)</f>
        <v>990861.69333333336</v>
      </c>
      <c r="I29" s="753">
        <f>SUM(I8:I28)</f>
        <v>1447915.6933333334</v>
      </c>
      <c r="J29" s="753"/>
      <c r="K29" s="753">
        <f>SUM(K8:K28)</f>
        <v>1400835</v>
      </c>
      <c r="L29" s="754">
        <f>SUM(L8:L28)</f>
        <v>47080.693333333329</v>
      </c>
      <c r="M29" s="755">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c r="D30" s="73"/>
      <c r="E30" s="420"/>
      <c r="F30" s="73"/>
      <c r="G30" s="322"/>
      <c r="H30" s="322"/>
      <c r="I30" s="322"/>
      <c r="J30" s="322"/>
      <c r="K30" s="594"/>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56">
        <v>932770</v>
      </c>
      <c r="L32" s="508">
        <f>I32-K32</f>
        <v>-15224.489999999991</v>
      </c>
      <c r="M32" s="436">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57">
        <v>181856</v>
      </c>
      <c r="L33" s="508">
        <f>I33-K33</f>
        <v>9496.7999999999884</v>
      </c>
      <c r="M33" s="436">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57">
        <v>1800</v>
      </c>
      <c r="L34" s="508">
        <f t="shared" ref="L34:L49" si="4">I34-K34</f>
        <v>0</v>
      </c>
      <c r="M34" s="436">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57">
        <v>46576</v>
      </c>
      <c r="L35" s="508">
        <f t="shared" si="4"/>
        <v>6164</v>
      </c>
      <c r="M35" s="436">
        <f t="shared" si="5"/>
        <v>0.13234283751288217</v>
      </c>
    </row>
    <row r="36" spans="1:15" s="68" customFormat="1" ht="20.25" x14ac:dyDescent="0.2">
      <c r="A36" s="67"/>
      <c r="B36" s="67"/>
      <c r="C36" s="79" t="s">
        <v>115</v>
      </c>
      <c r="D36" s="79"/>
      <c r="E36" s="79"/>
      <c r="F36" s="79"/>
      <c r="G36" s="232">
        <v>6970</v>
      </c>
      <c r="H36" s="322">
        <v>13232</v>
      </c>
      <c r="I36" s="322">
        <f t="shared" si="3"/>
        <v>20202</v>
      </c>
      <c r="J36" s="322"/>
      <c r="K36" s="757">
        <v>19873</v>
      </c>
      <c r="L36" s="508">
        <f t="shared" si="4"/>
        <v>329</v>
      </c>
      <c r="M36" s="436">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57">
        <v>2736</v>
      </c>
      <c r="L37" s="508">
        <f t="shared" si="4"/>
        <v>0</v>
      </c>
      <c r="M37" s="436">
        <f t="shared" si="5"/>
        <v>0</v>
      </c>
      <c r="O37" s="800"/>
    </row>
    <row r="38" spans="1:15" s="68" customFormat="1" ht="20.25" x14ac:dyDescent="0.2">
      <c r="A38" s="67"/>
      <c r="B38" s="67"/>
      <c r="C38" s="79" t="s">
        <v>117</v>
      </c>
      <c r="D38" s="79"/>
      <c r="E38" s="79"/>
      <c r="F38" s="79"/>
      <c r="G38" s="232">
        <v>1426</v>
      </c>
      <c r="H38" s="322">
        <v>4352</v>
      </c>
      <c r="I38" s="322">
        <f t="shared" si="3"/>
        <v>5778</v>
      </c>
      <c r="J38" s="322"/>
      <c r="K38" s="757">
        <v>5022</v>
      </c>
      <c r="L38" s="508">
        <f t="shared" si="4"/>
        <v>756</v>
      </c>
      <c r="M38" s="436">
        <f t="shared" si="5"/>
        <v>0.15053763440860216</v>
      </c>
    </row>
    <row r="39" spans="1:15" s="68" customFormat="1" ht="20.25" x14ac:dyDescent="0.2">
      <c r="A39" s="67"/>
      <c r="B39" s="67"/>
      <c r="C39" s="79" t="s">
        <v>118</v>
      </c>
      <c r="D39" s="79"/>
      <c r="E39" s="79"/>
      <c r="F39" s="79"/>
      <c r="G39" s="232">
        <v>286</v>
      </c>
      <c r="H39" s="322">
        <v>7958</v>
      </c>
      <c r="I39" s="322">
        <f t="shared" si="3"/>
        <v>8244</v>
      </c>
      <c r="J39" s="322"/>
      <c r="K39" s="757">
        <v>6244</v>
      </c>
      <c r="L39" s="508">
        <f t="shared" si="4"/>
        <v>2000</v>
      </c>
      <c r="M39" s="436">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57">
        <v>40180</v>
      </c>
      <c r="L40" s="508">
        <f t="shared" si="4"/>
        <v>1541</v>
      </c>
      <c r="M40" s="436">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57">
        <v>4270</v>
      </c>
      <c r="L41" s="508">
        <f t="shared" si="4"/>
        <v>943</v>
      </c>
      <c r="M41" s="436">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57">
        <v>1020</v>
      </c>
      <c r="L42" s="508">
        <f t="shared" si="4"/>
        <v>0</v>
      </c>
      <c r="M42" s="436">
        <f t="shared" si="5"/>
        <v>0</v>
      </c>
    </row>
    <row r="43" spans="1:15" s="68" customFormat="1" ht="20.25" x14ac:dyDescent="0.2">
      <c r="A43" s="67"/>
      <c r="B43" s="67"/>
      <c r="C43" s="79" t="s">
        <v>166</v>
      </c>
      <c r="D43" s="79"/>
      <c r="E43" s="79"/>
      <c r="F43" s="79"/>
      <c r="G43" s="232">
        <v>10200</v>
      </c>
      <c r="H43" s="322">
        <f>2800+125+25</f>
        <v>2950</v>
      </c>
      <c r="I43" s="322">
        <f t="shared" si="3"/>
        <v>13150</v>
      </c>
      <c r="J43" s="322"/>
      <c r="K43" s="757">
        <v>13618</v>
      </c>
      <c r="L43" s="508">
        <f t="shared" si="4"/>
        <v>-468</v>
      </c>
      <c r="M43" s="436">
        <f t="shared" si="5"/>
        <v>-3.4366279923630491E-2</v>
      </c>
    </row>
    <row r="44" spans="1:15" s="68" customFormat="1" ht="20.25" x14ac:dyDescent="0.2">
      <c r="A44" s="67"/>
      <c r="B44" s="67"/>
      <c r="C44" s="979" t="s">
        <v>324</v>
      </c>
      <c r="D44" s="979"/>
      <c r="E44" s="979"/>
      <c r="F44" s="979"/>
      <c r="G44" s="232"/>
      <c r="H44" s="322">
        <f>SUM([1]Transportaton!N46:S46)</f>
        <v>0</v>
      </c>
      <c r="I44" s="322">
        <f t="shared" si="3"/>
        <v>0</v>
      </c>
      <c r="J44" s="322"/>
      <c r="K44" s="322">
        <f t="shared" si="3"/>
        <v>0</v>
      </c>
      <c r="L44" s="508">
        <f t="shared" si="4"/>
        <v>0</v>
      </c>
      <c r="M44" s="436"/>
      <c r="O44" s="736"/>
    </row>
    <row r="45" spans="1:15" s="68" customFormat="1" ht="20.25" x14ac:dyDescent="0.2">
      <c r="A45" s="67"/>
      <c r="B45" s="67"/>
      <c r="C45" s="79" t="s">
        <v>122</v>
      </c>
      <c r="D45" s="79"/>
      <c r="E45" s="79"/>
      <c r="F45" s="79"/>
      <c r="G45" s="322">
        <v>7626</v>
      </c>
      <c r="H45" s="322">
        <v>7740</v>
      </c>
      <c r="I45" s="322">
        <f t="shared" si="3"/>
        <v>15366</v>
      </c>
      <c r="J45" s="322"/>
      <c r="K45" s="757">
        <v>13802</v>
      </c>
      <c r="L45" s="508">
        <f t="shared" si="4"/>
        <v>1564</v>
      </c>
      <c r="M45" s="436">
        <f t="shared" si="5"/>
        <v>0.11331691059266773</v>
      </c>
    </row>
    <row r="46" spans="1:15" s="68" customFormat="1" ht="20.25" x14ac:dyDescent="0.2">
      <c r="A46" s="67"/>
      <c r="B46" s="67"/>
      <c r="C46" s="79" t="s">
        <v>123</v>
      </c>
      <c r="D46" s="79"/>
      <c r="E46" s="79"/>
      <c r="F46" s="79"/>
      <c r="G46" s="322">
        <v>3742</v>
      </c>
      <c r="H46" s="322">
        <v>7566</v>
      </c>
      <c r="I46" s="322">
        <f t="shared" si="3"/>
        <v>11308</v>
      </c>
      <c r="J46" s="322"/>
      <c r="K46" s="757">
        <v>10740</v>
      </c>
      <c r="L46" s="508">
        <f t="shared" si="4"/>
        <v>568</v>
      </c>
      <c r="M46" s="436">
        <f t="shared" si="5"/>
        <v>5.2886405959031657E-2</v>
      </c>
      <c r="O46" s="736"/>
    </row>
    <row r="47" spans="1:15" s="68" customFormat="1" ht="20.25" x14ac:dyDescent="0.2">
      <c r="A47" s="67"/>
      <c r="B47" s="67"/>
      <c r="C47" s="79" t="s">
        <v>130</v>
      </c>
      <c r="D47" s="79"/>
      <c r="E47" s="79"/>
      <c r="F47" s="79"/>
      <c r="G47" s="232">
        <v>340</v>
      </c>
      <c r="H47" s="322">
        <v>1140</v>
      </c>
      <c r="I47" s="322">
        <f t="shared" si="3"/>
        <v>1480</v>
      </c>
      <c r="J47" s="322"/>
      <c r="K47" s="757">
        <v>1470</v>
      </c>
      <c r="L47" s="508">
        <f t="shared" si="4"/>
        <v>10</v>
      </c>
      <c r="M47" s="436">
        <f t="shared" si="5"/>
        <v>6.8027210884353739E-3</v>
      </c>
    </row>
    <row r="48" spans="1:15" s="68" customFormat="1" ht="20.25" x14ac:dyDescent="0.2">
      <c r="A48" s="67"/>
      <c r="B48" s="67"/>
      <c r="C48" s="79" t="s">
        <v>124</v>
      </c>
      <c r="D48" s="79"/>
      <c r="E48" s="79"/>
      <c r="F48" s="79"/>
      <c r="G48" s="322"/>
      <c r="H48" s="322">
        <v>2500</v>
      </c>
      <c r="I48" s="322">
        <f t="shared" si="3"/>
        <v>2500</v>
      </c>
      <c r="J48" s="322"/>
      <c r="K48" s="757">
        <v>3000</v>
      </c>
      <c r="L48" s="508">
        <f t="shared" si="4"/>
        <v>-500</v>
      </c>
      <c r="M48" s="436">
        <f t="shared" si="5"/>
        <v>-0.16666666666666666</v>
      </c>
      <c r="O48" s="736"/>
    </row>
    <row r="49" spans="1:17" s="68" customFormat="1" ht="20.25" customHeight="1" x14ac:dyDescent="0.2">
      <c r="A49" s="67"/>
      <c r="B49" s="67"/>
      <c r="C49" s="79" t="s">
        <v>199</v>
      </c>
      <c r="D49" s="79"/>
      <c r="E49" s="79"/>
      <c r="F49" s="79"/>
      <c r="G49" s="232">
        <v>462</v>
      </c>
      <c r="H49" s="322">
        <v>4500</v>
      </c>
      <c r="I49" s="322">
        <f t="shared" si="3"/>
        <v>4962</v>
      </c>
      <c r="J49" s="322"/>
      <c r="K49" s="757">
        <v>9980</v>
      </c>
      <c r="L49" s="508">
        <f t="shared" si="4"/>
        <v>-5018</v>
      </c>
      <c r="M49" s="436">
        <f t="shared" si="5"/>
        <v>-0.50280561122244494</v>
      </c>
    </row>
    <row r="50" spans="1:17" s="76" customFormat="1" ht="20.25" x14ac:dyDescent="0.2">
      <c r="A50" s="79"/>
      <c r="B50" s="79"/>
      <c r="C50" s="79" t="s">
        <v>126</v>
      </c>
      <c r="D50" s="79"/>
      <c r="E50" s="79"/>
      <c r="F50" s="79"/>
      <c r="G50" s="322">
        <v>5810</v>
      </c>
      <c r="H50" s="322">
        <v>21380</v>
      </c>
      <c r="I50" s="322">
        <f>G50+H50</f>
        <v>27190</v>
      </c>
      <c r="J50" s="322"/>
      <c r="K50" s="757">
        <v>8437</v>
      </c>
      <c r="L50" s="508">
        <f>I50-K50</f>
        <v>18753</v>
      </c>
      <c r="M50" s="436">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57">
        <v>54075</v>
      </c>
      <c r="L51" s="508">
        <f t="shared" ref="L51:L53" si="7">I51-K51</f>
        <v>3373</v>
      </c>
      <c r="M51" s="436">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57">
        <v>42592</v>
      </c>
      <c r="L52" s="508">
        <f t="shared" si="7"/>
        <v>28895</v>
      </c>
      <c r="M52" s="436">
        <f t="shared" si="8"/>
        <v>0.67841378662659657</v>
      </c>
    </row>
    <row r="53" spans="1:17" s="68" customFormat="1" ht="21" thickBot="1" x14ac:dyDescent="0.25">
      <c r="A53" s="67"/>
      <c r="B53" s="67"/>
      <c r="C53" s="79" t="s">
        <v>407</v>
      </c>
      <c r="D53" s="79"/>
      <c r="E53" s="79"/>
      <c r="F53" s="79"/>
      <c r="G53" s="241">
        <v>660</v>
      </c>
      <c r="H53" s="398">
        <f>660/4*5</f>
        <v>825</v>
      </c>
      <c r="I53" s="398">
        <f t="shared" si="6"/>
        <v>1485</v>
      </c>
      <c r="J53" s="398"/>
      <c r="K53" s="758">
        <v>1980</v>
      </c>
      <c r="L53" s="511">
        <f t="shared" si="7"/>
        <v>-495</v>
      </c>
      <c r="M53" s="436">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55">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59" t="s">
        <v>422</v>
      </c>
      <c r="D56"/>
      <c r="E56" s="67"/>
      <c r="F56" s="67"/>
      <c r="G56" s="242">
        <f>G29-G54</f>
        <v>-10571.309999999939</v>
      </c>
      <c r="H56" s="242">
        <f>H29-H54</f>
        <v>3758.6933333333582</v>
      </c>
      <c r="I56" s="242">
        <f>G56+H56</f>
        <v>-6812.6166666665813</v>
      </c>
      <c r="J56" s="232"/>
      <c r="K56" s="242">
        <f>K29-K54</f>
        <v>-1206</v>
      </c>
      <c r="L56" s="760">
        <f t="shared" ref="L56" si="9">I56-K56</f>
        <v>-5606.6166666665813</v>
      </c>
      <c r="M56" s="755">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59" t="s">
        <v>423</v>
      </c>
      <c r="D60"/>
      <c r="E60"/>
      <c r="F60"/>
      <c r="G60" s="761">
        <f>G56-G58</f>
        <v>-23391.309999999939</v>
      </c>
      <c r="H60" s="761">
        <f>H56-H58</f>
        <v>-21887.306666666642</v>
      </c>
      <c r="I60" s="761">
        <f>I56-I58</f>
        <v>-45278.616666666581</v>
      </c>
      <c r="J60" s="237"/>
      <c r="K60" s="761">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424</v>
      </c>
      <c r="G64" s="232"/>
      <c r="H64" s="232"/>
      <c r="I64" s="232"/>
      <c r="J64" s="232"/>
      <c r="K64" s="232"/>
    </row>
    <row r="65" spans="1:11" s="68" customFormat="1" ht="20.25" x14ac:dyDescent="0.2">
      <c r="A65" s="67"/>
      <c r="B65" s="67"/>
      <c r="D65" s="79"/>
      <c r="E65" s="67"/>
      <c r="F65" s="801" t="s">
        <v>446</v>
      </c>
      <c r="G65" s="232"/>
      <c r="H65" s="232"/>
      <c r="I65" s="232"/>
      <c r="J65" s="232"/>
      <c r="K65" s="232"/>
    </row>
    <row r="66" spans="1:11" s="68" customFormat="1" ht="23.25" x14ac:dyDescent="0.2">
      <c r="A66" s="67"/>
      <c r="B66" s="271"/>
      <c r="C66" s="67"/>
      <c r="D66" s="67"/>
      <c r="E66" s="67"/>
      <c r="F66" s="801" t="s">
        <v>447</v>
      </c>
      <c r="G66" s="237"/>
      <c r="H66" s="237"/>
      <c r="I66" s="237"/>
      <c r="J66" s="237"/>
      <c r="K66" s="237"/>
    </row>
    <row r="67" spans="1:11" s="68" customFormat="1" ht="20.25" x14ac:dyDescent="0.2">
      <c r="A67" s="67"/>
      <c r="B67" s="67"/>
      <c r="C67" s="67"/>
      <c r="D67" s="67"/>
      <c r="E67" s="67"/>
      <c r="F67" s="801" t="s">
        <v>448</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O112"/>
  <sheetViews>
    <sheetView topLeftCell="A55" zoomScale="80" zoomScaleNormal="80" workbookViewId="0">
      <selection activeCell="G79" sqref="G78:G79"/>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7.125" style="57" customWidth="1"/>
    <col min="7" max="7" width="22.375" style="18" customWidth="1"/>
    <col min="8" max="8" width="1.75" style="18" customWidth="1"/>
    <col min="9" max="9" width="22.25" style="18" customWidth="1"/>
    <col min="10" max="10" width="10" style="18" bestFit="1" customWidth="1"/>
    <col min="11" max="11" width="9" style="523"/>
    <col min="12" max="12" width="11.5" style="190" bestFit="1" customWidth="1"/>
    <col min="13" max="13" width="9" style="523"/>
    <col min="14" max="52" width="9" style="1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119" ht="22.5" customHeight="1" x14ac:dyDescent="0.4">
      <c r="A1" s="58" t="s">
        <v>94</v>
      </c>
      <c r="B1" s="59"/>
      <c r="C1" s="60"/>
      <c r="D1" s="60"/>
      <c r="E1" s="60"/>
      <c r="F1" s="59"/>
      <c r="G1" s="59"/>
      <c r="H1" s="59"/>
      <c r="I1" s="59"/>
      <c r="J1" s="59"/>
      <c r="K1" s="850"/>
      <c r="L1" s="851"/>
      <c r="M1" s="850"/>
      <c r="N1" s="59"/>
      <c r="O1" s="59"/>
      <c r="P1" s="59"/>
      <c r="Q1" s="59"/>
      <c r="R1" s="59"/>
      <c r="S1" s="59"/>
      <c r="T1" s="59"/>
      <c r="U1" s="59"/>
      <c r="V1" s="59"/>
      <c r="W1" s="59"/>
      <c r="X1" s="59"/>
      <c r="Y1" s="59"/>
      <c r="Z1" s="59"/>
      <c r="AA1" s="59"/>
      <c r="AB1" s="59"/>
      <c r="AC1" s="59"/>
      <c r="AD1" s="59"/>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19" ht="22.5" customHeight="1" x14ac:dyDescent="0.4">
      <c r="A2" s="58" t="s">
        <v>529</v>
      </c>
      <c r="B2" s="59"/>
      <c r="C2" s="60"/>
      <c r="D2" s="60"/>
      <c r="E2" s="60"/>
      <c r="F2" s="59"/>
      <c r="G2" s="59"/>
      <c r="H2" s="59"/>
      <c r="I2" s="59"/>
      <c r="J2" s="59"/>
      <c r="K2" s="850"/>
      <c r="L2" s="851"/>
      <c r="M2" s="850"/>
      <c r="N2" s="59"/>
      <c r="O2" s="59"/>
      <c r="P2" s="59"/>
      <c r="Q2" s="59"/>
      <c r="R2" s="59"/>
      <c r="S2" s="59"/>
      <c r="T2" s="59"/>
      <c r="U2" s="59"/>
      <c r="V2" s="59"/>
      <c r="W2" s="59"/>
      <c r="X2" s="59"/>
      <c r="Y2" s="59"/>
      <c r="Z2" s="59"/>
      <c r="AA2" s="59"/>
      <c r="AB2" s="59"/>
      <c r="AC2" s="59"/>
      <c r="AD2" s="59"/>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19" ht="22.5" customHeight="1" x14ac:dyDescent="0.4">
      <c r="A3" s="58" t="s">
        <v>530</v>
      </c>
      <c r="B3" s="59"/>
      <c r="C3" s="60"/>
      <c r="D3" s="60"/>
      <c r="E3" s="60"/>
      <c r="F3" s="59"/>
      <c r="G3" s="59"/>
      <c r="H3" s="59"/>
      <c r="I3" s="59"/>
      <c r="J3" s="59"/>
      <c r="K3" s="850"/>
      <c r="L3" s="851"/>
      <c r="M3" s="850"/>
      <c r="N3" s="59"/>
      <c r="O3" s="59"/>
      <c r="P3" s="59"/>
      <c r="Q3" s="59"/>
      <c r="R3" s="59"/>
      <c r="S3" s="59"/>
      <c r="T3" s="59"/>
      <c r="U3" s="59"/>
      <c r="V3" s="59"/>
      <c r="W3" s="59"/>
      <c r="X3" s="59"/>
      <c r="Y3" s="59"/>
      <c r="Z3" s="59"/>
      <c r="AA3" s="59"/>
      <c r="AB3" s="59"/>
      <c r="AC3" s="59"/>
      <c r="AD3" s="59"/>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row>
    <row r="4" spans="1:119" s="63" customFormat="1" ht="8.25" customHeight="1" x14ac:dyDescent="0.2">
      <c r="A4" s="61"/>
      <c r="B4" s="61"/>
      <c r="C4" s="61"/>
      <c r="D4" s="61"/>
      <c r="E4" s="61"/>
      <c r="F4" s="61"/>
      <c r="G4" s="62"/>
      <c r="H4" s="62"/>
      <c r="I4" s="62"/>
      <c r="J4" s="62"/>
      <c r="K4" s="852"/>
      <c r="L4" s="853"/>
      <c r="M4" s="85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119" s="68" customFormat="1" ht="8.25" customHeight="1" thickBot="1" x14ac:dyDescent="0.25">
      <c r="A5" s="67"/>
      <c r="B5" s="67"/>
      <c r="C5" s="67"/>
      <c r="D5" s="67"/>
      <c r="E5" s="67"/>
      <c r="F5" s="67"/>
      <c r="K5" s="854"/>
      <c r="L5" s="853"/>
      <c r="M5" s="854"/>
    </row>
    <row r="6" spans="1:119" s="74" customFormat="1" ht="48" customHeight="1" thickBot="1" x14ac:dyDescent="0.25">
      <c r="A6" s="73"/>
      <c r="B6" s="855" t="s">
        <v>100</v>
      </c>
      <c r="C6" s="855"/>
      <c r="D6" s="855"/>
      <c r="E6" s="855"/>
      <c r="F6" s="855"/>
      <c r="G6" s="856" t="s">
        <v>531</v>
      </c>
      <c r="H6" s="856"/>
      <c r="I6" s="856" t="s">
        <v>532</v>
      </c>
      <c r="J6" s="68"/>
      <c r="K6" s="854"/>
      <c r="L6" s="853"/>
      <c r="M6" s="854"/>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119" s="74" customFormat="1" ht="20.25" x14ac:dyDescent="0.2">
      <c r="A7" s="73"/>
      <c r="B7" s="73"/>
      <c r="C7" s="420" t="s">
        <v>101</v>
      </c>
      <c r="D7" s="420"/>
      <c r="E7" s="420"/>
      <c r="F7" s="73"/>
      <c r="G7" s="326">
        <v>768013</v>
      </c>
      <c r="H7" s="326"/>
      <c r="I7" s="326">
        <v>795100</v>
      </c>
      <c r="J7" s="68"/>
      <c r="K7" s="854"/>
      <c r="L7" s="853"/>
      <c r="M7" s="854"/>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row>
    <row r="8" spans="1:119" s="74" customFormat="1" ht="20.25" x14ac:dyDescent="0.2">
      <c r="A8" s="73"/>
      <c r="B8" s="73"/>
      <c r="C8" s="420" t="s">
        <v>150</v>
      </c>
      <c r="D8" s="420"/>
      <c r="E8" s="420"/>
      <c r="F8" s="73"/>
      <c r="G8" s="322">
        <v>92000</v>
      </c>
      <c r="H8" s="322"/>
      <c r="I8" s="322">
        <v>88160</v>
      </c>
      <c r="J8" s="68"/>
      <c r="K8" s="854"/>
      <c r="L8" s="853"/>
      <c r="M8" s="854"/>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row>
    <row r="9" spans="1:119" s="74" customFormat="1" ht="20.25" x14ac:dyDescent="0.2">
      <c r="A9" s="73"/>
      <c r="B9" s="73"/>
      <c r="C9" s="420" t="s">
        <v>179</v>
      </c>
      <c r="D9" s="420"/>
      <c r="E9" s="420"/>
      <c r="F9" s="73"/>
      <c r="G9" s="322">
        <v>42167</v>
      </c>
      <c r="H9" s="322"/>
      <c r="I9" s="322">
        <v>32100</v>
      </c>
      <c r="J9" s="68"/>
      <c r="K9" s="854"/>
      <c r="L9" s="853"/>
      <c r="M9" s="854"/>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1:119" s="74" customFormat="1" ht="20.25" x14ac:dyDescent="0.2">
      <c r="A10" s="73"/>
      <c r="B10" s="73"/>
      <c r="C10" s="420" t="s">
        <v>102</v>
      </c>
      <c r="D10" s="420"/>
      <c r="E10" s="420"/>
      <c r="F10" s="73"/>
      <c r="G10" s="322">
        <v>0</v>
      </c>
      <c r="H10" s="322"/>
      <c r="I10" s="322"/>
      <c r="J10" s="68"/>
      <c r="K10" s="854"/>
      <c r="L10" s="853"/>
      <c r="M10" s="854"/>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row>
    <row r="11" spans="1:119" s="74" customFormat="1" ht="20.25" x14ac:dyDescent="0.2">
      <c r="A11" s="73"/>
      <c r="B11" s="73"/>
      <c r="C11" s="77"/>
      <c r="D11" s="420" t="s">
        <v>139</v>
      </c>
      <c r="E11" s="420"/>
      <c r="F11" s="73"/>
      <c r="G11" s="322">
        <f>148159+47500+3687</f>
        <v>199346</v>
      </c>
      <c r="H11" s="322"/>
      <c r="I11" s="322">
        <v>204910</v>
      </c>
      <c r="J11" s="469"/>
      <c r="K11" s="854"/>
      <c r="L11" s="857"/>
      <c r="M11" s="85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row>
    <row r="12" spans="1:119" s="74" customFormat="1" ht="20.25" x14ac:dyDescent="0.2">
      <c r="A12" s="73"/>
      <c r="B12" s="73"/>
      <c r="C12" s="77"/>
      <c r="D12" s="420" t="s">
        <v>159</v>
      </c>
      <c r="E12" s="420"/>
      <c r="F12" s="73"/>
      <c r="G12" s="322">
        <v>18000</v>
      </c>
      <c r="H12" s="322"/>
      <c r="I12" s="322">
        <v>18000</v>
      </c>
      <c r="J12" s="388"/>
      <c r="K12" s="854"/>
      <c r="L12" s="853"/>
      <c r="M12" s="854"/>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row>
    <row r="13" spans="1:119" s="74" customFormat="1" ht="20.25" x14ac:dyDescent="0.2">
      <c r="A13" s="73"/>
      <c r="B13" s="73"/>
      <c r="C13" s="420"/>
      <c r="D13" s="420" t="s">
        <v>405</v>
      </c>
      <c r="E13" s="420"/>
      <c r="F13" s="73"/>
      <c r="G13" s="322">
        <v>30439</v>
      </c>
      <c r="H13" s="322"/>
      <c r="I13" s="322">
        <v>265600</v>
      </c>
      <c r="J13" s="388"/>
      <c r="K13" s="854"/>
      <c r="L13" s="853"/>
      <c r="M13" s="854"/>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row>
    <row r="14" spans="1:119" s="74" customFormat="1" ht="20.25" x14ac:dyDescent="0.2">
      <c r="A14" s="73"/>
      <c r="B14" s="73"/>
      <c r="C14" s="420" t="s">
        <v>377</v>
      </c>
      <c r="D14" s="420"/>
      <c r="E14" s="420"/>
      <c r="F14" s="73"/>
      <c r="G14" s="322">
        <v>20000</v>
      </c>
      <c r="H14" s="322"/>
      <c r="I14" s="322">
        <v>17600</v>
      </c>
      <c r="J14" s="388"/>
      <c r="K14" s="854"/>
      <c r="L14" s="853"/>
      <c r="M14" s="854"/>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row>
    <row r="15" spans="1:119" s="74" customFormat="1" ht="20.25" x14ac:dyDescent="0.2">
      <c r="A15" s="73"/>
      <c r="B15" s="73"/>
      <c r="C15" s="420" t="s">
        <v>110</v>
      </c>
      <c r="D15" s="420"/>
      <c r="E15" s="420"/>
      <c r="F15" s="73"/>
      <c r="G15" s="322">
        <v>684</v>
      </c>
      <c r="H15" s="322"/>
      <c r="I15" s="322">
        <v>420</v>
      </c>
      <c r="J15" s="388"/>
      <c r="K15" s="854"/>
      <c r="L15" s="853"/>
      <c r="M15" s="854"/>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row>
    <row r="16" spans="1:119" s="74" customFormat="1" ht="20.25" x14ac:dyDescent="0.2">
      <c r="A16" s="73"/>
      <c r="B16" s="73"/>
      <c r="C16" s="420" t="s">
        <v>237</v>
      </c>
      <c r="D16" s="420"/>
      <c r="E16" s="420"/>
      <c r="F16" s="73"/>
      <c r="G16" s="322">
        <v>1200</v>
      </c>
      <c r="H16" s="322"/>
      <c r="I16" s="322">
        <v>1000</v>
      </c>
      <c r="J16" s="388"/>
      <c r="K16" s="854"/>
      <c r="L16" s="853"/>
      <c r="M16" s="854"/>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row>
    <row r="17" spans="1:52" s="74" customFormat="1" ht="20.25" x14ac:dyDescent="0.2">
      <c r="A17" s="73"/>
      <c r="B17" s="73"/>
      <c r="C17" s="868" t="s">
        <v>320</v>
      </c>
      <c r="D17" s="868"/>
      <c r="E17" s="868"/>
      <c r="F17" s="869"/>
      <c r="G17" s="322">
        <v>-3000</v>
      </c>
      <c r="H17" s="322"/>
      <c r="I17" s="848">
        <v>-48000</v>
      </c>
      <c r="J17" s="388"/>
      <c r="K17" s="854"/>
      <c r="L17" s="853"/>
      <c r="M17" s="854"/>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row>
    <row r="18" spans="1:52" s="74" customFormat="1" ht="20.25" x14ac:dyDescent="0.2">
      <c r="A18" s="73"/>
      <c r="B18" s="73"/>
      <c r="C18" s="420" t="s">
        <v>418</v>
      </c>
      <c r="D18" s="420"/>
      <c r="E18" s="420"/>
      <c r="F18" s="73"/>
      <c r="G18" s="322">
        <v>282538</v>
      </c>
      <c r="H18" s="322"/>
      <c r="I18" s="322">
        <v>159000</v>
      </c>
      <c r="J18" s="387"/>
      <c r="K18" s="854"/>
      <c r="L18" s="853"/>
      <c r="M18" s="854"/>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row>
    <row r="19" spans="1:52" s="74" customFormat="1" ht="20.25" x14ac:dyDescent="0.2">
      <c r="A19" s="73"/>
      <c r="B19" s="73"/>
      <c r="C19" s="420" t="s">
        <v>109</v>
      </c>
      <c r="D19" s="845"/>
      <c r="E19" s="845"/>
      <c r="F19" s="845"/>
      <c r="G19" s="322">
        <v>52740</v>
      </c>
      <c r="H19" s="322"/>
      <c r="I19" s="322">
        <v>52740</v>
      </c>
      <c r="J19" s="387"/>
      <c r="K19" s="854"/>
      <c r="L19" s="853"/>
      <c r="M19" s="854"/>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row>
    <row r="20" spans="1:52" s="74" customFormat="1" ht="20.25" x14ac:dyDescent="0.2">
      <c r="A20" s="73"/>
      <c r="B20" s="73"/>
      <c r="C20" s="420" t="s">
        <v>421</v>
      </c>
      <c r="D20" s="845"/>
      <c r="E20" s="845"/>
      <c r="F20" s="845"/>
      <c r="G20" s="322">
        <v>10250</v>
      </c>
      <c r="H20" s="322"/>
      <c r="I20" s="322">
        <v>31710</v>
      </c>
      <c r="J20" s="387"/>
      <c r="K20" s="854"/>
      <c r="L20" s="853"/>
      <c r="M20" s="854"/>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row>
    <row r="21" spans="1:52" s="74" customFormat="1" ht="20.25" x14ac:dyDescent="0.2">
      <c r="A21" s="73"/>
      <c r="B21" s="73"/>
      <c r="C21" s="420" t="s">
        <v>102</v>
      </c>
      <c r="D21" s="845"/>
      <c r="E21" s="845"/>
      <c r="F21" s="845"/>
      <c r="G21" s="322">
        <v>20000</v>
      </c>
      <c r="H21" s="322"/>
      <c r="I21" s="322">
        <v>20000</v>
      </c>
      <c r="J21" s="387"/>
      <c r="K21" s="854"/>
      <c r="L21" s="853"/>
      <c r="M21" s="854"/>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row>
    <row r="22" spans="1:52" s="74" customFormat="1" ht="20.25" x14ac:dyDescent="0.2">
      <c r="A22" s="73"/>
      <c r="B22" s="73"/>
      <c r="C22" s="420" t="s">
        <v>319</v>
      </c>
      <c r="D22" s="845"/>
      <c r="E22" s="845"/>
      <c r="F22" s="845"/>
      <c r="G22" s="322">
        <v>52000</v>
      </c>
      <c r="H22" s="322"/>
      <c r="I22" s="322">
        <v>62400</v>
      </c>
      <c r="J22" s="387"/>
      <c r="K22" s="854"/>
      <c r="L22" s="853"/>
      <c r="M22" s="854"/>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row>
    <row r="23" spans="1:52" s="74" customFormat="1" ht="20.25" x14ac:dyDescent="0.2">
      <c r="A23" s="73"/>
      <c r="B23" s="73"/>
      <c r="C23" s="420" t="s">
        <v>321</v>
      </c>
      <c r="D23" s="845"/>
      <c r="E23" s="845"/>
      <c r="F23" s="845"/>
      <c r="G23" s="322">
        <v>18537</v>
      </c>
      <c r="H23" s="322"/>
      <c r="I23" s="322">
        <v>18600</v>
      </c>
      <c r="J23" s="387"/>
      <c r="K23" s="854"/>
      <c r="L23" s="853"/>
      <c r="M23" s="854"/>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row>
    <row r="24" spans="1:52" s="74" customFormat="1" ht="20.25" x14ac:dyDescent="0.2">
      <c r="A24" s="73"/>
      <c r="B24" s="73"/>
      <c r="C24" s="420"/>
      <c r="D24" s="73" t="s">
        <v>105</v>
      </c>
      <c r="E24" s="420"/>
      <c r="F24" s="73"/>
      <c r="G24" s="753">
        <f>SUM(G7:G23)</f>
        <v>1604914</v>
      </c>
      <c r="H24" s="753"/>
      <c r="I24" s="753">
        <f>SUM(I7:I23)</f>
        <v>1719340</v>
      </c>
      <c r="J24" s="68"/>
      <c r="K24" s="854"/>
      <c r="L24" s="853"/>
      <c r="M24" s="854"/>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row>
    <row r="25" spans="1:52" s="74" customFormat="1" ht="21" thickBot="1" x14ac:dyDescent="0.25">
      <c r="A25" s="73"/>
      <c r="B25" s="73"/>
      <c r="C25" s="420"/>
      <c r="D25" s="73"/>
      <c r="E25" s="420"/>
      <c r="F25" s="73"/>
      <c r="G25" s="322"/>
      <c r="H25" s="322"/>
      <c r="I25" s="322"/>
      <c r="J25" s="68"/>
      <c r="K25" s="854"/>
      <c r="L25" s="853"/>
      <c r="M25" s="854"/>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row>
    <row r="26" spans="1:52" s="74" customFormat="1" ht="54.75" thickBot="1" x14ac:dyDescent="0.25">
      <c r="A26" s="73"/>
      <c r="B26" s="855" t="s">
        <v>111</v>
      </c>
      <c r="C26" s="855"/>
      <c r="D26" s="855"/>
      <c r="E26" s="855"/>
      <c r="F26" s="855"/>
      <c r="G26" s="856" t="s">
        <v>531</v>
      </c>
      <c r="H26" s="856"/>
      <c r="I26" s="856" t="s">
        <v>532</v>
      </c>
      <c r="J26" s="68"/>
      <c r="K26" s="854"/>
      <c r="L26" s="853"/>
      <c r="M26" s="854"/>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row>
    <row r="27" spans="1:52" s="68" customFormat="1" ht="20.25" x14ac:dyDescent="0.2">
      <c r="A27" s="67"/>
      <c r="B27" s="67"/>
      <c r="C27" s="79" t="s">
        <v>112</v>
      </c>
      <c r="D27" s="79"/>
      <c r="E27" s="79"/>
      <c r="F27" s="79"/>
      <c r="G27" s="322">
        <v>1121855</v>
      </c>
      <c r="H27" s="322"/>
      <c r="I27" s="322">
        <v>994800</v>
      </c>
      <c r="K27" s="854"/>
      <c r="L27" s="853"/>
      <c r="M27" s="854"/>
    </row>
    <row r="28" spans="1:52" s="68" customFormat="1" ht="20.25" x14ac:dyDescent="0.2">
      <c r="A28" s="67"/>
      <c r="B28" s="67"/>
      <c r="C28" s="79" t="s">
        <v>113</v>
      </c>
      <c r="D28" s="79"/>
      <c r="E28" s="79"/>
      <c r="F28" s="79"/>
      <c r="G28" s="322">
        <v>256895</v>
      </c>
      <c r="H28" s="322"/>
      <c r="I28" s="322">
        <f>199118+20000</f>
        <v>219118</v>
      </c>
      <c r="K28" s="854"/>
      <c r="L28" s="853"/>
      <c r="M28" s="854"/>
    </row>
    <row r="29" spans="1:52" s="68" customFormat="1" ht="20.25" x14ac:dyDescent="0.2">
      <c r="A29" s="67"/>
      <c r="B29" s="67"/>
      <c r="C29" s="79" t="s">
        <v>114</v>
      </c>
      <c r="D29" s="79"/>
      <c r="E29" s="79"/>
      <c r="F29" s="79"/>
      <c r="G29" s="322">
        <v>1800</v>
      </c>
      <c r="H29" s="322"/>
      <c r="I29" s="322">
        <v>1800</v>
      </c>
      <c r="K29" s="854"/>
      <c r="L29" s="853"/>
      <c r="M29" s="854"/>
    </row>
    <row r="30" spans="1:52" s="68" customFormat="1" ht="20.25" x14ac:dyDescent="0.2">
      <c r="A30" s="67"/>
      <c r="B30" s="67"/>
      <c r="C30" s="79" t="s">
        <v>104</v>
      </c>
      <c r="D30" s="79"/>
      <c r="E30" s="79"/>
      <c r="F30" s="79"/>
      <c r="G30" s="322">
        <v>52740</v>
      </c>
      <c r="H30" s="322"/>
      <c r="I30" s="322">
        <v>52740</v>
      </c>
      <c r="K30" s="854"/>
      <c r="L30" s="853"/>
      <c r="M30" s="854"/>
    </row>
    <row r="31" spans="1:52" s="68" customFormat="1" ht="20.25" x14ac:dyDescent="0.2">
      <c r="A31" s="67"/>
      <c r="B31" s="67"/>
      <c r="C31" s="79" t="s">
        <v>115</v>
      </c>
      <c r="D31" s="79"/>
      <c r="E31" s="79"/>
      <c r="F31" s="79"/>
      <c r="G31" s="322">
        <v>22940</v>
      </c>
      <c r="H31" s="322"/>
      <c r="I31" s="322">
        <v>21250</v>
      </c>
      <c r="K31" s="854"/>
      <c r="L31" s="853"/>
      <c r="M31" s="854"/>
    </row>
    <row r="32" spans="1:52" s="68" customFormat="1" ht="20.25" x14ac:dyDescent="0.2">
      <c r="A32" s="67"/>
      <c r="B32" s="67"/>
      <c r="C32" s="79" t="s">
        <v>116</v>
      </c>
      <c r="D32" s="79"/>
      <c r="E32" s="79"/>
      <c r="F32" s="79"/>
      <c r="G32" s="322">
        <v>2385</v>
      </c>
      <c r="H32" s="322"/>
      <c r="I32" s="322">
        <v>2520</v>
      </c>
      <c r="K32" s="854"/>
      <c r="L32" s="853"/>
      <c r="M32" s="854"/>
    </row>
    <row r="33" spans="1:14" s="68" customFormat="1" ht="20.25" x14ac:dyDescent="0.2">
      <c r="A33" s="67"/>
      <c r="B33" s="67"/>
      <c r="C33" s="79" t="s">
        <v>117</v>
      </c>
      <c r="D33" s="79"/>
      <c r="E33" s="79"/>
      <c r="F33" s="79"/>
      <c r="G33" s="322">
        <v>4620</v>
      </c>
      <c r="H33" s="322"/>
      <c r="I33" s="322">
        <v>3720</v>
      </c>
      <c r="K33" s="854"/>
      <c r="L33" s="853"/>
      <c r="M33" s="854"/>
    </row>
    <row r="34" spans="1:14" s="68" customFormat="1" ht="20.25" x14ac:dyDescent="0.2">
      <c r="A34" s="67"/>
      <c r="B34" s="67"/>
      <c r="C34" s="79" t="s">
        <v>118</v>
      </c>
      <c r="D34" s="79"/>
      <c r="E34" s="79"/>
      <c r="F34" s="79"/>
      <c r="G34" s="322">
        <v>13333</v>
      </c>
      <c r="H34" s="322"/>
      <c r="I34" s="322">
        <v>11230</v>
      </c>
      <c r="K34" s="854"/>
      <c r="L34" s="853"/>
      <c r="M34" s="854"/>
    </row>
    <row r="35" spans="1:14" s="68" customFormat="1" ht="20.25" x14ac:dyDescent="0.2">
      <c r="A35" s="67"/>
      <c r="B35" s="67"/>
      <c r="C35" s="79" t="s">
        <v>119</v>
      </c>
      <c r="D35" s="79"/>
      <c r="E35" s="79"/>
      <c r="F35" s="79"/>
      <c r="G35" s="322">
        <f>25674+15000</f>
        <v>40674</v>
      </c>
      <c r="H35" s="322"/>
      <c r="I35" s="322">
        <v>39910</v>
      </c>
      <c r="K35" s="854"/>
      <c r="L35" s="853"/>
      <c r="M35" s="854"/>
    </row>
    <row r="36" spans="1:14" s="68" customFormat="1" ht="20.25" x14ac:dyDescent="0.2">
      <c r="A36" s="67"/>
      <c r="B36" s="67"/>
      <c r="C36" s="79" t="s">
        <v>120</v>
      </c>
      <c r="D36" s="79"/>
      <c r="E36" s="79"/>
      <c r="F36" s="79"/>
      <c r="G36" s="322">
        <v>2918</v>
      </c>
      <c r="H36" s="322"/>
      <c r="I36" s="322">
        <v>3920</v>
      </c>
      <c r="K36" s="854"/>
      <c r="L36" s="853"/>
      <c r="M36" s="854"/>
    </row>
    <row r="37" spans="1:14" s="68" customFormat="1" ht="20.25" x14ac:dyDescent="0.2">
      <c r="A37" s="67"/>
      <c r="B37" s="67"/>
      <c r="C37" s="79" t="s">
        <v>121</v>
      </c>
      <c r="D37" s="79"/>
      <c r="E37" s="79"/>
      <c r="F37" s="79"/>
      <c r="G37" s="322">
        <v>1300</v>
      </c>
      <c r="H37" s="322"/>
      <c r="I37" s="322">
        <f>940+360</f>
        <v>1300</v>
      </c>
      <c r="K37" s="854"/>
      <c r="L37" s="853"/>
      <c r="M37" s="854"/>
    </row>
    <row r="38" spans="1:14" s="68" customFormat="1" ht="20.25" x14ac:dyDescent="0.2">
      <c r="A38" s="67"/>
      <c r="B38" s="67"/>
      <c r="C38" s="79" t="s">
        <v>166</v>
      </c>
      <c r="D38" s="79"/>
      <c r="E38" s="79"/>
      <c r="F38" s="79"/>
      <c r="G38" s="322">
        <v>15125</v>
      </c>
      <c r="H38" s="322"/>
      <c r="I38" s="322">
        <v>16375</v>
      </c>
      <c r="K38" s="854"/>
      <c r="L38" s="853"/>
      <c r="M38" s="854"/>
    </row>
    <row r="39" spans="1:14" s="68" customFormat="1" ht="20.25" x14ac:dyDescent="0.2">
      <c r="A39" s="67"/>
      <c r="B39" s="67"/>
      <c r="C39" s="979" t="s">
        <v>324</v>
      </c>
      <c r="D39" s="979"/>
      <c r="E39" s="979"/>
      <c r="F39" s="979"/>
      <c r="G39" s="322">
        <v>0</v>
      </c>
      <c r="H39" s="322"/>
      <c r="I39" s="322"/>
      <c r="J39" s="736"/>
      <c r="K39" s="854"/>
      <c r="L39" s="853"/>
      <c r="M39" s="854"/>
    </row>
    <row r="40" spans="1:14" s="68" customFormat="1" ht="20.25" x14ac:dyDescent="0.2">
      <c r="A40" s="67"/>
      <c r="B40" s="67"/>
      <c r="C40" s="79" t="s">
        <v>122</v>
      </c>
      <c r="D40" s="79"/>
      <c r="E40" s="79"/>
      <c r="F40" s="79"/>
      <c r="G40" s="322">
        <v>23851</v>
      </c>
      <c r="H40" s="322"/>
      <c r="I40" s="322">
        <v>22610</v>
      </c>
      <c r="K40" s="854"/>
      <c r="L40" s="853"/>
      <c r="M40" s="854"/>
      <c r="N40" s="854"/>
    </row>
    <row r="41" spans="1:14" s="68" customFormat="1" ht="20.25" x14ac:dyDescent="0.2">
      <c r="A41" s="67"/>
      <c r="B41" s="67"/>
      <c r="C41" s="79" t="s">
        <v>123</v>
      </c>
      <c r="D41" s="79"/>
      <c r="E41" s="79"/>
      <c r="F41" s="79"/>
      <c r="G41" s="322">
        <v>13155</v>
      </c>
      <c r="H41" s="322"/>
      <c r="I41" s="322">
        <v>12600</v>
      </c>
      <c r="J41" s="736"/>
      <c r="K41" s="854"/>
      <c r="L41" s="853"/>
      <c r="M41" s="854"/>
    </row>
    <row r="42" spans="1:14" s="68" customFormat="1" ht="20.25" x14ac:dyDescent="0.2">
      <c r="A42" s="67"/>
      <c r="B42" s="67"/>
      <c r="C42" s="79" t="s">
        <v>130</v>
      </c>
      <c r="D42" s="79"/>
      <c r="E42" s="79"/>
      <c r="F42" s="79"/>
      <c r="G42" s="322">
        <v>1320</v>
      </c>
      <c r="H42" s="322"/>
      <c r="I42" s="322">
        <v>900</v>
      </c>
      <c r="K42" s="854"/>
      <c r="L42" s="853"/>
      <c r="M42" s="854"/>
    </row>
    <row r="43" spans="1:14" s="68" customFormat="1" ht="20.25" x14ac:dyDescent="0.2">
      <c r="A43" s="67"/>
      <c r="B43" s="67"/>
      <c r="C43" s="79" t="s">
        <v>124</v>
      </c>
      <c r="D43" s="79"/>
      <c r="E43" s="79"/>
      <c r="F43" s="79"/>
      <c r="G43" s="322">
        <f>1500+4750</f>
        <v>6250</v>
      </c>
      <c r="H43" s="322"/>
      <c r="I43" s="322">
        <v>6750</v>
      </c>
      <c r="J43" s="736"/>
      <c r="K43" s="854"/>
      <c r="L43" s="853"/>
      <c r="M43" s="854"/>
    </row>
    <row r="44" spans="1:14" s="68" customFormat="1" ht="20.25" customHeight="1" x14ac:dyDescent="0.2">
      <c r="A44" s="67"/>
      <c r="B44" s="67"/>
      <c r="C44" s="79" t="s">
        <v>199</v>
      </c>
      <c r="D44" s="79"/>
      <c r="E44" s="79"/>
      <c r="F44" s="79"/>
      <c r="G44" s="322">
        <v>8812</v>
      </c>
      <c r="H44" s="322"/>
      <c r="I44" s="322">
        <v>8840</v>
      </c>
      <c r="K44" s="854"/>
      <c r="L44" s="853"/>
      <c r="M44" s="854"/>
    </row>
    <row r="45" spans="1:14" s="76" customFormat="1" ht="20.25" x14ac:dyDescent="0.2">
      <c r="A45" s="79"/>
      <c r="B45" s="79"/>
      <c r="C45" s="79" t="s">
        <v>126</v>
      </c>
      <c r="D45" s="79"/>
      <c r="E45" s="79"/>
      <c r="F45" s="79"/>
      <c r="G45" s="322">
        <v>13980</v>
      </c>
      <c r="H45" s="322"/>
      <c r="I45" s="322">
        <v>150220</v>
      </c>
      <c r="K45" s="858"/>
      <c r="L45" s="853"/>
      <c r="M45" s="858"/>
    </row>
    <row r="46" spans="1:14" s="68" customFormat="1" ht="20.25" x14ac:dyDescent="0.2">
      <c r="A46" s="67"/>
      <c r="B46" s="67"/>
      <c r="C46" s="79" t="s">
        <v>165</v>
      </c>
      <c r="D46" s="79"/>
      <c r="E46" s="79"/>
      <c r="F46" s="79"/>
      <c r="G46" s="322">
        <v>71775</v>
      </c>
      <c r="H46" s="322"/>
      <c r="I46" s="322">
        <v>75200</v>
      </c>
      <c r="K46" s="854"/>
      <c r="L46" s="853"/>
      <c r="M46" s="854"/>
    </row>
    <row r="47" spans="1:14" s="68" customFormat="1" ht="20.25" x14ac:dyDescent="0.2">
      <c r="A47" s="67"/>
      <c r="B47" s="67"/>
      <c r="C47" s="79" t="s">
        <v>127</v>
      </c>
      <c r="D47" s="79"/>
      <c r="E47" s="79"/>
      <c r="F47" s="79"/>
      <c r="G47" s="322">
        <f>3750+38808</f>
        <v>42558</v>
      </c>
      <c r="H47" s="322"/>
      <c r="I47" s="322">
        <v>79050</v>
      </c>
      <c r="K47" s="854"/>
      <c r="L47" s="853"/>
      <c r="M47" s="854"/>
    </row>
    <row r="48" spans="1:14" s="76" customFormat="1" ht="20.25" x14ac:dyDescent="0.2">
      <c r="A48" s="79"/>
      <c r="B48" s="79"/>
      <c r="D48" s="67" t="s">
        <v>128</v>
      </c>
      <c r="G48" s="322">
        <f>SUM(G27:G47)</f>
        <v>1718286</v>
      </c>
      <c r="H48" s="322"/>
      <c r="I48" s="322">
        <f>SUM(I27:I47)</f>
        <v>1724853</v>
      </c>
      <c r="K48" s="858"/>
      <c r="L48" s="853"/>
      <c r="M48" s="858"/>
    </row>
    <row r="49" spans="1:13" s="76" customFormat="1" ht="8.25" customHeight="1" x14ac:dyDescent="0.2">
      <c r="A49" s="79"/>
      <c r="B49" s="79"/>
      <c r="C49" s="67"/>
      <c r="D49" s="67"/>
      <c r="G49" s="322"/>
      <c r="H49" s="322"/>
      <c r="I49" s="322"/>
      <c r="K49" s="858"/>
      <c r="L49" s="853"/>
      <c r="M49" s="858"/>
    </row>
    <row r="50" spans="1:13" s="76" customFormat="1" ht="20.25" x14ac:dyDescent="0.2">
      <c r="A50" s="79"/>
      <c r="B50" s="79"/>
      <c r="C50" s="859" t="s">
        <v>422</v>
      </c>
      <c r="D50"/>
      <c r="E50" s="67"/>
      <c r="F50" s="67"/>
      <c r="G50" s="242">
        <f>G24-G48</f>
        <v>-113372</v>
      </c>
      <c r="H50" s="232"/>
      <c r="I50" s="242">
        <f>I24-I48</f>
        <v>-5513</v>
      </c>
      <c r="K50" s="858"/>
      <c r="L50" s="853"/>
      <c r="M50" s="858"/>
    </row>
    <row r="51" spans="1:13" s="76" customFormat="1" ht="9" customHeight="1" x14ac:dyDescent="0.2">
      <c r="A51" s="79"/>
      <c r="B51" s="79"/>
      <c r="C51" s="79"/>
      <c r="D51" s="79"/>
      <c r="E51" s="79"/>
      <c r="F51" s="79"/>
      <c r="G51" s="232"/>
      <c r="H51" s="232"/>
      <c r="I51" s="232"/>
      <c r="K51" s="858"/>
      <c r="L51" s="853"/>
      <c r="M51" s="858"/>
    </row>
    <row r="52" spans="1:13" s="76" customFormat="1" ht="23.25" customHeight="1" x14ac:dyDescent="0.2">
      <c r="A52" s="79"/>
      <c r="B52" s="79"/>
      <c r="C52" s="79" t="s">
        <v>511</v>
      </c>
      <c r="D52" s="79"/>
      <c r="F52" s="79"/>
      <c r="G52" s="232">
        <v>48285</v>
      </c>
      <c r="H52" s="232"/>
      <c r="I52" s="232">
        <v>39540</v>
      </c>
      <c r="K52" s="858"/>
      <c r="L52" s="853"/>
      <c r="M52" s="858"/>
    </row>
    <row r="53" spans="1:13" s="76" customFormat="1" ht="20.25" x14ac:dyDescent="0.2">
      <c r="A53" s="79"/>
      <c r="B53" s="79"/>
      <c r="C53" s="79" t="s">
        <v>32</v>
      </c>
      <c r="D53" s="79"/>
      <c r="F53" s="79"/>
      <c r="G53" s="232">
        <v>5933</v>
      </c>
      <c r="H53" s="232"/>
      <c r="I53" s="232">
        <v>465</v>
      </c>
      <c r="K53" s="858"/>
      <c r="L53" s="853"/>
      <c r="M53" s="858"/>
    </row>
    <row r="54" spans="1:13" s="76" customFormat="1" ht="9" customHeight="1" thickBot="1" x14ac:dyDescent="0.25">
      <c r="A54" s="79"/>
      <c r="B54" s="79"/>
      <c r="C54" s="79"/>
      <c r="D54" s="79"/>
      <c r="E54" s="79"/>
      <c r="F54" s="79"/>
      <c r="G54" s="232"/>
      <c r="H54" s="232"/>
      <c r="I54" s="232"/>
      <c r="K54" s="858"/>
      <c r="L54" s="853"/>
      <c r="M54" s="858"/>
    </row>
    <row r="55" spans="1:13" s="68" customFormat="1" ht="21.75" thickTop="1" thickBot="1" x14ac:dyDescent="0.25">
      <c r="A55" s="67"/>
      <c r="B55" s="67"/>
      <c r="C55" s="860" t="s">
        <v>423</v>
      </c>
      <c r="D55" s="861"/>
      <c r="E55" s="861"/>
      <c r="F55" s="861"/>
      <c r="G55" s="862">
        <f>G50-G53-G52</f>
        <v>-167590</v>
      </c>
      <c r="H55" s="862"/>
      <c r="I55" s="862">
        <f>I50-I53-I52</f>
        <v>-45518</v>
      </c>
      <c r="K55" s="854"/>
      <c r="L55" s="853"/>
      <c r="M55" s="854"/>
    </row>
    <row r="56" spans="1:13" s="68" customFormat="1" ht="21" thickTop="1" x14ac:dyDescent="0.2">
      <c r="A56" s="67"/>
      <c r="B56" s="67"/>
      <c r="C56" s="67"/>
      <c r="D56" s="67"/>
      <c r="E56" s="67"/>
      <c r="F56" s="67"/>
      <c r="G56" s="237"/>
      <c r="H56" s="237"/>
      <c r="K56" s="854"/>
      <c r="L56" s="853"/>
      <c r="M56" s="854"/>
    </row>
    <row r="57" spans="1:13" s="18" customFormat="1" ht="20.25" x14ac:dyDescent="0.3">
      <c r="A57" s="122"/>
      <c r="B57" s="863" t="s">
        <v>533</v>
      </c>
      <c r="C57" s="864"/>
      <c r="D57" s="122"/>
      <c r="E57" s="122"/>
      <c r="F57" s="764"/>
      <c r="G57" s="277"/>
      <c r="H57" s="277"/>
      <c r="I57" s="864"/>
      <c r="K57" s="523"/>
      <c r="L57" s="190"/>
      <c r="M57" s="523"/>
    </row>
    <row r="58" spans="1:13" s="18" customFormat="1" ht="9.75" customHeight="1" x14ac:dyDescent="0.3">
      <c r="A58" s="122"/>
      <c r="B58" s="863"/>
      <c r="C58" s="864"/>
      <c r="D58" s="122"/>
      <c r="E58" s="122"/>
      <c r="F58" s="764"/>
      <c r="G58" s="277"/>
      <c r="H58" s="277"/>
      <c r="I58" s="864"/>
      <c r="K58" s="523"/>
      <c r="L58" s="190"/>
      <c r="M58" s="523"/>
    </row>
    <row r="59" spans="1:13" s="18" customFormat="1" ht="20.25" x14ac:dyDescent="0.3">
      <c r="A59" s="122"/>
      <c r="B59" s="863"/>
      <c r="C59" s="865" t="s">
        <v>534</v>
      </c>
      <c r="D59" s="122"/>
      <c r="E59" s="122"/>
      <c r="F59" s="764"/>
      <c r="G59" s="277"/>
      <c r="H59" s="277"/>
      <c r="I59" s="864"/>
      <c r="K59" s="523"/>
      <c r="L59" s="190"/>
      <c r="M59" s="523"/>
    </row>
    <row r="60" spans="1:13" s="18" customFormat="1" ht="20.25" x14ac:dyDescent="0.3">
      <c r="A60" s="122"/>
      <c r="B60" s="863"/>
      <c r="C60" s="866" t="s">
        <v>535</v>
      </c>
      <c r="D60" s="122"/>
      <c r="E60" s="122"/>
      <c r="F60" s="764"/>
      <c r="G60" s="277"/>
      <c r="H60" s="277"/>
      <c r="I60" s="864"/>
      <c r="K60" s="523"/>
      <c r="L60" s="190"/>
      <c r="M60" s="523"/>
    </row>
    <row r="61" spans="1:13" s="18" customFormat="1" ht="33.75" customHeight="1" x14ac:dyDescent="0.3">
      <c r="A61" s="122"/>
      <c r="B61" s="863"/>
      <c r="C61" s="980" t="s">
        <v>585</v>
      </c>
      <c r="D61" s="980"/>
      <c r="E61" s="980"/>
      <c r="F61" s="980"/>
      <c r="G61" s="980"/>
      <c r="H61" s="980"/>
      <c r="I61" s="980"/>
      <c r="K61" s="523"/>
      <c r="L61" s="190"/>
      <c r="M61" s="523"/>
    </row>
    <row r="62" spans="1:13" s="916" customFormat="1" ht="39" customHeight="1" x14ac:dyDescent="0.2">
      <c r="A62" s="914"/>
      <c r="B62" s="915"/>
      <c r="C62" s="981" t="s">
        <v>584</v>
      </c>
      <c r="D62" s="981"/>
      <c r="E62" s="981"/>
      <c r="F62" s="981"/>
      <c r="G62" s="981"/>
      <c r="H62" s="981"/>
      <c r="I62" s="981"/>
      <c r="K62" s="917"/>
      <c r="L62" s="918"/>
      <c r="M62" s="917"/>
    </row>
    <row r="63" spans="1:13" s="18" customFormat="1" ht="20.25" x14ac:dyDescent="0.3">
      <c r="A63" s="122"/>
      <c r="B63" s="863"/>
      <c r="C63" s="866" t="s">
        <v>581</v>
      </c>
      <c r="D63" s="122"/>
      <c r="E63" s="122"/>
      <c r="F63" s="764"/>
      <c r="G63" s="277"/>
      <c r="H63" s="277"/>
      <c r="I63" s="864"/>
      <c r="K63" s="523"/>
      <c r="L63" s="190"/>
      <c r="M63" s="523"/>
    </row>
    <row r="64" spans="1:13" s="18" customFormat="1" ht="20.25" x14ac:dyDescent="0.3">
      <c r="A64" s="122"/>
      <c r="B64" s="863"/>
      <c r="C64" s="18">
        <v>1</v>
      </c>
      <c r="D64" s="866" t="s">
        <v>566</v>
      </c>
      <c r="E64" s="122"/>
      <c r="F64" s="764"/>
      <c r="G64" s="277"/>
      <c r="H64" s="277"/>
      <c r="I64" s="864"/>
      <c r="K64" s="523"/>
      <c r="L64" s="190"/>
      <c r="M64" s="523"/>
    </row>
    <row r="65" spans="1:15" s="18" customFormat="1" ht="20.25" x14ac:dyDescent="0.3">
      <c r="A65" s="122"/>
      <c r="B65" s="863"/>
      <c r="C65" s="866">
        <v>2</v>
      </c>
      <c r="D65" s="913" t="s">
        <v>567</v>
      </c>
      <c r="E65" s="122"/>
      <c r="F65" s="764"/>
      <c r="G65" s="277"/>
      <c r="H65" s="277"/>
      <c r="I65" s="864"/>
      <c r="K65" s="523"/>
      <c r="L65" s="190"/>
      <c r="M65" s="523"/>
    </row>
    <row r="66" spans="1:15" s="18" customFormat="1" ht="20.25" x14ac:dyDescent="0.3">
      <c r="A66" s="122"/>
      <c r="B66" s="863"/>
      <c r="C66" s="866">
        <v>3</v>
      </c>
      <c r="D66" s="913" t="s">
        <v>568</v>
      </c>
      <c r="E66" s="122"/>
      <c r="F66" s="764"/>
      <c r="G66" s="277"/>
      <c r="H66" s="277"/>
      <c r="I66" s="864"/>
      <c r="K66" s="523"/>
      <c r="L66" s="190"/>
      <c r="M66" s="523"/>
    </row>
    <row r="67" spans="1:15" s="18" customFormat="1" ht="20.25" x14ac:dyDescent="0.3">
      <c r="A67" s="122"/>
      <c r="B67" s="863"/>
      <c r="C67" s="866" t="s">
        <v>582</v>
      </c>
      <c r="D67" s="913"/>
      <c r="E67" s="122"/>
      <c r="F67" s="764"/>
      <c r="G67" s="277"/>
      <c r="H67" s="277"/>
      <c r="I67" s="864"/>
      <c r="K67" s="523"/>
      <c r="L67" s="190"/>
      <c r="M67" s="523"/>
    </row>
    <row r="68" spans="1:15" s="18" customFormat="1" ht="39.75" customHeight="1" x14ac:dyDescent="0.3">
      <c r="A68" s="122"/>
      <c r="B68" s="863"/>
      <c r="C68" s="980" t="s">
        <v>583</v>
      </c>
      <c r="D68" s="980"/>
      <c r="E68" s="980"/>
      <c r="F68" s="980"/>
      <c r="G68" s="980"/>
      <c r="H68" s="980"/>
      <c r="I68" s="980"/>
      <c r="K68" s="523"/>
      <c r="L68" s="190"/>
      <c r="M68" s="523"/>
      <c r="O68" s="1"/>
    </row>
    <row r="69" spans="1:15" ht="20.25" customHeight="1" x14ac:dyDescent="0.2">
      <c r="C69" s="980" t="s">
        <v>586</v>
      </c>
      <c r="D69" s="980"/>
      <c r="E69" s="980"/>
      <c r="F69" s="980"/>
      <c r="G69" s="980"/>
      <c r="H69" s="980"/>
      <c r="I69" s="980"/>
      <c r="O69" s="1"/>
    </row>
    <row r="70" spans="1:15" ht="11.25" customHeight="1" x14ac:dyDescent="0.3">
      <c r="C70" s="866"/>
      <c r="F70" s="765"/>
      <c r="G70" s="277"/>
      <c r="H70" s="277"/>
      <c r="I70" s="864"/>
      <c r="O70" s="1"/>
    </row>
    <row r="71" spans="1:15" ht="20.25" x14ac:dyDescent="0.3">
      <c r="C71" s="867" t="s">
        <v>536</v>
      </c>
      <c r="F71" s="765"/>
      <c r="G71" s="277"/>
      <c r="H71" s="277"/>
      <c r="I71" s="864"/>
      <c r="O71" s="1"/>
    </row>
    <row r="72" spans="1:15" ht="38.25" customHeight="1" x14ac:dyDescent="0.2">
      <c r="C72" s="980" t="s">
        <v>537</v>
      </c>
      <c r="D72" s="980"/>
      <c r="E72" s="980"/>
      <c r="F72" s="980"/>
      <c r="G72" s="980"/>
      <c r="H72" s="980"/>
      <c r="I72" s="980"/>
      <c r="O72" s="1"/>
    </row>
    <row r="73" spans="1:15" ht="37.5" customHeight="1" x14ac:dyDescent="0.2">
      <c r="C73" s="981" t="s">
        <v>580</v>
      </c>
      <c r="D73" s="981"/>
      <c r="E73" s="981"/>
      <c r="F73" s="981"/>
      <c r="G73" s="981"/>
      <c r="H73" s="981"/>
      <c r="I73" s="981"/>
      <c r="O73" s="1"/>
    </row>
    <row r="74" spans="1:15" ht="18" x14ac:dyDescent="0.25">
      <c r="C74" s="866" t="s">
        <v>538</v>
      </c>
      <c r="F74" s="765"/>
      <c r="G74" s="864"/>
      <c r="H74" s="864"/>
      <c r="I74" s="864"/>
      <c r="O74" s="1"/>
    </row>
    <row r="75" spans="1:15" ht="18" x14ac:dyDescent="0.25">
      <c r="C75" s="866" t="s">
        <v>578</v>
      </c>
      <c r="F75" s="765"/>
      <c r="G75" s="864"/>
      <c r="H75" s="864"/>
      <c r="I75" s="864"/>
      <c r="O75" s="1"/>
    </row>
    <row r="76" spans="1:15" ht="29.25" customHeight="1" x14ac:dyDescent="0.2">
      <c r="C76" s="980" t="s">
        <v>579</v>
      </c>
      <c r="D76" s="980"/>
      <c r="E76" s="980"/>
      <c r="F76" s="980"/>
      <c r="G76" s="980"/>
      <c r="H76" s="980"/>
      <c r="I76" s="980"/>
      <c r="O76" s="1"/>
    </row>
    <row r="77" spans="1:15" ht="18" x14ac:dyDescent="0.25">
      <c r="C77" s="279" t="s">
        <v>569</v>
      </c>
      <c r="F77" s="765"/>
      <c r="G77" s="864"/>
      <c r="H77" s="864"/>
      <c r="I77" s="864"/>
      <c r="O77" s="1"/>
    </row>
    <row r="78" spans="1:15" ht="18" x14ac:dyDescent="0.25">
      <c r="C78" s="279">
        <v>1</v>
      </c>
      <c r="D78" s="279" t="s">
        <v>570</v>
      </c>
      <c r="F78" s="765"/>
      <c r="G78" s="864"/>
      <c r="H78" s="864"/>
      <c r="I78" s="864"/>
      <c r="O78" s="1"/>
    </row>
    <row r="79" spans="1:15" ht="18" x14ac:dyDescent="0.25">
      <c r="C79" s="279">
        <v>2</v>
      </c>
      <c r="D79" s="279" t="s">
        <v>576</v>
      </c>
      <c r="F79" s="765"/>
    </row>
    <row r="80" spans="1:15" ht="18" x14ac:dyDescent="0.25">
      <c r="C80" s="279">
        <v>3</v>
      </c>
      <c r="D80" s="279" t="s">
        <v>577</v>
      </c>
      <c r="F80" s="765"/>
    </row>
    <row r="81" spans="3:6" ht="18" x14ac:dyDescent="0.25">
      <c r="C81" s="279">
        <v>4</v>
      </c>
      <c r="D81" s="279" t="s">
        <v>572</v>
      </c>
      <c r="F81" s="765"/>
    </row>
    <row r="82" spans="3:6" ht="18" x14ac:dyDescent="0.25">
      <c r="C82" s="279" t="s">
        <v>571</v>
      </c>
      <c r="D82" s="279"/>
      <c r="F82" s="765"/>
    </row>
    <row r="83" spans="3:6" ht="18" x14ac:dyDescent="0.25">
      <c r="C83" s="279" t="s">
        <v>574</v>
      </c>
      <c r="D83" s="279"/>
      <c r="F83" s="765"/>
    </row>
    <row r="84" spans="3:6" ht="18" x14ac:dyDescent="0.25">
      <c r="C84" s="279">
        <v>1</v>
      </c>
      <c r="D84" s="279" t="s">
        <v>573</v>
      </c>
      <c r="F84" s="766"/>
    </row>
    <row r="85" spans="3:6" ht="18" x14ac:dyDescent="0.25">
      <c r="C85" s="279">
        <v>2</v>
      </c>
      <c r="D85" s="279" t="s">
        <v>575</v>
      </c>
      <c r="F85" s="766"/>
    </row>
    <row r="86" spans="3:6" x14ac:dyDescent="0.2">
      <c r="C86" s="279" t="s">
        <v>571</v>
      </c>
      <c r="D86" s="279"/>
    </row>
    <row r="87" spans="3:6" x14ac:dyDescent="0.2">
      <c r="C87" s="279" t="s">
        <v>587</v>
      </c>
      <c r="D87" s="279"/>
    </row>
    <row r="88" spans="3:6" x14ac:dyDescent="0.2">
      <c r="C88" s="279" t="s">
        <v>588</v>
      </c>
      <c r="D88" s="279"/>
    </row>
    <row r="89" spans="3:6" x14ac:dyDescent="0.2">
      <c r="C89" s="279"/>
      <c r="D89" s="279"/>
    </row>
    <row r="90" spans="3:6" x14ac:dyDescent="0.2">
      <c r="C90" s="279"/>
      <c r="D90" s="279"/>
    </row>
    <row r="91" spans="3:6" x14ac:dyDescent="0.2">
      <c r="C91" s="279"/>
      <c r="D91" s="279"/>
    </row>
    <row r="92" spans="3:6" x14ac:dyDescent="0.2">
      <c r="C92" s="279"/>
      <c r="D92" s="279"/>
    </row>
    <row r="93" spans="3:6" x14ac:dyDescent="0.2">
      <c r="C93" s="279"/>
      <c r="D93" s="279"/>
    </row>
    <row r="94" spans="3:6" x14ac:dyDescent="0.2">
      <c r="C94" s="279"/>
      <c r="D94" s="279"/>
    </row>
    <row r="95" spans="3:6" x14ac:dyDescent="0.2">
      <c r="C95" s="279"/>
      <c r="D95" s="279"/>
    </row>
    <row r="96" spans="3:6" x14ac:dyDescent="0.2">
      <c r="C96" s="279"/>
      <c r="D96" s="279"/>
    </row>
    <row r="97" spans="3:4" x14ac:dyDescent="0.2">
      <c r="C97" s="279"/>
      <c r="D97" s="279"/>
    </row>
    <row r="98" spans="3:4" x14ac:dyDescent="0.2">
      <c r="C98" s="279"/>
    </row>
    <row r="99" spans="3:4" x14ac:dyDescent="0.2">
      <c r="C99" s="279"/>
    </row>
    <row r="100" spans="3:4" x14ac:dyDescent="0.2">
      <c r="C100" s="279"/>
    </row>
    <row r="101" spans="3:4" x14ac:dyDescent="0.2">
      <c r="C101" s="279"/>
    </row>
    <row r="102" spans="3:4" x14ac:dyDescent="0.2">
      <c r="C102" s="279"/>
    </row>
    <row r="103" spans="3:4" x14ac:dyDescent="0.2">
      <c r="C103" s="279"/>
    </row>
    <row r="104" spans="3:4" x14ac:dyDescent="0.2">
      <c r="C104" s="279"/>
    </row>
    <row r="105" spans="3:4" x14ac:dyDescent="0.2">
      <c r="C105" s="279"/>
    </row>
    <row r="106" spans="3:4" x14ac:dyDescent="0.2">
      <c r="C106" s="279"/>
    </row>
    <row r="107" spans="3:4" x14ac:dyDescent="0.2">
      <c r="C107" s="279"/>
    </row>
    <row r="108" spans="3:4" x14ac:dyDescent="0.2">
      <c r="C108" s="279"/>
    </row>
    <row r="109" spans="3:4" x14ac:dyDescent="0.2">
      <c r="C109" s="279"/>
    </row>
    <row r="110" spans="3:4" x14ac:dyDescent="0.2">
      <c r="C110" s="279"/>
    </row>
    <row r="111" spans="3:4" x14ac:dyDescent="0.2">
      <c r="C111" s="279"/>
    </row>
    <row r="112" spans="3:4" x14ac:dyDescent="0.2">
      <c r="C112" s="27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B117"/>
  <sheetViews>
    <sheetView zoomScale="70" zoomScaleNormal="70" workbookViewId="0">
      <selection activeCell="F41" sqref="F4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51.375" style="57" bestFit="1" customWidth="1"/>
    <col min="7" max="7" width="24.25" style="57" customWidth="1"/>
    <col min="8" max="9" width="24.125" style="57" customWidth="1"/>
    <col min="10" max="10" width="24.125" style="18" customWidth="1"/>
    <col min="11" max="11" width="22.875" style="18" bestFit="1" customWidth="1"/>
    <col min="12" max="12" width="10.25" style="366" bestFit="1" customWidth="1"/>
    <col min="13" max="13" width="10.875" style="18" bestFit="1" customWidth="1"/>
    <col min="14" max="15" width="10.875" style="18" customWidth="1"/>
    <col min="16" max="16" width="10.5" style="18" bestFit="1" customWidth="1"/>
    <col min="17" max="17" width="15.25" style="18" customWidth="1"/>
    <col min="18" max="18" width="14.625" style="902" customWidth="1"/>
    <col min="19" max="22" width="9" style="18"/>
    <col min="23" max="23" width="13.125" style="881" customWidth="1"/>
    <col min="24" max="24" width="18" style="18" customWidth="1"/>
    <col min="25" max="25" width="11.375" style="903" bestFit="1" customWidth="1"/>
    <col min="26" max="39" width="9" style="18"/>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106" ht="22.5" customHeight="1" x14ac:dyDescent="0.4">
      <c r="A1" s="58" t="s">
        <v>94</v>
      </c>
      <c r="B1" s="59"/>
      <c r="C1" s="60"/>
      <c r="D1" s="60"/>
      <c r="E1" s="60"/>
      <c r="F1" s="59"/>
      <c r="G1" s="59"/>
      <c r="H1" s="59"/>
      <c r="I1" s="59"/>
      <c r="J1" s="59"/>
      <c r="K1" s="59"/>
      <c r="L1" s="358"/>
      <c r="M1" s="59"/>
      <c r="N1" s="59"/>
      <c r="O1" s="59"/>
      <c r="P1" s="59"/>
      <c r="Q1" s="59"/>
      <c r="R1" s="870"/>
      <c r="S1" s="4"/>
      <c r="T1" s="4"/>
      <c r="U1" s="4"/>
      <c r="V1" s="4"/>
      <c r="W1" s="9"/>
      <c r="X1" s="4"/>
      <c r="Y1" s="871"/>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22.5" customHeight="1" x14ac:dyDescent="0.4">
      <c r="A2" s="58" t="s">
        <v>213</v>
      </c>
      <c r="B2" s="59"/>
      <c r="C2" s="60"/>
      <c r="D2" s="60"/>
      <c r="E2" s="60"/>
      <c r="F2" s="59"/>
      <c r="G2" s="59"/>
      <c r="H2" s="59"/>
      <c r="I2" s="59"/>
      <c r="J2" s="59"/>
      <c r="K2" s="59"/>
      <c r="L2" s="358"/>
      <c r="M2" s="59"/>
      <c r="N2" s="59"/>
      <c r="O2" s="59"/>
      <c r="P2" s="59"/>
      <c r="Q2" s="59"/>
      <c r="R2" s="870"/>
      <c r="S2" s="4"/>
      <c r="T2" s="4"/>
      <c r="U2" s="4"/>
      <c r="V2" s="4"/>
      <c r="W2" s="9"/>
      <c r="X2" s="4"/>
      <c r="Y2" s="871"/>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ht="21.75" hidden="1" customHeight="1" x14ac:dyDescent="0.4">
      <c r="A3" s="58" t="str">
        <f>'[2]August''22 State of Activities'!A3</f>
        <v>Eight Months Ended August 31, 2022 and 2021</v>
      </c>
      <c r="B3" s="59"/>
      <c r="C3" s="60"/>
      <c r="D3" s="60"/>
      <c r="E3" s="60"/>
      <c r="F3" s="59"/>
      <c r="G3" s="59"/>
      <c r="H3" s="59"/>
      <c r="I3" s="59"/>
      <c r="J3" s="59"/>
      <c r="K3" s="59"/>
      <c r="L3" s="358"/>
      <c r="M3" s="59"/>
      <c r="N3" s="59"/>
      <c r="O3" s="59"/>
      <c r="P3" s="59"/>
      <c r="Q3" s="59"/>
      <c r="R3" s="870"/>
      <c r="S3" s="4"/>
      <c r="T3" s="4"/>
      <c r="U3" s="4"/>
      <c r="V3" s="4"/>
      <c r="W3" s="9"/>
      <c r="X3" s="4"/>
      <c r="Y3" s="871"/>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1:106" ht="22.5" customHeight="1" x14ac:dyDescent="0.4">
      <c r="A4" s="58" t="s">
        <v>539</v>
      </c>
      <c r="B4" s="59"/>
      <c r="C4" s="60"/>
      <c r="D4" s="60"/>
      <c r="E4" s="60"/>
      <c r="F4" s="59"/>
      <c r="G4" s="59"/>
      <c r="H4" s="59"/>
      <c r="I4" s="59"/>
      <c r="J4" s="59"/>
      <c r="K4" s="59"/>
      <c r="L4" s="358"/>
      <c r="M4" s="59"/>
      <c r="N4" s="59"/>
      <c r="O4" s="59"/>
      <c r="P4" s="59"/>
      <c r="Q4" s="59"/>
      <c r="R4" s="870"/>
      <c r="S4" s="4"/>
      <c r="T4" s="4"/>
      <c r="U4" s="4"/>
      <c r="V4" s="4"/>
      <c r="W4" s="9"/>
      <c r="X4" s="4"/>
      <c r="Y4" s="871"/>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s="63" customFormat="1" ht="8.25" customHeight="1" thickBot="1" x14ac:dyDescent="0.25">
      <c r="A5" s="61"/>
      <c r="B5" s="61"/>
      <c r="C5" s="61"/>
      <c r="D5" s="61"/>
      <c r="E5" s="61"/>
      <c r="F5" s="61"/>
      <c r="G5" s="61"/>
      <c r="H5" s="61"/>
      <c r="I5" s="61"/>
      <c r="J5" s="62"/>
      <c r="K5" s="320"/>
      <c r="L5" s="359"/>
      <c r="M5" s="62"/>
      <c r="N5" s="62"/>
      <c r="O5" s="62"/>
      <c r="P5" s="62"/>
      <c r="Q5" s="62"/>
      <c r="R5" s="872"/>
      <c r="S5" s="62"/>
      <c r="T5" s="62"/>
      <c r="U5" s="62"/>
      <c r="V5" s="62"/>
      <c r="W5" s="873"/>
      <c r="X5" s="62"/>
      <c r="Y5" s="874"/>
      <c r="Z5" s="62"/>
      <c r="AA5" s="62"/>
      <c r="AB5" s="62"/>
      <c r="AC5" s="62"/>
      <c r="AD5" s="62"/>
      <c r="AE5" s="62"/>
      <c r="AF5" s="62"/>
      <c r="AG5" s="62"/>
      <c r="AH5" s="62"/>
      <c r="AI5" s="62"/>
      <c r="AJ5" s="62"/>
      <c r="AK5" s="62"/>
      <c r="AL5" s="62"/>
      <c r="AM5" s="62"/>
    </row>
    <row r="6" spans="1:106" s="66" customFormat="1" ht="24.75" customHeight="1" thickTop="1" thickBot="1" x14ac:dyDescent="0.25">
      <c r="A6" s="64" t="s">
        <v>108</v>
      </c>
      <c r="B6" s="64"/>
      <c r="C6" s="64"/>
      <c r="D6" s="64"/>
      <c r="E6" s="64"/>
      <c r="F6" s="64"/>
      <c r="G6" s="64"/>
      <c r="H6" s="64"/>
      <c r="I6" s="64"/>
      <c r="J6" s="842"/>
      <c r="K6" s="875"/>
      <c r="L6" s="360"/>
      <c r="M6" s="65"/>
      <c r="N6" s="65"/>
      <c r="O6" s="65"/>
      <c r="P6" s="65"/>
      <c r="Q6" s="65"/>
      <c r="R6" s="876"/>
      <c r="S6" s="65"/>
      <c r="T6" s="65"/>
      <c r="U6" s="65"/>
      <c r="V6" s="65"/>
      <c r="W6" s="877"/>
      <c r="X6" s="65"/>
      <c r="Y6" s="878"/>
      <c r="Z6" s="65"/>
      <c r="AA6" s="65"/>
      <c r="AB6" s="65"/>
      <c r="AC6" s="65"/>
      <c r="AD6" s="65"/>
      <c r="AE6" s="65"/>
      <c r="AF6" s="65"/>
      <c r="AG6" s="65"/>
      <c r="AH6" s="65"/>
      <c r="AI6" s="65"/>
      <c r="AJ6" s="65"/>
      <c r="AK6" s="65"/>
      <c r="AL6" s="65"/>
      <c r="AM6" s="65"/>
    </row>
    <row r="7" spans="1:106" s="68" customFormat="1" ht="8.25" customHeight="1" thickTop="1" x14ac:dyDescent="0.2">
      <c r="A7" s="67"/>
      <c r="B7" s="67"/>
      <c r="C7" s="67"/>
      <c r="D7" s="67"/>
      <c r="E7" s="67"/>
      <c r="F7" s="67"/>
      <c r="G7" s="67"/>
      <c r="H7" s="67"/>
      <c r="I7" s="67"/>
      <c r="L7" s="361"/>
      <c r="R7" s="879"/>
      <c r="W7" s="873"/>
      <c r="Y7" s="878"/>
    </row>
    <row r="8" spans="1:106" s="72" customFormat="1" ht="21" thickBot="1" x14ac:dyDescent="0.35">
      <c r="A8" s="69"/>
      <c r="B8" s="153" t="s">
        <v>100</v>
      </c>
      <c r="C8" s="153"/>
      <c r="D8" s="153"/>
      <c r="E8" s="153"/>
      <c r="F8" s="153"/>
      <c r="G8" s="671">
        <v>43465</v>
      </c>
      <c r="H8" s="671">
        <v>43830</v>
      </c>
      <c r="I8" s="671">
        <v>44196</v>
      </c>
      <c r="J8" s="671">
        <v>44561</v>
      </c>
      <c r="K8" s="671">
        <v>44926</v>
      </c>
      <c r="L8" s="362"/>
      <c r="M8" s="71"/>
      <c r="N8" s="71"/>
      <c r="O8" s="71"/>
      <c r="P8" s="71"/>
      <c r="Q8" s="71"/>
      <c r="R8" s="880"/>
      <c r="S8" s="71"/>
      <c r="T8" s="71"/>
      <c r="U8" s="71"/>
      <c r="V8" s="71"/>
      <c r="W8" s="881"/>
      <c r="X8" s="71"/>
      <c r="Y8" s="882"/>
      <c r="Z8" s="71"/>
      <c r="AA8" s="71"/>
      <c r="AB8" s="71"/>
      <c r="AC8" s="71"/>
      <c r="AD8" s="71"/>
      <c r="AE8" s="71"/>
      <c r="AF8" s="71"/>
      <c r="AG8" s="71"/>
      <c r="AH8" s="71"/>
      <c r="AI8" s="71"/>
      <c r="AJ8" s="71"/>
      <c r="AK8" s="71"/>
      <c r="AL8" s="71"/>
      <c r="AM8" s="71"/>
    </row>
    <row r="9" spans="1:106" s="74" customFormat="1" ht="20.25" x14ac:dyDescent="0.2">
      <c r="A9" s="73"/>
      <c r="B9" s="73"/>
      <c r="C9" s="420" t="s">
        <v>150</v>
      </c>
      <c r="D9" s="420"/>
      <c r="E9" s="420"/>
      <c r="F9" s="73"/>
      <c r="G9" s="326">
        <f>153461+3123</f>
        <v>156584</v>
      </c>
      <c r="H9" s="326">
        <v>158721</v>
      </c>
      <c r="I9" s="326">
        <f>68070.06</f>
        <v>68070.06</v>
      </c>
      <c r="J9" s="326">
        <v>85646.89</v>
      </c>
      <c r="K9" s="326">
        <f>57601.72+8000*2+14508</f>
        <v>88109.72</v>
      </c>
      <c r="L9" s="883"/>
      <c r="M9" s="68"/>
      <c r="N9" s="68"/>
      <c r="O9" s="68"/>
      <c r="P9" s="68"/>
      <c r="Q9" s="68"/>
      <c r="R9" s="879"/>
      <c r="S9" s="68"/>
      <c r="T9" s="68"/>
      <c r="U9" s="68"/>
      <c r="V9" s="68"/>
      <c r="W9" s="873"/>
      <c r="X9" s="68"/>
      <c r="Y9" s="878"/>
      <c r="Z9" s="68"/>
      <c r="AA9" s="68"/>
      <c r="AB9" s="68"/>
      <c r="AC9" s="68"/>
      <c r="AD9" s="68"/>
      <c r="AE9" s="68"/>
      <c r="AF9" s="68"/>
      <c r="AG9" s="68"/>
      <c r="AH9" s="68"/>
      <c r="AI9" s="68"/>
      <c r="AJ9" s="68"/>
      <c r="AK9" s="68"/>
      <c r="AL9" s="68"/>
      <c r="AM9" s="68"/>
    </row>
    <row r="10" spans="1:106" s="74" customFormat="1" ht="20.25" x14ac:dyDescent="0.2">
      <c r="A10" s="73"/>
      <c r="B10" s="73"/>
      <c r="C10" s="420" t="s">
        <v>214</v>
      </c>
      <c r="D10" s="420"/>
      <c r="E10" s="420"/>
      <c r="F10" s="73"/>
      <c r="G10" s="322">
        <v>20332</v>
      </c>
      <c r="H10" s="322">
        <v>12278.42</v>
      </c>
      <c r="I10" s="322">
        <v>16169.1</v>
      </c>
      <c r="J10" s="322">
        <v>34505.879999999997</v>
      </c>
      <c r="K10" s="322">
        <v>13825</v>
      </c>
      <c r="L10" s="883"/>
      <c r="M10" s="68"/>
      <c r="N10" s="68"/>
      <c r="O10" s="68"/>
      <c r="P10" s="68"/>
      <c r="Q10" s="68"/>
      <c r="R10" s="879"/>
      <c r="S10" s="68"/>
      <c r="T10" s="68"/>
      <c r="U10" s="68"/>
      <c r="V10" s="68"/>
      <c r="W10" s="873"/>
      <c r="X10" s="68"/>
      <c r="Y10" s="878"/>
      <c r="Z10" s="68"/>
      <c r="AA10" s="68"/>
      <c r="AB10" s="68"/>
      <c r="AC10" s="68"/>
      <c r="AD10" s="68"/>
      <c r="AE10" s="68"/>
      <c r="AF10" s="68"/>
      <c r="AG10" s="68"/>
      <c r="AH10" s="68"/>
      <c r="AI10" s="68"/>
      <c r="AJ10" s="68"/>
      <c r="AK10" s="68"/>
      <c r="AL10" s="68"/>
      <c r="AM10" s="68"/>
    </row>
    <row r="11" spans="1:106" s="74" customFormat="1" ht="20.25" x14ac:dyDescent="0.2">
      <c r="A11" s="73"/>
      <c r="B11" s="73"/>
      <c r="C11" s="420" t="s">
        <v>390</v>
      </c>
      <c r="D11" s="420"/>
      <c r="E11" s="420"/>
      <c r="F11" s="73"/>
      <c r="G11" s="322"/>
      <c r="H11" s="322">
        <v>10616</v>
      </c>
      <c r="I11" s="322">
        <v>3260</v>
      </c>
      <c r="J11" s="322">
        <v>0</v>
      </c>
      <c r="K11" s="322">
        <f>29668+15301</f>
        <v>44969</v>
      </c>
      <c r="L11" s="883"/>
      <c r="M11" s="68"/>
      <c r="N11" s="68"/>
      <c r="O11" s="68"/>
      <c r="P11" s="68"/>
      <c r="Q11" s="68"/>
      <c r="R11" s="879"/>
      <c r="S11" s="68"/>
      <c r="T11" s="68"/>
      <c r="U11" s="68"/>
      <c r="V11" s="68"/>
      <c r="W11" s="873"/>
      <c r="X11" s="68"/>
      <c r="Y11" s="878"/>
      <c r="Z11" s="68"/>
      <c r="AA11" s="68"/>
      <c r="AB11" s="68"/>
      <c r="AC11" s="68"/>
      <c r="AD11" s="68"/>
      <c r="AE11" s="68"/>
      <c r="AF11" s="68"/>
      <c r="AG11" s="68"/>
      <c r="AH11" s="68"/>
      <c r="AI11" s="68"/>
      <c r="AJ11" s="68"/>
      <c r="AK11" s="68"/>
      <c r="AL11" s="68"/>
      <c r="AM11" s="68"/>
    </row>
    <row r="12" spans="1:106" s="74" customFormat="1" ht="20.25" x14ac:dyDescent="0.2">
      <c r="A12" s="73"/>
      <c r="B12" s="73"/>
      <c r="C12" s="420" t="s">
        <v>102</v>
      </c>
      <c r="D12" s="420"/>
      <c r="E12" s="420"/>
      <c r="F12" s="73"/>
      <c r="G12" s="322"/>
      <c r="H12" s="322"/>
      <c r="I12" s="322"/>
      <c r="J12" s="322"/>
      <c r="K12" s="322"/>
      <c r="L12" s="883"/>
      <c r="M12" s="68"/>
      <c r="N12" s="68"/>
      <c r="O12" s="68"/>
      <c r="P12" s="68"/>
      <c r="Q12" s="68"/>
      <c r="R12" s="879"/>
      <c r="S12" s="68"/>
      <c r="T12" s="68"/>
      <c r="U12" s="68"/>
      <c r="V12" s="68"/>
      <c r="W12" s="873"/>
      <c r="X12" s="68"/>
      <c r="Y12" s="878"/>
      <c r="Z12" s="68"/>
      <c r="AA12" s="68"/>
      <c r="AB12" s="68"/>
      <c r="AC12" s="68"/>
      <c r="AD12" s="68"/>
      <c r="AE12" s="68"/>
      <c r="AF12" s="68"/>
      <c r="AG12" s="68"/>
      <c r="AH12" s="68"/>
      <c r="AI12" s="68"/>
      <c r="AJ12" s="68"/>
      <c r="AK12" s="68"/>
      <c r="AL12" s="68"/>
      <c r="AM12" s="68"/>
    </row>
    <row r="13" spans="1:106" s="74" customFormat="1" ht="20.25" x14ac:dyDescent="0.2">
      <c r="A13" s="73"/>
      <c r="B13" s="73"/>
      <c r="C13" s="77"/>
      <c r="D13" s="420" t="s">
        <v>215</v>
      </c>
      <c r="E13" s="420"/>
      <c r="F13" s="73"/>
      <c r="G13" s="322">
        <v>42500</v>
      </c>
      <c r="H13" s="322">
        <v>44499.96</v>
      </c>
      <c r="I13" s="322">
        <f>3750*12</f>
        <v>45000</v>
      </c>
      <c r="J13" s="322">
        <v>45500</v>
      </c>
      <c r="K13" s="322">
        <v>46000</v>
      </c>
      <c r="L13" s="884"/>
      <c r="M13" s="468"/>
      <c r="N13" s="468"/>
      <c r="O13" s="468"/>
      <c r="P13" s="468"/>
      <c r="Q13" s="68"/>
      <c r="R13" s="879"/>
      <c r="S13" s="68"/>
      <c r="T13" s="68"/>
      <c r="U13" s="68"/>
      <c r="V13" s="68"/>
      <c r="W13" s="873"/>
      <c r="X13" s="68"/>
      <c r="Y13" s="878"/>
      <c r="Z13" s="68"/>
      <c r="AA13" s="68"/>
      <c r="AB13" s="68"/>
      <c r="AC13" s="68"/>
      <c r="AD13" s="68"/>
      <c r="AE13" s="68"/>
      <c r="AF13" s="68"/>
      <c r="AG13" s="68"/>
      <c r="AH13" s="68"/>
      <c r="AI13" s="68"/>
      <c r="AJ13" s="68"/>
      <c r="AK13" s="68"/>
      <c r="AL13" s="68"/>
      <c r="AM13" s="68"/>
    </row>
    <row r="14" spans="1:106" s="74" customFormat="1" ht="20.25" x14ac:dyDescent="0.2">
      <c r="A14" s="73"/>
      <c r="B14" s="73"/>
      <c r="C14" s="77"/>
      <c r="D14" s="420" t="s">
        <v>159</v>
      </c>
      <c r="E14" s="420"/>
      <c r="F14" s="73"/>
      <c r="G14" s="322">
        <v>9000</v>
      </c>
      <c r="H14" s="322">
        <v>13000</v>
      </c>
      <c r="I14" s="322">
        <v>18000</v>
      </c>
      <c r="J14" s="322">
        <v>18000</v>
      </c>
      <c r="K14" s="322">
        <v>18000</v>
      </c>
      <c r="L14" s="883"/>
      <c r="M14" s="470"/>
      <c r="N14" s="470"/>
      <c r="O14" s="470"/>
      <c r="P14" s="79"/>
      <c r="Q14" s="68"/>
      <c r="R14" s="879"/>
      <c r="S14" s="68"/>
      <c r="T14" s="68"/>
      <c r="U14" s="68"/>
      <c r="V14" s="68"/>
      <c r="W14" s="873"/>
      <c r="X14" s="68"/>
      <c r="Y14" s="878"/>
      <c r="Z14" s="68"/>
      <c r="AA14" s="68"/>
      <c r="AB14" s="68"/>
      <c r="AC14" s="68"/>
      <c r="AD14" s="68"/>
      <c r="AE14" s="68"/>
      <c r="AF14" s="68"/>
      <c r="AG14" s="68"/>
      <c r="AH14" s="68"/>
      <c r="AI14" s="68"/>
      <c r="AJ14" s="68"/>
      <c r="AK14" s="68"/>
      <c r="AL14" s="68"/>
      <c r="AM14" s="68"/>
    </row>
    <row r="15" spans="1:106" s="74" customFormat="1" ht="20.25" x14ac:dyDescent="0.2">
      <c r="A15" s="73"/>
      <c r="B15" s="73"/>
      <c r="C15" s="420" t="s">
        <v>103</v>
      </c>
      <c r="D15" s="420"/>
      <c r="E15" s="420"/>
      <c r="F15" s="73"/>
      <c r="G15" s="322">
        <v>12796</v>
      </c>
      <c r="H15" s="322">
        <v>13071.46</v>
      </c>
      <c r="I15" s="322">
        <v>12695.06</v>
      </c>
      <c r="J15" s="322">
        <v>17445.740000000002</v>
      </c>
      <c r="K15" s="322">
        <v>17500</v>
      </c>
      <c r="L15" s="883"/>
      <c r="M15" s="470"/>
      <c r="N15" s="470"/>
      <c r="O15" s="470"/>
      <c r="P15" s="361"/>
      <c r="Q15" s="68"/>
      <c r="R15" s="879"/>
      <c r="S15" s="68"/>
      <c r="T15" s="68"/>
      <c r="U15" s="68"/>
      <c r="V15" s="68"/>
      <c r="W15" s="873"/>
      <c r="X15" s="68"/>
      <c r="Y15" s="878"/>
      <c r="Z15" s="68"/>
      <c r="AA15" s="68"/>
      <c r="AB15" s="68"/>
      <c r="AC15" s="68"/>
      <c r="AD15" s="68"/>
      <c r="AE15" s="68"/>
      <c r="AF15" s="68"/>
      <c r="AG15" s="68"/>
      <c r="AH15" s="68"/>
      <c r="AI15" s="68"/>
      <c r="AJ15" s="68"/>
      <c r="AK15" s="68"/>
      <c r="AL15" s="68"/>
      <c r="AM15" s="68"/>
    </row>
    <row r="16" spans="1:106" s="74" customFormat="1" ht="20.25" x14ac:dyDescent="0.2">
      <c r="A16" s="73"/>
      <c r="B16" s="73"/>
      <c r="C16" s="420" t="s">
        <v>540</v>
      </c>
      <c r="D16" s="420"/>
      <c r="E16" s="420"/>
      <c r="F16" s="73"/>
      <c r="G16" s="322">
        <f>25000</f>
        <v>25000</v>
      </c>
      <c r="H16" s="322">
        <v>71886</v>
      </c>
      <c r="I16" s="322">
        <v>77911.459999999992</v>
      </c>
      <c r="J16" s="322">
        <v>80378.48</v>
      </c>
      <c r="K16" s="322">
        <v>34118</v>
      </c>
      <c r="L16" s="883"/>
      <c r="M16" s="470"/>
      <c r="N16" s="470"/>
      <c r="O16" s="470"/>
      <c r="P16" s="361"/>
      <c r="Q16" s="68"/>
      <c r="R16" s="879"/>
      <c r="S16" s="68"/>
      <c r="T16" s="68"/>
      <c r="U16" s="68"/>
      <c r="V16" s="68"/>
      <c r="W16" s="873"/>
      <c r="X16" s="68"/>
      <c r="Y16" s="878"/>
      <c r="Z16" s="68"/>
      <c r="AA16" s="68"/>
      <c r="AB16" s="68"/>
      <c r="AC16" s="68"/>
      <c r="AD16" s="68"/>
      <c r="AE16" s="68"/>
      <c r="AF16" s="68"/>
      <c r="AG16" s="68"/>
      <c r="AH16" s="68"/>
      <c r="AI16" s="68"/>
      <c r="AJ16" s="68"/>
      <c r="AK16" s="68"/>
      <c r="AL16" s="68"/>
      <c r="AM16" s="68"/>
    </row>
    <row r="17" spans="1:39" s="74" customFormat="1" ht="20.25" x14ac:dyDescent="0.2">
      <c r="A17" s="73"/>
      <c r="B17" s="73"/>
      <c r="C17" s="420" t="s">
        <v>350</v>
      </c>
      <c r="D17" s="420"/>
      <c r="E17" s="420"/>
      <c r="F17" s="73"/>
      <c r="G17" s="322">
        <f>659</f>
        <v>659</v>
      </c>
      <c r="H17" s="322">
        <v>7946</v>
      </c>
      <c r="I17" s="322">
        <v>255.74</v>
      </c>
      <c r="J17" s="322">
        <v>3312.47</v>
      </c>
      <c r="K17" s="322">
        <v>180</v>
      </c>
      <c r="L17" s="883"/>
      <c r="M17" s="470"/>
      <c r="N17" s="470"/>
      <c r="O17" s="470"/>
      <c r="P17" s="361"/>
      <c r="Q17" s="68"/>
      <c r="R17" s="879"/>
      <c r="S17" s="68"/>
      <c r="T17" s="68"/>
      <c r="U17" s="68"/>
      <c r="V17" s="68"/>
      <c r="W17" s="873"/>
      <c r="X17" s="68"/>
      <c r="Y17" s="878"/>
      <c r="Z17" s="68"/>
      <c r="AA17" s="68"/>
      <c r="AB17" s="68"/>
      <c r="AC17" s="68"/>
      <c r="AD17" s="68"/>
      <c r="AE17" s="68"/>
      <c r="AF17" s="68"/>
      <c r="AG17" s="68"/>
      <c r="AH17" s="68"/>
      <c r="AI17" s="68"/>
      <c r="AJ17" s="68"/>
      <c r="AK17" s="68"/>
      <c r="AL17" s="68"/>
      <c r="AM17" s="68"/>
    </row>
    <row r="18" spans="1:39" s="74" customFormat="1" ht="21" thickBot="1" x14ac:dyDescent="0.25">
      <c r="A18" s="73"/>
      <c r="B18" s="73"/>
      <c r="C18" s="420" t="s">
        <v>217</v>
      </c>
      <c r="D18" s="420"/>
      <c r="E18" s="420"/>
      <c r="F18" s="73"/>
      <c r="G18" s="265">
        <v>9315</v>
      </c>
      <c r="H18" s="265">
        <v>9315</v>
      </c>
      <c r="I18" s="265">
        <v>9315</v>
      </c>
      <c r="J18" s="265">
        <v>10548</v>
      </c>
      <c r="K18" s="265">
        <v>10548</v>
      </c>
      <c r="L18" s="883"/>
      <c r="M18" s="68"/>
      <c r="N18" s="68"/>
      <c r="O18" s="68"/>
      <c r="P18" s="68"/>
      <c r="S18" s="68"/>
      <c r="T18" s="68"/>
      <c r="U18" s="68"/>
      <c r="V18" s="68"/>
      <c r="W18" s="873"/>
      <c r="X18" s="68"/>
      <c r="Y18" s="878"/>
      <c r="Z18" s="68"/>
      <c r="AA18" s="68"/>
      <c r="AB18" s="68"/>
      <c r="AC18" s="68"/>
      <c r="AD18" s="68"/>
      <c r="AE18" s="68"/>
      <c r="AF18" s="68"/>
      <c r="AG18" s="68"/>
      <c r="AH18" s="68"/>
      <c r="AI18" s="68"/>
      <c r="AJ18" s="68"/>
      <c r="AK18" s="68"/>
      <c r="AL18" s="68"/>
      <c r="AM18" s="68"/>
    </row>
    <row r="19" spans="1:39" s="74" customFormat="1" ht="20.25" x14ac:dyDescent="0.2">
      <c r="A19" s="73"/>
      <c r="B19" s="73"/>
      <c r="C19" s="420"/>
      <c r="D19" s="73" t="s">
        <v>105</v>
      </c>
      <c r="E19" s="420"/>
      <c r="F19" s="73"/>
      <c r="G19" s="264">
        <f>SUM(G9:G18)</f>
        <v>276186</v>
      </c>
      <c r="H19" s="264">
        <f>SUM(H9:H18)</f>
        <v>341333.83999999997</v>
      </c>
      <c r="I19" s="264">
        <f>SUM(I9:I18)</f>
        <v>250676.41999999998</v>
      </c>
      <c r="J19" s="264">
        <f>SUM(J9:J18)</f>
        <v>295337.45999999996</v>
      </c>
      <c r="K19" s="264">
        <f>SUM(K9:K18)</f>
        <v>273249.71999999997</v>
      </c>
      <c r="L19" s="883"/>
      <c r="M19" s="68"/>
      <c r="N19" s="68"/>
      <c r="O19" s="68"/>
      <c r="P19" s="68"/>
      <c r="S19" s="68"/>
      <c r="T19" s="68"/>
      <c r="U19" s="68"/>
      <c r="V19" s="68"/>
      <c r="W19" s="873"/>
      <c r="X19" s="68"/>
      <c r="Y19" s="878"/>
      <c r="Z19" s="68"/>
      <c r="AA19" s="68"/>
      <c r="AB19" s="68"/>
      <c r="AC19" s="68"/>
      <c r="AD19" s="68"/>
      <c r="AE19" s="68"/>
      <c r="AF19" s="68"/>
      <c r="AG19" s="68"/>
      <c r="AH19" s="68"/>
      <c r="AI19" s="68"/>
      <c r="AJ19" s="68"/>
      <c r="AK19" s="68"/>
      <c r="AL19" s="68"/>
      <c r="AM19" s="68"/>
    </row>
    <row r="20" spans="1:39" s="74" customFormat="1" ht="20.25" x14ac:dyDescent="0.2">
      <c r="A20" s="73"/>
      <c r="B20" s="73"/>
      <c r="C20" s="73" t="s">
        <v>218</v>
      </c>
      <c r="D20" s="420"/>
      <c r="E20" s="420"/>
      <c r="F20" s="73"/>
      <c r="G20" s="322">
        <v>19000</v>
      </c>
      <c r="H20" s="322">
        <v>19000</v>
      </c>
      <c r="I20" s="322">
        <v>19000</v>
      </c>
      <c r="J20" s="322">
        <v>18500</v>
      </c>
      <c r="K20" s="322">
        <f>13333/8*12</f>
        <v>19999.5</v>
      </c>
      <c r="L20" s="883"/>
      <c r="M20" s="68"/>
      <c r="N20" s="68"/>
      <c r="O20" s="68"/>
      <c r="P20" s="68"/>
      <c r="Q20" s="68"/>
      <c r="R20" s="879"/>
      <c r="S20" s="68"/>
      <c r="T20" s="68"/>
      <c r="U20" s="68"/>
      <c r="V20" s="68"/>
      <c r="W20" s="873"/>
      <c r="X20" s="68"/>
      <c r="Y20" s="878"/>
      <c r="Z20" s="68"/>
      <c r="AA20" s="68"/>
      <c r="AB20" s="68"/>
      <c r="AC20" s="68"/>
      <c r="AD20" s="68"/>
      <c r="AE20" s="68"/>
      <c r="AF20" s="68"/>
      <c r="AG20" s="68"/>
      <c r="AH20" s="68"/>
      <c r="AI20" s="68"/>
      <c r="AJ20" s="68"/>
      <c r="AK20" s="68"/>
      <c r="AL20" s="68"/>
      <c r="AM20" s="68"/>
    </row>
    <row r="21" spans="1:39" s="74" customFormat="1" ht="21" thickBot="1" x14ac:dyDescent="0.25">
      <c r="A21" s="73"/>
      <c r="B21" s="73"/>
      <c r="C21" s="73" t="s">
        <v>219</v>
      </c>
      <c r="D21" s="420"/>
      <c r="E21" s="420"/>
      <c r="F21" s="73"/>
      <c r="G21" s="265">
        <v>37641</v>
      </c>
      <c r="H21" s="265">
        <v>37834</v>
      </c>
      <c r="I21" s="265">
        <v>34669.31</v>
      </c>
      <c r="J21" s="265">
        <v>26400.720000000001</v>
      </c>
      <c r="K21" s="265">
        <v>43300</v>
      </c>
      <c r="L21" s="883"/>
      <c r="M21" s="68"/>
      <c r="N21" s="68"/>
      <c r="O21" s="68"/>
      <c r="P21" s="68"/>
      <c r="Q21" s="68"/>
      <c r="R21" s="879"/>
      <c r="S21" s="68"/>
      <c r="T21" s="68"/>
      <c r="U21" s="68"/>
      <c r="V21" s="68"/>
      <c r="W21" s="873"/>
      <c r="X21" s="68"/>
      <c r="Y21" s="878"/>
      <c r="Z21" s="68"/>
      <c r="AA21" s="68"/>
      <c r="AB21" s="68"/>
      <c r="AC21" s="68"/>
      <c r="AD21" s="68"/>
      <c r="AE21" s="68"/>
      <c r="AF21" s="68"/>
      <c r="AG21" s="68"/>
      <c r="AH21" s="68"/>
      <c r="AI21" s="68"/>
      <c r="AJ21" s="68"/>
      <c r="AK21" s="68"/>
      <c r="AL21" s="68"/>
      <c r="AM21" s="68"/>
    </row>
    <row r="22" spans="1:39" s="74" customFormat="1" ht="20.25" x14ac:dyDescent="0.2">
      <c r="A22" s="73"/>
      <c r="B22" s="73"/>
      <c r="C22" s="420"/>
      <c r="D22" s="73" t="s">
        <v>107</v>
      </c>
      <c r="E22" s="420"/>
      <c r="F22" s="73"/>
      <c r="G22" s="264">
        <f>SUM(G19:G21)</f>
        <v>332827</v>
      </c>
      <c r="H22" s="264">
        <f>SUM(H19:H21)</f>
        <v>398167.83999999997</v>
      </c>
      <c r="I22" s="264">
        <f>SUM(I19:I21)</f>
        <v>304345.73</v>
      </c>
      <c r="J22" s="264">
        <f>SUM(J19:J21)</f>
        <v>340238.17999999993</v>
      </c>
      <c r="K22" s="264">
        <f>SUM(K19:K21)</f>
        <v>336549.22</v>
      </c>
      <c r="L22" s="883"/>
      <c r="M22" s="68"/>
      <c r="N22" s="68"/>
      <c r="O22" s="68"/>
      <c r="P22" s="68"/>
      <c r="Q22" s="68"/>
      <c r="R22" s="879"/>
      <c r="S22" s="68"/>
      <c r="T22" s="68"/>
      <c r="U22" s="68"/>
      <c r="V22" s="68"/>
      <c r="W22" s="873"/>
      <c r="X22" s="68"/>
      <c r="Y22" s="878"/>
      <c r="Z22" s="68"/>
      <c r="AA22" s="68"/>
      <c r="AB22" s="68"/>
      <c r="AC22" s="68"/>
      <c r="AD22" s="68"/>
      <c r="AE22" s="68"/>
      <c r="AF22" s="68"/>
      <c r="AG22" s="68"/>
      <c r="AH22" s="68"/>
      <c r="AI22" s="68"/>
      <c r="AJ22" s="68"/>
      <c r="AK22" s="68"/>
      <c r="AL22" s="68"/>
      <c r="AM22" s="68"/>
    </row>
    <row r="23" spans="1:39" s="74" customFormat="1" ht="20.25" x14ac:dyDescent="0.2">
      <c r="A23" s="73"/>
      <c r="B23" s="73"/>
      <c r="C23" s="420"/>
      <c r="D23" s="73"/>
      <c r="E23" s="420"/>
      <c r="F23" s="73" t="s">
        <v>541</v>
      </c>
      <c r="G23" s="264"/>
      <c r="H23" s="264">
        <v>-46886</v>
      </c>
      <c r="I23" s="264"/>
      <c r="J23" s="264"/>
      <c r="K23" s="264"/>
      <c r="L23" s="361"/>
      <c r="M23" s="68"/>
      <c r="N23" s="68"/>
      <c r="O23" s="68"/>
      <c r="P23" s="68"/>
      <c r="Q23" s="68"/>
      <c r="R23" s="879"/>
      <c r="S23" s="68"/>
      <c r="T23" s="68"/>
      <c r="U23" s="68"/>
      <c r="V23" s="68"/>
      <c r="W23" s="873"/>
      <c r="X23" s="68"/>
      <c r="Y23" s="878"/>
      <c r="Z23" s="68"/>
      <c r="AA23" s="68"/>
      <c r="AB23" s="68"/>
      <c r="AC23" s="68"/>
      <c r="AD23" s="68"/>
      <c r="AE23" s="68"/>
      <c r="AF23" s="68"/>
      <c r="AG23" s="68"/>
      <c r="AH23" s="68"/>
      <c r="AI23" s="68"/>
      <c r="AJ23" s="68"/>
      <c r="AK23" s="68"/>
      <c r="AL23" s="68"/>
      <c r="AM23" s="68"/>
    </row>
    <row r="24" spans="1:39" s="74" customFormat="1" ht="20.25" x14ac:dyDescent="0.2">
      <c r="A24" s="73"/>
      <c r="B24" s="73"/>
      <c r="C24" s="420"/>
      <c r="D24" s="73" t="s">
        <v>542</v>
      </c>
      <c r="E24" s="420"/>
      <c r="F24" s="73"/>
      <c r="G24" s="264"/>
      <c r="H24" s="264">
        <f>SUM(H22:H23)</f>
        <v>351281.83999999997</v>
      </c>
      <c r="I24" s="264"/>
      <c r="J24" s="264"/>
      <c r="K24" s="264"/>
      <c r="L24" s="361"/>
      <c r="M24" s="68"/>
      <c r="N24" s="68"/>
      <c r="O24" s="68"/>
      <c r="P24" s="68"/>
      <c r="Q24" s="68"/>
      <c r="R24" s="879"/>
      <c r="S24" s="68"/>
      <c r="T24" s="68"/>
      <c r="U24" s="68"/>
      <c r="V24" s="68"/>
      <c r="W24" s="873"/>
      <c r="X24" s="68"/>
      <c r="Y24" s="878"/>
      <c r="Z24" s="68"/>
      <c r="AA24" s="68"/>
      <c r="AB24" s="68"/>
      <c r="AC24" s="68"/>
      <c r="AD24" s="68"/>
      <c r="AE24" s="68"/>
      <c r="AF24" s="68"/>
      <c r="AG24" s="68"/>
      <c r="AH24" s="68"/>
      <c r="AI24" s="68"/>
      <c r="AJ24" s="68"/>
      <c r="AK24" s="68"/>
      <c r="AL24" s="68"/>
      <c r="AM24" s="68"/>
    </row>
    <row r="25" spans="1:39" s="74" customFormat="1" ht="20.25" x14ac:dyDescent="0.2">
      <c r="A25" s="73"/>
      <c r="B25" s="73"/>
      <c r="C25" s="420"/>
      <c r="D25" s="73"/>
      <c r="E25" s="420"/>
      <c r="F25" s="73"/>
      <c r="G25" s="73"/>
      <c r="H25" s="73"/>
      <c r="I25" s="73"/>
      <c r="J25" s="594"/>
      <c r="K25" s="594"/>
      <c r="L25" s="361"/>
      <c r="M25" s="68"/>
      <c r="N25" s="68"/>
      <c r="O25" s="68"/>
      <c r="P25" s="68"/>
      <c r="Q25" s="68"/>
      <c r="R25" s="879"/>
      <c r="S25" s="68"/>
      <c r="T25" s="68"/>
      <c r="U25" s="68"/>
      <c r="V25" s="68"/>
      <c r="W25" s="873"/>
      <c r="X25" s="68"/>
      <c r="Y25" s="878"/>
      <c r="Z25" s="68"/>
      <c r="AA25" s="68"/>
      <c r="AB25" s="68"/>
      <c r="AC25" s="68"/>
      <c r="AD25" s="68"/>
      <c r="AE25" s="68"/>
      <c r="AF25" s="68"/>
      <c r="AG25" s="68"/>
      <c r="AH25" s="68"/>
      <c r="AI25" s="68"/>
      <c r="AJ25" s="68"/>
      <c r="AK25" s="68"/>
      <c r="AL25" s="68"/>
      <c r="AM25" s="68"/>
    </row>
    <row r="26" spans="1:39" s="74" customFormat="1" ht="21" thickBot="1" x14ac:dyDescent="0.25">
      <c r="A26" s="73"/>
      <c r="B26" s="87" t="s">
        <v>111</v>
      </c>
      <c r="C26" s="87"/>
      <c r="D26" s="87"/>
      <c r="E26" s="87"/>
      <c r="F26" s="87"/>
      <c r="G26" s="67"/>
      <c r="H26" s="67"/>
      <c r="I26" s="67"/>
      <c r="J26" s="368"/>
      <c r="K26" s="368"/>
      <c r="L26" s="361"/>
      <c r="M26" s="68"/>
      <c r="N26" s="68"/>
      <c r="O26" s="68"/>
      <c r="P26" s="68"/>
      <c r="Q26" s="68"/>
      <c r="R26" s="879"/>
      <c r="S26" s="68"/>
      <c r="T26" s="68"/>
      <c r="U26" s="68"/>
      <c r="V26" s="68"/>
      <c r="W26" s="873"/>
      <c r="X26" s="68"/>
      <c r="Y26" s="878"/>
      <c r="Z26" s="68"/>
      <c r="AA26" s="68"/>
      <c r="AB26" s="68"/>
      <c r="AC26" s="68"/>
      <c r="AD26" s="68"/>
      <c r="AE26" s="68"/>
      <c r="AF26" s="68"/>
      <c r="AG26" s="68"/>
      <c r="AH26" s="68"/>
      <c r="AI26" s="68"/>
      <c r="AJ26" s="68"/>
      <c r="AK26" s="68"/>
      <c r="AL26" s="68"/>
      <c r="AM26" s="68"/>
    </row>
    <row r="27" spans="1:39" s="68" customFormat="1" ht="20.25" x14ac:dyDescent="0.2">
      <c r="A27" s="67"/>
      <c r="B27" s="67"/>
      <c r="C27" s="79" t="s">
        <v>220</v>
      </c>
      <c r="D27" s="79"/>
      <c r="E27" s="79"/>
      <c r="F27" s="79"/>
      <c r="G27" s="79"/>
      <c r="H27" s="79"/>
      <c r="I27" s="79"/>
      <c r="J27" s="399"/>
      <c r="K27" s="399"/>
      <c r="L27" s="361"/>
      <c r="R27" s="879"/>
      <c r="W27" s="873"/>
      <c r="Y27" s="878"/>
    </row>
    <row r="28" spans="1:39" s="68" customFormat="1" ht="20.25" x14ac:dyDescent="0.2">
      <c r="A28" s="67"/>
      <c r="B28" s="67"/>
      <c r="C28" s="79"/>
      <c r="D28" s="979" t="s">
        <v>221</v>
      </c>
      <c r="E28" s="979"/>
      <c r="F28" s="979"/>
      <c r="G28" s="848">
        <v>146508</v>
      </c>
      <c r="H28" s="848">
        <v>162253.75</v>
      </c>
      <c r="I28" s="848">
        <v>133830.65</v>
      </c>
      <c r="J28" s="848">
        <v>155035.70000000001</v>
      </c>
      <c r="K28" s="848">
        <v>203000</v>
      </c>
      <c r="L28" s="883" t="s">
        <v>543</v>
      </c>
      <c r="R28" s="879"/>
      <c r="W28" s="873"/>
      <c r="Y28" s="878"/>
    </row>
    <row r="29" spans="1:39" s="68" customFormat="1" ht="20.25" x14ac:dyDescent="0.2">
      <c r="A29" s="67"/>
      <c r="B29" s="67"/>
      <c r="C29" s="79"/>
      <c r="D29" s="979" t="s">
        <v>222</v>
      </c>
      <c r="E29" s="979"/>
      <c r="F29" s="979"/>
      <c r="G29" s="322">
        <v>59928</v>
      </c>
      <c r="H29" s="322">
        <f>37966.12+23862.63+605.03+106.59</f>
        <v>62540.369999999995</v>
      </c>
      <c r="I29" s="322">
        <f>44061.17+21220.39</f>
        <v>65281.56</v>
      </c>
      <c r="J29" s="322">
        <f>43631.85+27917.65</f>
        <v>71549.5</v>
      </c>
      <c r="K29" s="322">
        <f>49205+29027</f>
        <v>78232</v>
      </c>
      <c r="L29" s="883"/>
      <c r="M29" s="341"/>
      <c r="R29" s="879"/>
      <c r="W29" s="873"/>
      <c r="Y29" s="878"/>
    </row>
    <row r="30" spans="1:39" s="68" customFormat="1" ht="20.25" x14ac:dyDescent="0.2">
      <c r="A30" s="67"/>
      <c r="B30" s="67"/>
      <c r="C30" s="79"/>
      <c r="D30" s="979" t="s">
        <v>113</v>
      </c>
      <c r="E30" s="979"/>
      <c r="F30" s="979"/>
      <c r="G30" s="322">
        <v>39636</v>
      </c>
      <c r="H30" s="322">
        <v>42279.58</v>
      </c>
      <c r="I30" s="322">
        <v>36601</v>
      </c>
      <c r="J30" s="322">
        <f>J28*0.213+J29*0.14</f>
        <v>43039.534100000004</v>
      </c>
      <c r="K30" s="322">
        <f>K28*0.213+K29*0.14</f>
        <v>54191.48</v>
      </c>
      <c r="L30" s="883"/>
      <c r="M30" s="341"/>
      <c r="N30" s="341"/>
      <c r="P30" s="341"/>
      <c r="R30" s="879"/>
      <c r="W30" s="873"/>
      <c r="Y30" s="878"/>
    </row>
    <row r="31" spans="1:39" s="68" customFormat="1" ht="20.25" x14ac:dyDescent="0.2">
      <c r="A31" s="67"/>
      <c r="B31" s="67"/>
      <c r="C31" s="79" t="s">
        <v>278</v>
      </c>
      <c r="D31" s="79"/>
      <c r="E31" s="79"/>
      <c r="F31" s="79"/>
      <c r="G31" s="771"/>
      <c r="H31" s="771"/>
      <c r="I31" s="771"/>
      <c r="J31" s="771"/>
      <c r="K31" s="771"/>
      <c r="L31" s="883"/>
      <c r="R31" s="879"/>
      <c r="W31" s="873"/>
      <c r="Y31" s="878"/>
    </row>
    <row r="32" spans="1:39" s="68" customFormat="1" ht="20.25" x14ac:dyDescent="0.2">
      <c r="A32" s="67"/>
      <c r="B32" s="67"/>
      <c r="C32" s="79"/>
      <c r="D32" s="979" t="s">
        <v>223</v>
      </c>
      <c r="E32" s="979"/>
      <c r="F32" s="979"/>
      <c r="G32" s="848">
        <v>27184</v>
      </c>
      <c r="H32" s="848">
        <v>25472.83</v>
      </c>
      <c r="I32" s="848">
        <v>15135.29</v>
      </c>
      <c r="J32" s="848">
        <v>25112.19</v>
      </c>
      <c r="K32" s="848">
        <v>38000</v>
      </c>
      <c r="L32" s="883" t="s">
        <v>543</v>
      </c>
      <c r="R32" s="879"/>
      <c r="W32" s="873"/>
      <c r="Y32" s="878"/>
    </row>
    <row r="33" spans="1:25" s="68" customFormat="1" ht="20.25" x14ac:dyDescent="0.2">
      <c r="A33" s="67"/>
      <c r="B33" s="67"/>
      <c r="C33" s="79"/>
      <c r="D33" s="979" t="s">
        <v>224</v>
      </c>
      <c r="E33" s="979"/>
      <c r="F33" s="979"/>
      <c r="G33" s="322">
        <v>15511</v>
      </c>
      <c r="H33" s="322">
        <v>17989.87</v>
      </c>
      <c r="I33" s="322">
        <v>22636.98</v>
      </c>
      <c r="J33" s="322">
        <v>23957.25</v>
      </c>
      <c r="K33" s="322">
        <f>24654.76+600</f>
        <v>25254.76</v>
      </c>
      <c r="L33" s="883"/>
      <c r="R33" s="879"/>
      <c r="W33" s="873"/>
      <c r="Y33" s="878"/>
    </row>
    <row r="34" spans="1:25" s="68" customFormat="1" ht="20.25" x14ac:dyDescent="0.2">
      <c r="A34" s="67"/>
      <c r="B34" s="67"/>
      <c r="C34" s="79"/>
      <c r="D34" s="979" t="s">
        <v>304</v>
      </c>
      <c r="E34" s="979"/>
      <c r="F34" s="979"/>
      <c r="G34" s="848">
        <v>12450</v>
      </c>
      <c r="H34" s="848">
        <v>16090.9</v>
      </c>
      <c r="I34" s="848">
        <v>11030.88</v>
      </c>
      <c r="J34" s="848">
        <v>19504.66</v>
      </c>
      <c r="K34" s="848">
        <v>8800</v>
      </c>
      <c r="L34" s="883" t="s">
        <v>543</v>
      </c>
      <c r="R34" s="879"/>
      <c r="W34" s="873"/>
      <c r="Y34" s="878"/>
    </row>
    <row r="35" spans="1:25" s="68" customFormat="1" ht="20.25" x14ac:dyDescent="0.2">
      <c r="A35" s="67"/>
      <c r="B35" s="67"/>
      <c r="C35" s="79"/>
      <c r="D35" s="979" t="s">
        <v>225</v>
      </c>
      <c r="E35" s="979"/>
      <c r="F35" s="979"/>
      <c r="G35" s="322">
        <v>377</v>
      </c>
      <c r="H35" s="322">
        <v>1427.75</v>
      </c>
      <c r="I35" s="322">
        <v>397</v>
      </c>
      <c r="J35" s="322">
        <v>663</v>
      </c>
      <c r="K35" s="322">
        <v>750</v>
      </c>
      <c r="L35" s="883"/>
      <c r="R35" s="879"/>
      <c r="W35" s="873"/>
      <c r="Y35" s="878"/>
    </row>
    <row r="36" spans="1:25" s="68" customFormat="1" ht="20.25" x14ac:dyDescent="0.2">
      <c r="A36" s="67"/>
      <c r="B36" s="67"/>
      <c r="C36" s="79" t="s">
        <v>513</v>
      </c>
      <c r="D36" s="79"/>
      <c r="E36" s="79"/>
      <c r="F36" s="79"/>
      <c r="G36" s="322">
        <v>25080</v>
      </c>
      <c r="H36" s="322">
        <f>22438.68+1591</f>
        <v>24029.68</v>
      </c>
      <c r="I36" s="322">
        <f>29909+1860</f>
        <v>31769</v>
      </c>
      <c r="J36" s="322">
        <f>1903+28481</f>
        <v>30384</v>
      </c>
      <c r="K36" s="322">
        <f>20556/8*12</f>
        <v>30834</v>
      </c>
      <c r="L36" s="883"/>
      <c r="R36" s="879"/>
      <c r="W36" s="873"/>
      <c r="Y36" s="878"/>
    </row>
    <row r="37" spans="1:25" s="68" customFormat="1" ht="20.25" x14ac:dyDescent="0.2">
      <c r="A37" s="67"/>
      <c r="B37" s="67"/>
      <c r="C37" s="79" t="s">
        <v>104</v>
      </c>
      <c r="D37" s="79"/>
      <c r="E37" s="79"/>
      <c r="F37" s="79"/>
      <c r="G37" s="322">
        <f>G18</f>
        <v>9315</v>
      </c>
      <c r="H37" s="322">
        <f>H18</f>
        <v>9315</v>
      </c>
      <c r="I37" s="322">
        <f>I18</f>
        <v>9315</v>
      </c>
      <c r="J37" s="322">
        <f>J18</f>
        <v>10548</v>
      </c>
      <c r="K37" s="322">
        <f>K18</f>
        <v>10548</v>
      </c>
      <c r="L37" s="883"/>
      <c r="R37" s="879"/>
      <c r="W37" s="873"/>
      <c r="Y37" s="878"/>
    </row>
    <row r="38" spans="1:25" s="68" customFormat="1" ht="20.25" x14ac:dyDescent="0.2">
      <c r="A38" s="67"/>
      <c r="B38" s="67"/>
      <c r="C38" s="79" t="s">
        <v>313</v>
      </c>
      <c r="D38" s="79"/>
      <c r="E38" s="79"/>
      <c r="F38" s="79"/>
      <c r="G38" s="322">
        <v>4075</v>
      </c>
      <c r="H38" s="322">
        <v>4497</v>
      </c>
      <c r="I38" s="322">
        <v>4682.25</v>
      </c>
      <c r="J38" s="322">
        <v>4231.88</v>
      </c>
      <c r="K38" s="322">
        <f>3948.9+400+400</f>
        <v>4748.8999999999996</v>
      </c>
      <c r="L38" s="883"/>
      <c r="R38" s="879"/>
      <c r="W38" s="873"/>
      <c r="Y38" s="878"/>
    </row>
    <row r="39" spans="1:25" s="68" customFormat="1" ht="20.25" x14ac:dyDescent="0.2">
      <c r="A39" s="67"/>
      <c r="B39" s="67"/>
      <c r="C39" s="79" t="s">
        <v>227</v>
      </c>
      <c r="D39" s="79"/>
      <c r="E39" s="79"/>
      <c r="F39" s="79"/>
      <c r="G39" s="322">
        <v>1496</v>
      </c>
      <c r="H39" s="322">
        <f>75+874</f>
        <v>949</v>
      </c>
      <c r="I39" s="322">
        <v>982</v>
      </c>
      <c r="J39" s="322">
        <f>99+937</f>
        <v>1036</v>
      </c>
      <c r="K39" s="322">
        <v>1314</v>
      </c>
      <c r="L39" s="883"/>
      <c r="R39" s="879"/>
      <c r="W39" s="873"/>
      <c r="Y39" s="878"/>
    </row>
    <row r="40" spans="1:25" s="68" customFormat="1" ht="20.25" x14ac:dyDescent="0.2">
      <c r="A40" s="67"/>
      <c r="B40" s="67"/>
      <c r="C40" s="79" t="s">
        <v>383</v>
      </c>
      <c r="D40" s="79"/>
      <c r="E40" s="79"/>
      <c r="F40" s="79"/>
      <c r="G40" s="322">
        <v>3430</v>
      </c>
      <c r="H40" s="322">
        <v>4436.1400000000003</v>
      </c>
      <c r="I40" s="322">
        <v>7774.44</v>
      </c>
      <c r="J40" s="322">
        <f>7884.62+184.74</f>
        <v>8069.36</v>
      </c>
      <c r="K40" s="322">
        <v>8600</v>
      </c>
      <c r="L40" s="883"/>
      <c r="R40" s="879"/>
      <c r="W40" s="873"/>
      <c r="Y40" s="878"/>
    </row>
    <row r="41" spans="1:25" s="68" customFormat="1" ht="20.25" x14ac:dyDescent="0.2">
      <c r="A41" s="67"/>
      <c r="B41" s="67"/>
      <c r="C41" s="79" t="s">
        <v>228</v>
      </c>
      <c r="D41" s="79"/>
      <c r="E41" s="79"/>
      <c r="F41" s="79"/>
      <c r="G41" s="322">
        <v>459</v>
      </c>
      <c r="H41" s="322">
        <f>223.01+568.51</f>
        <v>791.52</v>
      </c>
      <c r="I41" s="322">
        <v>636.94000000000005</v>
      </c>
      <c r="J41" s="322">
        <f>958.23+28.31+10.3+36.4+4907.37</f>
        <v>5940.61</v>
      </c>
      <c r="K41" s="322">
        <v>1811</v>
      </c>
      <c r="L41" s="883"/>
      <c r="R41" s="879"/>
      <c r="W41" s="873"/>
      <c r="Y41" s="878"/>
    </row>
    <row r="42" spans="1:25" s="68" customFormat="1" ht="20.25" x14ac:dyDescent="0.2">
      <c r="A42" s="67"/>
      <c r="B42" s="67"/>
      <c r="C42" s="79" t="s">
        <v>122</v>
      </c>
      <c r="D42" s="79"/>
      <c r="E42" s="79"/>
      <c r="F42" s="79"/>
      <c r="G42" s="322">
        <v>1041</v>
      </c>
      <c r="H42" s="322">
        <v>1826.56</v>
      </c>
      <c r="I42" s="322">
        <v>2528.2399999999998</v>
      </c>
      <c r="J42" s="322">
        <v>3426.72</v>
      </c>
      <c r="K42" s="322">
        <f>235.23+4801.81</f>
        <v>5037.04</v>
      </c>
      <c r="L42" s="883"/>
      <c r="R42" s="879"/>
      <c r="W42" s="873"/>
      <c r="Y42" s="878"/>
    </row>
    <row r="43" spans="1:25" s="68" customFormat="1" ht="20.25" x14ac:dyDescent="0.2">
      <c r="A43" s="67"/>
      <c r="B43" s="67"/>
      <c r="C43" s="79" t="s">
        <v>120</v>
      </c>
      <c r="D43" s="79"/>
      <c r="E43" s="79"/>
      <c r="F43" s="79"/>
      <c r="G43" s="322">
        <v>436</v>
      </c>
      <c r="H43" s="322">
        <v>396.82</v>
      </c>
      <c r="I43" s="322">
        <v>385.18</v>
      </c>
      <c r="J43" s="322">
        <v>420.52</v>
      </c>
      <c r="K43" s="322">
        <f>421/10*12+125</f>
        <v>630.20000000000005</v>
      </c>
      <c r="L43" s="883"/>
      <c r="R43" s="879"/>
      <c r="W43" s="873"/>
      <c r="Y43" s="878"/>
    </row>
    <row r="44" spans="1:25" s="68" customFormat="1" ht="20.25" hidden="1" x14ac:dyDescent="0.2">
      <c r="A44" s="67"/>
      <c r="B44" s="67"/>
      <c r="C44" s="79" t="s">
        <v>229</v>
      </c>
      <c r="D44" s="79"/>
      <c r="E44" s="79"/>
      <c r="F44" s="79"/>
      <c r="G44" s="322"/>
      <c r="H44" s="322"/>
      <c r="I44" s="322"/>
      <c r="J44" s="322"/>
      <c r="K44" s="322"/>
      <c r="L44" s="883"/>
      <c r="R44" s="879"/>
      <c r="W44" s="873"/>
      <c r="Y44" s="878"/>
    </row>
    <row r="45" spans="1:25" s="76" customFormat="1" ht="20.25" x14ac:dyDescent="0.2">
      <c r="A45" s="79"/>
      <c r="B45" s="79"/>
      <c r="C45" s="79" t="s">
        <v>116</v>
      </c>
      <c r="D45" s="79"/>
      <c r="E45" s="79"/>
      <c r="F45" s="79"/>
      <c r="G45" s="322">
        <v>205</v>
      </c>
      <c r="H45" s="322">
        <v>422.62</v>
      </c>
      <c r="I45" s="322">
        <v>265.58</v>
      </c>
      <c r="J45" s="322">
        <v>225.92</v>
      </c>
      <c r="K45" s="322">
        <f>226/8*12</f>
        <v>339</v>
      </c>
      <c r="L45" s="665"/>
      <c r="R45" s="885"/>
      <c r="W45" s="886"/>
      <c r="Y45" s="878"/>
    </row>
    <row r="46" spans="1:25" s="76" customFormat="1" ht="20.25" x14ac:dyDescent="0.2">
      <c r="A46" s="79"/>
      <c r="B46" s="79"/>
      <c r="C46" s="79" t="s">
        <v>230</v>
      </c>
      <c r="D46" s="79"/>
      <c r="E46" s="79"/>
      <c r="F46" s="79"/>
      <c r="G46" s="398">
        <v>542</v>
      </c>
      <c r="H46" s="398">
        <f>248.22+18.56+28.25+5</f>
        <v>300.02999999999997</v>
      </c>
      <c r="I46" s="398">
        <v>938.98</v>
      </c>
      <c r="J46" s="398">
        <f>292.24+4514.12-J38+84.23</f>
        <v>658.70999999999958</v>
      </c>
      <c r="K46" s="398">
        <v>225</v>
      </c>
      <c r="L46" s="665"/>
      <c r="R46" s="885"/>
      <c r="W46" s="886"/>
      <c r="Y46" s="878"/>
    </row>
    <row r="47" spans="1:25" s="68" customFormat="1" ht="21" thickBot="1" x14ac:dyDescent="0.25">
      <c r="A47" s="67"/>
      <c r="B47" s="67"/>
      <c r="C47" s="67"/>
      <c r="D47" s="73" t="s">
        <v>128</v>
      </c>
      <c r="E47" s="67"/>
      <c r="F47" s="67"/>
      <c r="G47" s="465">
        <f>SUM(G28:G46)</f>
        <v>347673</v>
      </c>
      <c r="H47" s="465">
        <f>SUM(H28:H46)</f>
        <v>375019.4200000001</v>
      </c>
      <c r="I47" s="465">
        <f>SUM(I28:I46)</f>
        <v>344190.97</v>
      </c>
      <c r="J47" s="465">
        <f>SUM(J28:J46)</f>
        <v>403803.55409999995</v>
      </c>
      <c r="K47" s="465">
        <f>SUM(K28:K46)</f>
        <v>472315.38</v>
      </c>
      <c r="L47" s="883"/>
      <c r="R47" s="879"/>
      <c r="W47" s="873"/>
      <c r="Y47" s="878"/>
    </row>
    <row r="48" spans="1:25" s="68" customFormat="1" ht="21" thickBot="1" x14ac:dyDescent="0.25">
      <c r="A48" s="67"/>
      <c r="B48" s="67"/>
      <c r="C48" s="67"/>
      <c r="D48" s="67" t="s">
        <v>129</v>
      </c>
      <c r="E48" s="67"/>
      <c r="F48" s="67"/>
      <c r="G48" s="466">
        <f>G22-G47</f>
        <v>-14846</v>
      </c>
      <c r="H48" s="466">
        <f>H22-H47</f>
        <v>23148.419999999867</v>
      </c>
      <c r="I48" s="466">
        <f>I22-I47</f>
        <v>-39845.239999999991</v>
      </c>
      <c r="J48" s="466">
        <f>J22-J47</f>
        <v>-63565.374100000015</v>
      </c>
      <c r="K48" s="466">
        <f>K22-K47</f>
        <v>-135766.16000000003</v>
      </c>
      <c r="L48" s="361"/>
      <c r="R48" s="879"/>
      <c r="W48" s="873"/>
      <c r="Y48" s="878"/>
    </row>
    <row r="49" spans="1:25" s="68" customFormat="1" ht="20.25" x14ac:dyDescent="0.2">
      <c r="A49" s="67"/>
      <c r="B49" s="67"/>
      <c r="C49" s="67"/>
      <c r="D49" s="67"/>
      <c r="E49" s="67"/>
      <c r="F49" s="67"/>
      <c r="G49" s="67"/>
      <c r="H49" s="67"/>
      <c r="I49" s="322"/>
      <c r="J49" s="322"/>
      <c r="K49" s="322"/>
      <c r="L49" s="361"/>
      <c r="R49" s="879"/>
      <c r="W49" s="873"/>
      <c r="Y49" s="878"/>
    </row>
    <row r="50" spans="1:25" s="65" customFormat="1" ht="26.25" x14ac:dyDescent="0.2">
      <c r="A50" s="268"/>
      <c r="B50" s="268"/>
      <c r="C50" s="79" t="s">
        <v>265</v>
      </c>
      <c r="E50" s="79"/>
      <c r="F50" s="79"/>
      <c r="G50" s="887"/>
      <c r="H50" s="887">
        <f>-69500</f>
        <v>-69500</v>
      </c>
      <c r="I50" s="79"/>
      <c r="J50" s="322"/>
      <c r="K50" s="322"/>
      <c r="L50" s="360"/>
      <c r="R50" s="876"/>
      <c r="W50" s="877"/>
      <c r="Y50" s="878"/>
    </row>
    <row r="51" spans="1:25" s="68" customFormat="1" ht="20.25" x14ac:dyDescent="0.2">
      <c r="A51" s="67"/>
      <c r="B51" s="67"/>
      <c r="C51" s="79" t="s">
        <v>472</v>
      </c>
      <c r="E51" s="67"/>
      <c r="G51" s="322">
        <f>G36</f>
        <v>25080</v>
      </c>
      <c r="H51" s="322">
        <f>H36</f>
        <v>24029.68</v>
      </c>
      <c r="I51" s="322">
        <f>I36</f>
        <v>31769</v>
      </c>
      <c r="J51" s="322">
        <f>J36</f>
        <v>30384</v>
      </c>
      <c r="K51" s="322">
        <f>K36</f>
        <v>30834</v>
      </c>
      <c r="L51" s="361"/>
      <c r="R51" s="879"/>
      <c r="W51" s="873"/>
      <c r="Y51" s="878"/>
    </row>
    <row r="52" spans="1:25" s="68" customFormat="1" ht="24" thickBot="1" x14ac:dyDescent="0.25">
      <c r="A52" s="67"/>
      <c r="B52" s="396"/>
      <c r="C52" s="67"/>
      <c r="D52" s="982" t="s">
        <v>232</v>
      </c>
      <c r="E52" s="982"/>
      <c r="F52" s="982"/>
      <c r="G52" s="467">
        <f>G48+G50+G51</f>
        <v>10234</v>
      </c>
      <c r="H52" s="467">
        <f>H48+H50+H51</f>
        <v>-22321.900000000132</v>
      </c>
      <c r="I52" s="467">
        <f>I48+I50+I51</f>
        <v>-8076.2399999999907</v>
      </c>
      <c r="J52" s="467">
        <f>J48+J50+J51</f>
        <v>-33181.374100000015</v>
      </c>
      <c r="K52" s="467">
        <f>K48+K50+K51</f>
        <v>-104932.16000000003</v>
      </c>
      <c r="L52" s="361"/>
      <c r="R52" s="879"/>
      <c r="W52" s="873"/>
      <c r="Y52" s="878"/>
    </row>
    <row r="53" spans="1:25" s="68" customFormat="1" ht="42" customHeight="1" thickTop="1" x14ac:dyDescent="0.2">
      <c r="A53" s="67"/>
      <c r="B53" s="67"/>
      <c r="C53" s="67"/>
      <c r="D53" s="67"/>
      <c r="E53" s="67"/>
      <c r="F53" s="67"/>
      <c r="G53" s="67"/>
      <c r="H53" s="67"/>
      <c r="I53" s="67"/>
      <c r="J53" s="322"/>
      <c r="K53" s="322"/>
      <c r="L53" s="361"/>
      <c r="R53" s="879"/>
      <c r="W53" s="873"/>
      <c r="Y53" s="878"/>
    </row>
    <row r="54" spans="1:25" s="76" customFormat="1" ht="20.25" x14ac:dyDescent="0.2">
      <c r="A54" s="79"/>
      <c r="B54" s="79"/>
      <c r="C54" s="79"/>
      <c r="D54" s="79"/>
      <c r="F54" s="79" t="s">
        <v>309</v>
      </c>
      <c r="G54" s="322">
        <v>225930</v>
      </c>
      <c r="H54" s="322">
        <v>227723</v>
      </c>
      <c r="I54" s="322">
        <v>178666</v>
      </c>
      <c r="J54" s="322">
        <v>206080</v>
      </c>
      <c r="K54" s="322">
        <v>226000</v>
      </c>
      <c r="L54" s="665"/>
      <c r="R54" s="885"/>
      <c r="W54" s="886"/>
      <c r="Y54" s="878"/>
    </row>
    <row r="55" spans="1:25" s="76" customFormat="1" ht="21" thickBot="1" x14ac:dyDescent="0.25">
      <c r="A55" s="79"/>
      <c r="B55" s="79"/>
      <c r="C55" s="79"/>
      <c r="D55" s="79"/>
      <c r="F55" s="79" t="s">
        <v>314</v>
      </c>
      <c r="G55" s="611">
        <f>(G47-G36-G37)/G54</f>
        <v>1.386615323330235</v>
      </c>
      <c r="H55" s="611">
        <f>(H47-H36-H37)/H54</f>
        <v>1.5003962709080774</v>
      </c>
      <c r="I55" s="611">
        <f>(I47-I36-I37)/I54</f>
        <v>1.6965005653006167</v>
      </c>
      <c r="J55" s="611">
        <f>(J47-J36-J37)/J54</f>
        <v>1.7608285816187885</v>
      </c>
      <c r="K55" s="611">
        <f>(K47-K36-K37)/K54</f>
        <v>1.9067848672566372</v>
      </c>
      <c r="L55" s="665"/>
      <c r="R55" s="885"/>
      <c r="W55" s="886"/>
      <c r="Y55" s="878"/>
    </row>
    <row r="56" spans="1:25" s="76" customFormat="1" ht="20.25" x14ac:dyDescent="0.2">
      <c r="A56" s="79"/>
      <c r="B56" s="79"/>
      <c r="C56" s="79"/>
      <c r="D56" s="79"/>
      <c r="F56" s="79"/>
      <c r="G56" s="79"/>
      <c r="H56" s="322"/>
      <c r="I56" s="322"/>
      <c r="J56" s="322"/>
      <c r="K56" s="322"/>
      <c r="L56" s="665"/>
      <c r="R56" s="885"/>
      <c r="W56" s="886"/>
      <c r="Y56" s="878"/>
    </row>
    <row r="57" spans="1:25" s="76" customFormat="1" ht="20.25" x14ac:dyDescent="0.2">
      <c r="A57" s="79"/>
      <c r="B57" s="79"/>
      <c r="C57" s="79"/>
      <c r="D57" s="79"/>
      <c r="F57" s="79" t="s">
        <v>310</v>
      </c>
      <c r="G57" s="322">
        <v>15755</v>
      </c>
      <c r="H57" s="322">
        <v>16457</v>
      </c>
      <c r="I57" s="322">
        <v>10151</v>
      </c>
      <c r="J57" s="322">
        <v>10428</v>
      </c>
      <c r="K57" s="322">
        <v>11740</v>
      </c>
      <c r="L57" s="665"/>
      <c r="R57" s="885"/>
      <c r="W57" s="886"/>
      <c r="Y57" s="878"/>
    </row>
    <row r="58" spans="1:25" s="76" customFormat="1" ht="21" thickBot="1" x14ac:dyDescent="0.25">
      <c r="A58" s="79"/>
      <c r="B58" s="79"/>
      <c r="C58" s="79"/>
      <c r="D58" s="79"/>
      <c r="F58" s="79" t="s">
        <v>372</v>
      </c>
      <c r="G58" s="611">
        <f>(G47-G36-G37)/G57</f>
        <v>19.884354173278325</v>
      </c>
      <c r="H58" s="611">
        <f>(H47-H36-H37)/H57</f>
        <v>20.761666160296535</v>
      </c>
      <c r="I58" s="611">
        <f>(I47-I36-I37)/I57</f>
        <v>29.859813811447147</v>
      </c>
      <c r="J58" s="611">
        <f>(J47-J36-J37)/J57</f>
        <v>34.797809177215186</v>
      </c>
      <c r="K58" s="611">
        <f>(K47-K36-K37)/K57</f>
        <v>36.706420783645655</v>
      </c>
      <c r="L58" s="665"/>
      <c r="R58" s="885"/>
      <c r="W58" s="886"/>
      <c r="Y58" s="878"/>
    </row>
    <row r="59" spans="1:25" s="76" customFormat="1" ht="20.25" x14ac:dyDescent="0.2">
      <c r="A59" s="79"/>
      <c r="B59" s="79"/>
      <c r="C59" s="79"/>
      <c r="D59" s="79"/>
      <c r="F59" s="79"/>
      <c r="G59" s="79"/>
      <c r="H59" s="322"/>
      <c r="I59" s="322"/>
      <c r="J59" s="322"/>
      <c r="K59" s="322"/>
      <c r="L59" s="665"/>
      <c r="R59" s="885"/>
      <c r="W59" s="886"/>
      <c r="Y59" s="878"/>
    </row>
    <row r="60" spans="1:25" s="76" customFormat="1" ht="20.25" hidden="1" x14ac:dyDescent="0.2">
      <c r="A60" s="79"/>
      <c r="B60" s="79"/>
      <c r="C60" s="67"/>
      <c r="D60" s="79"/>
      <c r="F60" s="79" t="s">
        <v>311</v>
      </c>
      <c r="G60" s="79"/>
      <c r="H60" s="322">
        <v>2102</v>
      </c>
      <c r="I60" s="322">
        <v>2696</v>
      </c>
      <c r="J60" s="322">
        <v>2714</v>
      </c>
      <c r="K60" s="322">
        <v>2714</v>
      </c>
      <c r="L60" s="665"/>
      <c r="R60" s="885"/>
      <c r="W60" s="886"/>
      <c r="Y60" s="878"/>
    </row>
    <row r="61" spans="1:25" s="76" customFormat="1" ht="21" hidden="1" thickBot="1" x14ac:dyDescent="0.25">
      <c r="A61" s="79"/>
      <c r="B61" s="79"/>
      <c r="C61" s="79"/>
      <c r="D61" s="79"/>
      <c r="E61" s="79"/>
      <c r="F61" s="79" t="s">
        <v>373</v>
      </c>
      <c r="G61" s="79"/>
      <c r="H61" s="611">
        <f>H10/H60</f>
        <v>5.8413035204567079</v>
      </c>
      <c r="I61" s="611">
        <f>I9/I60</f>
        <v>25.248538575667656</v>
      </c>
      <c r="J61" s="611">
        <f>J9/J60</f>
        <v>31.557439204126752</v>
      </c>
      <c r="K61" s="611">
        <f>K9/K60</f>
        <v>32.464893146647015</v>
      </c>
      <c r="L61" s="665"/>
      <c r="R61" s="885"/>
      <c r="W61" s="886"/>
      <c r="Y61" s="878"/>
    </row>
    <row r="62" spans="1:25" s="76" customFormat="1" ht="20.25" hidden="1" x14ac:dyDescent="0.2">
      <c r="A62" s="79"/>
      <c r="B62" s="79"/>
      <c r="C62" s="67"/>
      <c r="D62" s="67"/>
      <c r="I62" s="322"/>
      <c r="J62" s="322"/>
      <c r="K62" s="322"/>
      <c r="L62" s="665"/>
      <c r="R62" s="885"/>
      <c r="W62" s="886"/>
      <c r="Y62" s="878"/>
    </row>
    <row r="63" spans="1:25" s="76" customFormat="1" ht="20.25" hidden="1" x14ac:dyDescent="0.2">
      <c r="A63" s="79"/>
      <c r="B63" s="79"/>
      <c r="C63" s="79"/>
      <c r="D63" s="79"/>
      <c r="E63" s="79"/>
      <c r="F63" s="79" t="s">
        <v>544</v>
      </c>
      <c r="G63" s="79"/>
      <c r="H63" s="232">
        <v>195138</v>
      </c>
      <c r="I63" s="232">
        <v>104281</v>
      </c>
      <c r="J63" s="232">
        <v>114885</v>
      </c>
      <c r="K63" s="232">
        <v>134000</v>
      </c>
      <c r="L63" s="665"/>
      <c r="R63" s="885"/>
      <c r="W63" s="886"/>
      <c r="Y63" s="878"/>
    </row>
    <row r="64" spans="1:25" s="76" customFormat="1" ht="21" hidden="1" thickBot="1" x14ac:dyDescent="0.25">
      <c r="A64" s="79"/>
      <c r="B64" s="79"/>
      <c r="C64" s="79"/>
      <c r="D64" s="79"/>
      <c r="E64" s="79"/>
      <c r="F64" s="79" t="s">
        <v>314</v>
      </c>
      <c r="G64" s="79"/>
      <c r="H64" s="888">
        <f>(H47-H36-H37)/H63</f>
        <v>1.7509390277649668</v>
      </c>
      <c r="I64" s="888">
        <f>(I47-I36-I37)/I63</f>
        <v>2.9066365876813607</v>
      </c>
      <c r="J64" s="888">
        <f>(J47-J36-J37)/J63</f>
        <v>3.1585633816425118</v>
      </c>
      <c r="K64" s="888">
        <f>(K47-K36-K37)/K63</f>
        <v>3.2159207462686568</v>
      </c>
      <c r="L64" s="665"/>
      <c r="R64" s="885"/>
      <c r="W64" s="886"/>
      <c r="Y64" s="878"/>
    </row>
    <row r="65" spans="1:25" s="76" customFormat="1" ht="20.25" hidden="1" x14ac:dyDescent="0.2">
      <c r="A65" s="79"/>
      <c r="B65" s="79"/>
      <c r="C65" s="67"/>
      <c r="D65" s="79"/>
      <c r="F65" s="79"/>
      <c r="G65" s="79"/>
      <c r="H65" s="79"/>
      <c r="I65" s="232"/>
      <c r="J65" s="232"/>
      <c r="K65" s="232"/>
      <c r="L65" s="665"/>
      <c r="R65" s="885"/>
      <c r="W65" s="886"/>
      <c r="Y65" s="878"/>
    </row>
    <row r="66" spans="1:25" s="76" customFormat="1" ht="20.25" hidden="1" x14ac:dyDescent="0.2">
      <c r="A66" s="79"/>
      <c r="B66" s="79"/>
      <c r="C66" s="67"/>
      <c r="D66" s="79"/>
      <c r="F66" s="79" t="s">
        <v>544</v>
      </c>
      <c r="G66" s="79"/>
      <c r="H66" s="232">
        <v>195138</v>
      </c>
      <c r="I66" s="232">
        <v>104281</v>
      </c>
      <c r="J66" s="232">
        <v>114885</v>
      </c>
      <c r="K66" s="232">
        <f>K63</f>
        <v>134000</v>
      </c>
      <c r="L66" s="665"/>
      <c r="R66" s="885"/>
      <c r="W66" s="886"/>
      <c r="Y66" s="878"/>
    </row>
    <row r="67" spans="1:25" s="76" customFormat="1" ht="20.25" hidden="1" x14ac:dyDescent="0.2">
      <c r="A67" s="79"/>
      <c r="B67" s="79"/>
      <c r="C67" s="67"/>
      <c r="D67" s="79"/>
      <c r="F67" s="79" t="s">
        <v>310</v>
      </c>
      <c r="G67" s="79"/>
      <c r="H67" s="322">
        <v>16457</v>
      </c>
      <c r="I67" s="322">
        <v>10151</v>
      </c>
      <c r="J67" s="322">
        <v>10428</v>
      </c>
      <c r="K67" s="322">
        <f>K57</f>
        <v>11740</v>
      </c>
      <c r="L67" s="665"/>
      <c r="R67" s="885"/>
      <c r="W67" s="886"/>
      <c r="Y67" s="878"/>
    </row>
    <row r="68" spans="1:25" s="76" customFormat="1" ht="21" hidden="1" thickBot="1" x14ac:dyDescent="0.25">
      <c r="A68" s="79"/>
      <c r="B68" s="79"/>
      <c r="C68" s="79"/>
      <c r="D68" s="79"/>
      <c r="E68" s="79"/>
      <c r="F68" s="79" t="s">
        <v>545</v>
      </c>
      <c r="G68" s="79"/>
      <c r="H68" s="889">
        <f>H66/H67</f>
        <v>11.857446679224646</v>
      </c>
      <c r="I68" s="889">
        <f>I66/I67</f>
        <v>10.272978031721014</v>
      </c>
      <c r="J68" s="889">
        <f>J66/J67</f>
        <v>11.016973532796317</v>
      </c>
      <c r="K68" s="889">
        <f>K66/K67</f>
        <v>11.41396933560477</v>
      </c>
      <c r="L68" s="665"/>
      <c r="R68" s="885"/>
      <c r="W68" s="886"/>
      <c r="Y68" s="878"/>
    </row>
    <row r="69" spans="1:25" s="68" customFormat="1" ht="20.25" hidden="1" x14ac:dyDescent="0.2">
      <c r="A69" s="67"/>
      <c r="B69" s="67"/>
      <c r="C69" s="67"/>
      <c r="D69" s="67"/>
      <c r="E69" s="67"/>
      <c r="F69" s="67"/>
      <c r="G69" s="67"/>
      <c r="H69" s="67"/>
      <c r="I69" s="237"/>
      <c r="J69" s="237"/>
      <c r="K69" s="237"/>
      <c r="L69" s="883"/>
      <c r="R69" s="879"/>
      <c r="W69" s="873"/>
      <c r="X69" s="76"/>
      <c r="Y69" s="878"/>
    </row>
    <row r="70" spans="1:25" s="68" customFormat="1" ht="20.25" hidden="1" x14ac:dyDescent="0.2">
      <c r="A70" s="67"/>
      <c r="B70" s="67"/>
      <c r="C70" s="67"/>
      <c r="D70" s="67"/>
      <c r="E70" s="67"/>
      <c r="F70" s="79" t="s">
        <v>546</v>
      </c>
      <c r="G70" s="79"/>
      <c r="H70" s="322">
        <v>227723</v>
      </c>
      <c r="I70" s="232">
        <v>178666</v>
      </c>
      <c r="J70" s="232">
        <v>206080</v>
      </c>
      <c r="K70" s="232">
        <f>K54</f>
        <v>226000</v>
      </c>
      <c r="L70" s="883"/>
      <c r="R70" s="879"/>
      <c r="W70" s="873"/>
      <c r="Y70" s="878"/>
    </row>
    <row r="71" spans="1:25" s="68" customFormat="1" ht="20.25" hidden="1" x14ac:dyDescent="0.2">
      <c r="A71" s="67"/>
      <c r="B71" s="67"/>
      <c r="C71" s="67"/>
      <c r="D71" s="67"/>
      <c r="E71" s="67"/>
      <c r="F71" s="79" t="s">
        <v>310</v>
      </c>
      <c r="G71" s="79"/>
      <c r="H71" s="322">
        <v>16457</v>
      </c>
      <c r="I71" s="322">
        <v>10151</v>
      </c>
      <c r="J71" s="322">
        <v>10428</v>
      </c>
      <c r="K71" s="322">
        <f>K57</f>
        <v>11740</v>
      </c>
      <c r="L71" s="883"/>
      <c r="R71" s="879"/>
      <c r="W71" s="873"/>
      <c r="Y71" s="878"/>
    </row>
    <row r="72" spans="1:25" s="68" customFormat="1" ht="21" hidden="1" thickBot="1" x14ac:dyDescent="0.25">
      <c r="A72" s="67"/>
      <c r="B72" s="67"/>
      <c r="C72" s="67"/>
      <c r="D72" s="67"/>
      <c r="E72" s="67"/>
      <c r="F72" s="79" t="s">
        <v>547</v>
      </c>
      <c r="G72" s="79"/>
      <c r="H72" s="889">
        <f>H70/H71</f>
        <v>13.837455186242936</v>
      </c>
      <c r="I72" s="889">
        <f>I70/I71</f>
        <v>17.600827504679341</v>
      </c>
      <c r="J72" s="889">
        <f>J70/J71</f>
        <v>19.762178749520523</v>
      </c>
      <c r="K72" s="889">
        <f>K70/K71</f>
        <v>19.250425894378193</v>
      </c>
      <c r="L72" s="883"/>
      <c r="R72" s="879"/>
      <c r="W72" s="873"/>
      <c r="Y72" s="878"/>
    </row>
    <row r="73" spans="1:25" s="68" customFormat="1" ht="20.25" hidden="1" x14ac:dyDescent="0.2">
      <c r="A73" s="67"/>
      <c r="B73" s="67"/>
      <c r="C73" s="67"/>
      <c r="D73" s="67"/>
      <c r="E73" s="67"/>
      <c r="F73" s="79"/>
      <c r="G73" s="79"/>
      <c r="H73" s="890"/>
      <c r="I73" s="890"/>
      <c r="J73" s="890"/>
      <c r="K73" s="890"/>
      <c r="L73" s="883"/>
      <c r="R73" s="879"/>
      <c r="W73" s="873"/>
      <c r="Y73" s="878"/>
    </row>
    <row r="74" spans="1:25" s="68" customFormat="1" ht="20.25" hidden="1" x14ac:dyDescent="0.2">
      <c r="A74" s="67"/>
      <c r="B74" s="67"/>
      <c r="C74" s="67"/>
      <c r="D74" s="67"/>
      <c r="E74" s="67"/>
      <c r="F74" s="891" t="s">
        <v>548</v>
      </c>
      <c r="G74" s="891"/>
      <c r="H74" s="67"/>
      <c r="I74" s="67"/>
      <c r="J74" s="237"/>
      <c r="K74" s="237"/>
      <c r="L74" s="883"/>
      <c r="R74" s="879"/>
      <c r="W74" s="873"/>
      <c r="Y74" s="878"/>
    </row>
    <row r="75" spans="1:25" s="68" customFormat="1" ht="20.25" hidden="1" x14ac:dyDescent="0.2">
      <c r="A75" s="67"/>
      <c r="B75" s="67"/>
      <c r="C75" s="67"/>
      <c r="D75" s="67"/>
      <c r="E75" s="67"/>
      <c r="F75" s="67" t="s">
        <v>549</v>
      </c>
      <c r="G75" s="67"/>
      <c r="H75" s="892">
        <f t="shared" ref="H75:J75" si="0">H28+(H28*0.21)+H32+H34</f>
        <v>237890.76749999999</v>
      </c>
      <c r="I75" s="892">
        <f t="shared" si="0"/>
        <v>188101.25649999999</v>
      </c>
      <c r="J75" s="892">
        <f t="shared" si="0"/>
        <v>232210.04700000002</v>
      </c>
      <c r="K75" s="892">
        <f>K28+(K28*0.2)+K32+K34</f>
        <v>290400</v>
      </c>
      <c r="L75" s="893"/>
      <c r="R75" s="879"/>
      <c r="W75" s="873"/>
      <c r="Y75" s="878"/>
    </row>
    <row r="76" spans="1:25" s="68" customFormat="1" ht="23.25" hidden="1" x14ac:dyDescent="0.2">
      <c r="A76" s="67"/>
      <c r="B76" s="271"/>
      <c r="C76" s="67"/>
      <c r="D76" s="67"/>
      <c r="E76" s="67"/>
      <c r="F76" s="67" t="s">
        <v>550</v>
      </c>
      <c r="G76" s="67"/>
      <c r="H76" s="237">
        <f>H47-H75-H77</f>
        <v>103783.97250000012</v>
      </c>
      <c r="I76" s="237">
        <f>I47-I75-I77</f>
        <v>115005.71349999998</v>
      </c>
      <c r="J76" s="237">
        <f>J47-J75-J77</f>
        <v>130661.50709999993</v>
      </c>
      <c r="K76" s="237">
        <f>K47-K75-K77</f>
        <v>140533.38</v>
      </c>
      <c r="L76" s="893"/>
      <c r="R76" s="879"/>
      <c r="W76" s="873"/>
      <c r="Y76" s="878"/>
    </row>
    <row r="77" spans="1:25" s="76" customFormat="1" ht="20.25" hidden="1" x14ac:dyDescent="0.2">
      <c r="A77" s="79"/>
      <c r="B77" s="79"/>
      <c r="D77" s="79"/>
      <c r="E77" s="79"/>
      <c r="F77" s="67" t="s">
        <v>551</v>
      </c>
      <c r="G77" s="67"/>
      <c r="H77" s="237">
        <f>H36+H37</f>
        <v>33344.68</v>
      </c>
      <c r="I77" s="237">
        <f>I36+I37</f>
        <v>41084</v>
      </c>
      <c r="J77" s="237">
        <f>J36+J37</f>
        <v>40932</v>
      </c>
      <c r="K77" s="237">
        <f>K36+K37</f>
        <v>41382</v>
      </c>
      <c r="L77" s="893"/>
      <c r="R77" s="885"/>
      <c r="W77" s="886"/>
      <c r="Y77" s="878"/>
    </row>
    <row r="78" spans="1:25" s="76" customFormat="1" ht="21" hidden="1" thickBot="1" x14ac:dyDescent="0.25">
      <c r="A78" s="79"/>
      <c r="B78" s="79"/>
      <c r="D78" s="79"/>
      <c r="E78" s="79"/>
      <c r="F78" s="67" t="s">
        <v>552</v>
      </c>
      <c r="G78" s="67"/>
      <c r="H78" s="894">
        <f>SUM(H75:H77)</f>
        <v>375019.4200000001</v>
      </c>
      <c r="I78" s="894">
        <f>SUM(I75:I77)</f>
        <v>344190.97</v>
      </c>
      <c r="J78" s="894">
        <f>SUM(J75:J77)</f>
        <v>403803.55409999995</v>
      </c>
      <c r="K78" s="894">
        <f>SUM(K75:K77)</f>
        <v>472315.38</v>
      </c>
      <c r="L78" s="893"/>
      <c r="R78" s="885"/>
      <c r="W78" s="886"/>
      <c r="Y78" s="878"/>
    </row>
    <row r="79" spans="1:25" s="76" customFormat="1" ht="20.25" hidden="1" x14ac:dyDescent="0.2">
      <c r="A79" s="79"/>
      <c r="B79" s="79"/>
      <c r="D79" s="79"/>
      <c r="E79" s="79"/>
      <c r="F79" s="67" t="s">
        <v>553</v>
      </c>
      <c r="G79" s="67"/>
      <c r="H79" s="895">
        <v>195138</v>
      </c>
      <c r="I79" s="895">
        <v>104281</v>
      </c>
      <c r="J79" s="896">
        <f>J63</f>
        <v>114885</v>
      </c>
      <c r="K79" s="896">
        <f>K63</f>
        <v>134000</v>
      </c>
      <c r="L79" s="893"/>
      <c r="R79" s="885"/>
      <c r="W79" s="886"/>
      <c r="Y79" s="878"/>
    </row>
    <row r="80" spans="1:25" s="76" customFormat="1" ht="20.25" hidden="1" x14ac:dyDescent="0.2">
      <c r="A80" s="79"/>
      <c r="B80" s="79"/>
      <c r="D80" s="79"/>
      <c r="E80" s="79"/>
      <c r="F80" s="67" t="s">
        <v>554</v>
      </c>
      <c r="G80" s="67"/>
      <c r="H80" s="897">
        <f>H75/H79</f>
        <v>1.2190899132921316</v>
      </c>
      <c r="I80" s="897">
        <f>I75/I79</f>
        <v>1.8037922200592629</v>
      </c>
      <c r="J80" s="897">
        <f>J75/J79</f>
        <v>2.0212390390390391</v>
      </c>
      <c r="K80" s="897">
        <f>K75/K79</f>
        <v>2.1671641791044776</v>
      </c>
      <c r="L80" s="893"/>
      <c r="R80" s="885"/>
      <c r="W80" s="886"/>
      <c r="Y80" s="878"/>
    </row>
    <row r="81" spans="1:25" s="76" customFormat="1" ht="20.25" hidden="1" x14ac:dyDescent="0.2">
      <c r="A81" s="79"/>
      <c r="B81" s="79"/>
      <c r="D81" s="79"/>
      <c r="E81" s="79"/>
      <c r="F81" s="67" t="s">
        <v>555</v>
      </c>
      <c r="G81" s="67"/>
      <c r="H81" s="897">
        <f>H76/H57</f>
        <v>6.3063725162544886</v>
      </c>
      <c r="I81" s="897">
        <f>I76/I57</f>
        <v>11.329495960989064</v>
      </c>
      <c r="J81" s="897">
        <f>J76/J57</f>
        <v>12.529872180667427</v>
      </c>
      <c r="K81" s="897">
        <f>K76/K57</f>
        <v>11.970475298126065</v>
      </c>
      <c r="L81" s="893"/>
      <c r="R81" s="885"/>
      <c r="W81" s="886"/>
      <c r="Y81" s="878"/>
    </row>
    <row r="82" spans="1:25" s="76" customFormat="1" ht="20.25" hidden="1" x14ac:dyDescent="0.2">
      <c r="A82" s="79"/>
      <c r="B82" s="79"/>
      <c r="D82" s="79"/>
      <c r="E82" s="79"/>
      <c r="F82" s="67"/>
      <c r="G82" s="67"/>
      <c r="H82" s="67"/>
      <c r="I82" s="897"/>
      <c r="J82" s="897"/>
      <c r="K82" s="897"/>
      <c r="L82" s="893"/>
      <c r="R82" s="885"/>
      <c r="W82" s="886"/>
      <c r="Y82" s="878"/>
    </row>
    <row r="83" spans="1:25" s="76" customFormat="1" ht="20.25" hidden="1" x14ac:dyDescent="0.2">
      <c r="A83" s="79"/>
      <c r="B83" s="79"/>
      <c r="D83" s="79"/>
      <c r="E83" s="79"/>
      <c r="H83" s="79"/>
      <c r="I83" s="79"/>
      <c r="J83" s="232"/>
      <c r="K83" s="232"/>
      <c r="L83" s="363"/>
      <c r="R83" s="885"/>
      <c r="W83" s="886"/>
      <c r="Y83" s="878"/>
    </row>
    <row r="84" spans="1:25" s="68" customFormat="1" ht="20.25" hidden="1" x14ac:dyDescent="0.2">
      <c r="A84" s="67"/>
      <c r="B84" s="67"/>
      <c r="D84" s="79"/>
      <c r="E84" s="67"/>
      <c r="F84" s="67" t="s">
        <v>549</v>
      </c>
      <c r="G84" s="67"/>
      <c r="H84" s="237">
        <f>H24-H85-H86</f>
        <v>238182.86749999985</v>
      </c>
      <c r="I84" s="237">
        <f>I22-I85-I86</f>
        <v>180025.0165</v>
      </c>
      <c r="J84" s="237">
        <f>J22-J85-J86</f>
        <v>199028.67290000001</v>
      </c>
      <c r="K84" s="237">
        <f>K22-K85-K86</f>
        <v>185467.83999999997</v>
      </c>
      <c r="L84" s="893"/>
      <c r="R84" s="879"/>
      <c r="W84" s="873"/>
      <c r="Y84" s="878"/>
    </row>
    <row r="85" spans="1:25" s="68" customFormat="1" ht="23.25" hidden="1" x14ac:dyDescent="0.2">
      <c r="A85" s="67"/>
      <c r="B85" s="271"/>
      <c r="C85" s="67"/>
      <c r="D85" s="67"/>
      <c r="E85" s="67"/>
      <c r="F85" s="67" t="s">
        <v>550</v>
      </c>
      <c r="G85" s="67"/>
      <c r="H85" s="895">
        <f>H76</f>
        <v>103783.97250000012</v>
      </c>
      <c r="I85" s="895">
        <f>I76</f>
        <v>115005.71349999998</v>
      </c>
      <c r="J85" s="237">
        <f>J76</f>
        <v>130661.50709999993</v>
      </c>
      <c r="K85" s="237">
        <f>K76</f>
        <v>140533.38</v>
      </c>
      <c r="L85" s="893"/>
      <c r="R85" s="879"/>
      <c r="W85" s="873"/>
      <c r="Y85" s="878"/>
    </row>
    <row r="86" spans="1:25" s="68" customFormat="1" ht="20.25" hidden="1" x14ac:dyDescent="0.2">
      <c r="A86" s="67"/>
      <c r="B86" s="67"/>
      <c r="C86" s="67"/>
      <c r="D86" s="67"/>
      <c r="E86" s="67"/>
      <c r="F86" s="67" t="s">
        <v>556</v>
      </c>
      <c r="G86" s="67"/>
      <c r="H86" s="895">
        <f>H18</f>
        <v>9315</v>
      </c>
      <c r="I86" s="895">
        <f>I18</f>
        <v>9315</v>
      </c>
      <c r="J86" s="237">
        <f>J37</f>
        <v>10548</v>
      </c>
      <c r="K86" s="237">
        <f>K37</f>
        <v>10548</v>
      </c>
      <c r="L86" s="893"/>
      <c r="R86" s="879"/>
      <c r="W86" s="873"/>
      <c r="Y86" s="878"/>
    </row>
    <row r="87" spans="1:25" s="82" customFormat="1" ht="27" hidden="1" thickBot="1" x14ac:dyDescent="0.25">
      <c r="A87" s="268"/>
      <c r="B87" s="268"/>
      <c r="C87" s="268"/>
      <c r="D87" s="268"/>
      <c r="E87" s="268"/>
      <c r="F87" s="67" t="s">
        <v>557</v>
      </c>
      <c r="G87" s="67"/>
      <c r="H87" s="761">
        <f>SUM(H84:H86)</f>
        <v>351281.83999999997</v>
      </c>
      <c r="I87" s="761">
        <f>SUM(I84:I86)</f>
        <v>304345.73</v>
      </c>
      <c r="J87" s="761">
        <f>SUM(J84:J86)</f>
        <v>340238.17999999993</v>
      </c>
      <c r="K87" s="761">
        <f>SUM(K84:K86)</f>
        <v>336549.22</v>
      </c>
      <c r="L87" s="364"/>
      <c r="R87" s="898"/>
      <c r="W87" s="899"/>
      <c r="Y87" s="900"/>
    </row>
    <row r="88" spans="1:25" s="82" customFormat="1" ht="26.25" hidden="1" x14ac:dyDescent="0.2">
      <c r="A88" s="268"/>
      <c r="B88" s="268"/>
      <c r="C88" s="268"/>
      <c r="D88" s="268"/>
      <c r="E88" s="268"/>
      <c r="F88" s="67" t="s">
        <v>558</v>
      </c>
      <c r="G88" s="67"/>
      <c r="H88" s="237">
        <f>H67</f>
        <v>16457</v>
      </c>
      <c r="I88" s="237">
        <f>I67</f>
        <v>10151</v>
      </c>
      <c r="J88" s="237">
        <f>J57</f>
        <v>10428</v>
      </c>
      <c r="K88" s="237">
        <v>11740</v>
      </c>
      <c r="L88" s="364"/>
      <c r="R88" s="898"/>
      <c r="W88" s="899"/>
      <c r="Y88" s="900"/>
    </row>
    <row r="89" spans="1:25" s="18" customFormat="1" ht="20.25" hidden="1" x14ac:dyDescent="0.3">
      <c r="A89" s="122"/>
      <c r="B89" s="122"/>
      <c r="C89" s="122"/>
      <c r="D89" s="122"/>
      <c r="E89" s="122"/>
      <c r="F89" s="67" t="s">
        <v>559</v>
      </c>
      <c r="G89" s="67"/>
      <c r="H89" s="901">
        <f>H84/H80/H68</f>
        <v>16477.207130148494</v>
      </c>
      <c r="I89" s="901">
        <f>I84/I80/I68</f>
        <v>9715.1607410527849</v>
      </c>
      <c r="J89" s="901">
        <f>J84/J80/J68</f>
        <v>8937.9035395535666</v>
      </c>
      <c r="K89" s="901">
        <f>K84/K80/K68</f>
        <v>7497.9078567493098</v>
      </c>
      <c r="L89" s="366"/>
      <c r="R89" s="902"/>
      <c r="W89" s="881"/>
      <c r="Y89" s="903"/>
    </row>
    <row r="90" spans="1:25" s="18" customFormat="1" ht="20.25" hidden="1" x14ac:dyDescent="0.3">
      <c r="A90" s="122"/>
      <c r="B90" s="122"/>
      <c r="C90" s="122"/>
      <c r="D90" s="122"/>
      <c r="E90" s="122"/>
      <c r="F90" s="67" t="s">
        <v>560</v>
      </c>
      <c r="G90" s="67"/>
      <c r="H90" s="904">
        <f>H89-H88</f>
        <v>20.207130148493889</v>
      </c>
      <c r="I90" s="904">
        <f>I89-I88</f>
        <v>-435.83925894721506</v>
      </c>
      <c r="J90" s="904">
        <f>J89-J88</f>
        <v>-1490.0964604464334</v>
      </c>
      <c r="K90" s="904">
        <f>K89-K88</f>
        <v>-4242.0921432506902</v>
      </c>
      <c r="L90" s="366"/>
      <c r="R90" s="902"/>
      <c r="W90" s="881"/>
      <c r="Y90" s="903"/>
    </row>
    <row r="91" spans="1:25" s="18" customFormat="1" ht="20.25" hidden="1" x14ac:dyDescent="0.3">
      <c r="A91" s="122"/>
      <c r="B91" s="122"/>
      <c r="C91" s="122"/>
      <c r="D91" s="122"/>
      <c r="E91" s="122"/>
      <c r="F91" s="67" t="s">
        <v>554</v>
      </c>
      <c r="G91" s="67"/>
      <c r="H91" s="905">
        <f>H84/(H89*H68)</f>
        <v>1.2190899132921318</v>
      </c>
      <c r="I91" s="905">
        <f>I84/(I89*I68)</f>
        <v>1.8037922200592629</v>
      </c>
      <c r="J91" s="905">
        <f>J84/(J89*J68)</f>
        <v>2.0212390390390391</v>
      </c>
      <c r="K91" s="905">
        <f>K84/(K89*K68)</f>
        <v>2.1671641791044776</v>
      </c>
      <c r="L91" s="366"/>
      <c r="R91" s="902"/>
      <c r="W91" s="881"/>
      <c r="Y91" s="903"/>
    </row>
    <row r="92" spans="1:25" s="18" customFormat="1" ht="20.25" hidden="1" x14ac:dyDescent="0.3">
      <c r="A92" s="122"/>
      <c r="B92" s="122"/>
      <c r="C92" s="122"/>
      <c r="D92" s="122"/>
      <c r="E92" s="122"/>
      <c r="F92" s="67" t="s">
        <v>555</v>
      </c>
      <c r="G92" s="67"/>
      <c r="H92" s="905">
        <f>H85/H89</f>
        <v>6.2986385787495296</v>
      </c>
      <c r="I92" s="905">
        <f>I85/I89</f>
        <v>11.837757147344673</v>
      </c>
      <c r="J92" s="905">
        <f>J85/J89</f>
        <v>14.618809267942297</v>
      </c>
      <c r="K92" s="905">
        <f>K85/K89</f>
        <v>18.743012408921192</v>
      </c>
      <c r="L92" s="366"/>
      <c r="R92" s="902"/>
      <c r="W92" s="881"/>
      <c r="Y92" s="903"/>
    </row>
    <row r="93" spans="1:25" s="18" customFormat="1" ht="20.25" hidden="1" x14ac:dyDescent="0.3">
      <c r="A93" s="122"/>
      <c r="B93" s="122"/>
      <c r="C93" s="122"/>
      <c r="D93" s="122"/>
      <c r="E93" s="122"/>
      <c r="F93" s="67"/>
      <c r="G93" s="67"/>
      <c r="H93" s="67"/>
      <c r="I93" s="905"/>
      <c r="J93" s="905"/>
      <c r="K93" s="905"/>
      <c r="L93" s="366"/>
      <c r="R93" s="902"/>
      <c r="W93" s="881"/>
      <c r="Y93" s="903"/>
    </row>
    <row r="94" spans="1:25" ht="20.25" hidden="1" x14ac:dyDescent="0.3">
      <c r="J94" s="277"/>
      <c r="K94" s="277"/>
    </row>
    <row r="95" spans="1:25" ht="20.25" hidden="1" x14ac:dyDescent="0.3">
      <c r="J95" s="277"/>
      <c r="K95" s="277"/>
    </row>
    <row r="96" spans="1:25" ht="20.25" hidden="1" x14ac:dyDescent="0.3">
      <c r="F96" s="891" t="s">
        <v>561</v>
      </c>
      <c r="G96" s="891"/>
      <c r="J96" s="277"/>
      <c r="K96" s="277"/>
    </row>
    <row r="97" spans="6:12" ht="20.25" hidden="1" x14ac:dyDescent="0.25">
      <c r="F97" s="67" t="s">
        <v>549</v>
      </c>
      <c r="G97" s="67"/>
      <c r="H97" s="892">
        <f t="shared" ref="H97:J99" si="1">H75</f>
        <v>237890.76749999999</v>
      </c>
      <c r="I97" s="892">
        <f t="shared" si="1"/>
        <v>188101.25649999999</v>
      </c>
      <c r="J97" s="892">
        <f t="shared" si="1"/>
        <v>232210.04700000002</v>
      </c>
      <c r="K97" s="892">
        <f>K75</f>
        <v>290400</v>
      </c>
      <c r="L97" s="893"/>
    </row>
    <row r="98" spans="6:12" ht="20.25" hidden="1" x14ac:dyDescent="0.25">
      <c r="F98" s="67" t="s">
        <v>550</v>
      </c>
      <c r="G98" s="67"/>
      <c r="H98" s="237">
        <f t="shared" si="1"/>
        <v>103783.97250000012</v>
      </c>
      <c r="I98" s="237">
        <f t="shared" si="1"/>
        <v>115005.71349999998</v>
      </c>
      <c r="J98" s="237">
        <f t="shared" si="1"/>
        <v>130661.50709999993</v>
      </c>
      <c r="K98" s="237">
        <f>K76</f>
        <v>140533.38</v>
      </c>
      <c r="L98" s="893"/>
    </row>
    <row r="99" spans="6:12" ht="20.25" hidden="1" x14ac:dyDescent="0.25">
      <c r="F99" s="67" t="s">
        <v>551</v>
      </c>
      <c r="G99" s="67"/>
      <c r="H99" s="237">
        <f t="shared" si="1"/>
        <v>33344.68</v>
      </c>
      <c r="I99" s="237">
        <f t="shared" si="1"/>
        <v>41084</v>
      </c>
      <c r="J99" s="237">
        <f t="shared" si="1"/>
        <v>40932</v>
      </c>
      <c r="K99" s="237">
        <f>K77</f>
        <v>41382</v>
      </c>
      <c r="L99" s="893"/>
    </row>
    <row r="100" spans="6:12" ht="21" hidden="1" thickBot="1" x14ac:dyDescent="0.3">
      <c r="F100" s="67" t="s">
        <v>552</v>
      </c>
      <c r="G100" s="67"/>
      <c r="H100" s="894">
        <f>SUM(H97:H99)</f>
        <v>375019.4200000001</v>
      </c>
      <c r="I100" s="894">
        <f>SUM(I97:I99)</f>
        <v>344190.97</v>
      </c>
      <c r="J100" s="894">
        <f>SUM(J97:J99)</f>
        <v>403803.55409999995</v>
      </c>
      <c r="K100" s="894">
        <f>SUM(K97:K99)</f>
        <v>472315.38</v>
      </c>
      <c r="L100" s="893"/>
    </row>
    <row r="101" spans="6:12" ht="20.25" hidden="1" x14ac:dyDescent="0.25">
      <c r="F101" s="67" t="s">
        <v>562</v>
      </c>
      <c r="G101" s="67"/>
      <c r="H101" s="237">
        <f>H54</f>
        <v>227723</v>
      </c>
      <c r="I101" s="237">
        <f t="shared" ref="I101:K101" si="2">I54</f>
        <v>178666</v>
      </c>
      <c r="J101" s="237">
        <f t="shared" si="2"/>
        <v>206080</v>
      </c>
      <c r="K101" s="237">
        <f t="shared" si="2"/>
        <v>226000</v>
      </c>
      <c r="L101" s="893"/>
    </row>
    <row r="102" spans="6:12" ht="20.25" hidden="1" x14ac:dyDescent="0.25">
      <c r="F102" s="67" t="s">
        <v>563</v>
      </c>
      <c r="G102" s="67"/>
      <c r="H102" s="897">
        <f>H97/H101</f>
        <v>1.0446497169807178</v>
      </c>
      <c r="I102" s="897">
        <f>I97/I101</f>
        <v>1.0528094685054794</v>
      </c>
      <c r="J102" s="897">
        <f>J97/J101</f>
        <v>1.1267956473214287</v>
      </c>
      <c r="K102" s="897">
        <f>K97/K101</f>
        <v>1.2849557522123893</v>
      </c>
      <c r="L102" s="893"/>
    </row>
    <row r="103" spans="6:12" ht="20.25" hidden="1" x14ac:dyDescent="0.25">
      <c r="F103" s="67" t="s">
        <v>555</v>
      </c>
      <c r="G103" s="67"/>
      <c r="H103" s="897">
        <f t="shared" ref="H103:K103" si="3">H98/H57</f>
        <v>6.3063725162544886</v>
      </c>
      <c r="I103" s="897">
        <f t="shared" si="3"/>
        <v>11.329495960989064</v>
      </c>
      <c r="J103" s="897">
        <f t="shared" si="3"/>
        <v>12.529872180667427</v>
      </c>
      <c r="K103" s="897">
        <f t="shared" si="3"/>
        <v>11.970475298126065</v>
      </c>
      <c r="L103" s="893"/>
    </row>
    <row r="104" spans="6:12" ht="20.25" hidden="1" x14ac:dyDescent="0.3">
      <c r="H104" s="277"/>
      <c r="I104" s="277"/>
      <c r="J104" s="277"/>
      <c r="K104" s="277"/>
    </row>
    <row r="105" spans="6:12" ht="20.25" hidden="1" x14ac:dyDescent="0.25">
      <c r="H105" s="232"/>
      <c r="I105" s="232"/>
      <c r="J105" s="232"/>
      <c r="K105" s="232"/>
      <c r="L105" s="363"/>
    </row>
    <row r="106" spans="6:12" ht="20.25" hidden="1" x14ac:dyDescent="0.25">
      <c r="F106" s="67" t="s">
        <v>549</v>
      </c>
      <c r="G106" s="67"/>
      <c r="H106" s="237">
        <f>H24-H107-H108</f>
        <v>238182.86749999985</v>
      </c>
      <c r="I106" s="237">
        <f>I22-I107-I108</f>
        <v>180025.0165</v>
      </c>
      <c r="J106" s="237">
        <f>J22-J107-J108</f>
        <v>199028.67290000001</v>
      </c>
      <c r="K106" s="237">
        <f>K22-K107-K108</f>
        <v>185467.83999999997</v>
      </c>
      <c r="L106" s="893"/>
    </row>
    <row r="107" spans="6:12" ht="20.25" hidden="1" x14ac:dyDescent="0.25">
      <c r="F107" s="67" t="s">
        <v>550</v>
      </c>
      <c r="G107" s="67"/>
      <c r="H107" s="237">
        <f t="shared" ref="H107:I107" si="4">H98</f>
        <v>103783.97250000012</v>
      </c>
      <c r="I107" s="237">
        <f t="shared" si="4"/>
        <v>115005.71349999998</v>
      </c>
      <c r="J107" s="237">
        <f>J98</f>
        <v>130661.50709999993</v>
      </c>
      <c r="K107" s="237">
        <f t="shared" ref="K107" si="5">K98</f>
        <v>140533.38</v>
      </c>
      <c r="L107" s="893"/>
    </row>
    <row r="108" spans="6:12" ht="20.25" hidden="1" x14ac:dyDescent="0.25">
      <c r="F108" s="67" t="s">
        <v>104</v>
      </c>
      <c r="G108" s="67"/>
      <c r="H108" s="237">
        <f>H37</f>
        <v>9315</v>
      </c>
      <c r="I108" s="237">
        <f>I37</f>
        <v>9315</v>
      </c>
      <c r="J108" s="237">
        <f>J37</f>
        <v>10548</v>
      </c>
      <c r="K108" s="237">
        <f>K37</f>
        <v>10548</v>
      </c>
      <c r="L108" s="893"/>
    </row>
    <row r="109" spans="6:12" ht="27" hidden="1" thickBot="1" x14ac:dyDescent="0.3">
      <c r="F109" s="67" t="s">
        <v>557</v>
      </c>
      <c r="G109" s="67"/>
      <c r="H109" s="761">
        <f>SUM(H106:H108)</f>
        <v>351281.83999999997</v>
      </c>
      <c r="I109" s="761">
        <f>SUM(I106:I108)</f>
        <v>304345.73</v>
      </c>
      <c r="J109" s="761">
        <f>SUM(J106:J108)</f>
        <v>340238.17999999993</v>
      </c>
      <c r="K109" s="761">
        <f>SUM(K106:K108)</f>
        <v>336549.22</v>
      </c>
      <c r="L109" s="364"/>
    </row>
    <row r="110" spans="6:12" ht="20.25" hidden="1" x14ac:dyDescent="0.25">
      <c r="F110" s="67" t="s">
        <v>558</v>
      </c>
      <c r="G110" s="67"/>
      <c r="H110" s="237">
        <f>H88</f>
        <v>16457</v>
      </c>
      <c r="I110" s="237">
        <f>I88</f>
        <v>10151</v>
      </c>
      <c r="J110" s="237">
        <f>J88</f>
        <v>10428</v>
      </c>
      <c r="K110" s="237">
        <f>K88</f>
        <v>11740</v>
      </c>
    </row>
    <row r="111" spans="6:12" ht="20.25" hidden="1" x14ac:dyDescent="0.3">
      <c r="F111" s="67" t="s">
        <v>559</v>
      </c>
      <c r="G111" s="67"/>
      <c r="H111" s="901">
        <f t="shared" ref="H111:K111" si="6">H106/H102/H72</f>
        <v>16477.207130148494</v>
      </c>
      <c r="I111" s="901">
        <f t="shared" si="6"/>
        <v>9715.1607410527868</v>
      </c>
      <c r="J111" s="901">
        <f t="shared" si="6"/>
        <v>8937.9035395535648</v>
      </c>
      <c r="K111" s="901">
        <f t="shared" si="6"/>
        <v>7497.9078567493116</v>
      </c>
    </row>
    <row r="112" spans="6:12" ht="20.25" hidden="1" x14ac:dyDescent="0.3">
      <c r="F112" s="67" t="s">
        <v>560</v>
      </c>
      <c r="G112" s="67"/>
      <c r="H112" s="904">
        <f>H111-H110</f>
        <v>20.207130148493889</v>
      </c>
      <c r="I112" s="904">
        <f>I111-I110</f>
        <v>-435.83925894721324</v>
      </c>
      <c r="J112" s="904">
        <f>J111-J110</f>
        <v>-1490.0964604464352</v>
      </c>
      <c r="K112" s="904">
        <f>K111-K110</f>
        <v>-4242.0921432506884</v>
      </c>
    </row>
    <row r="113" spans="6:11" ht="20.25" hidden="1" x14ac:dyDescent="0.3">
      <c r="F113" s="67" t="s">
        <v>563</v>
      </c>
      <c r="G113" s="67"/>
      <c r="H113" s="905">
        <f>H106/(H111*H72)</f>
        <v>1.0446497169807178</v>
      </c>
      <c r="I113" s="905">
        <f t="shared" ref="I113:K113" si="7">I106/(I111*I72)</f>
        <v>1.0528094685054794</v>
      </c>
      <c r="J113" s="905">
        <f t="shared" si="7"/>
        <v>1.1267956473214289</v>
      </c>
      <c r="K113" s="905">
        <f t="shared" si="7"/>
        <v>1.2849557522123893</v>
      </c>
    </row>
    <row r="114" spans="6:11" ht="20.25" hidden="1" x14ac:dyDescent="0.3">
      <c r="F114" s="67" t="s">
        <v>564</v>
      </c>
      <c r="G114" s="67"/>
      <c r="H114" s="905">
        <f>H107/H111</f>
        <v>6.2986385787495296</v>
      </c>
      <c r="I114" s="905">
        <f>I107/I111</f>
        <v>11.837757147344671</v>
      </c>
      <c r="J114" s="905">
        <f>J107/J111</f>
        <v>14.618809267942298</v>
      </c>
      <c r="K114" s="905">
        <f>K107/K111</f>
        <v>18.743012408921185</v>
      </c>
    </row>
    <row r="115" spans="6:11" ht="20.25" x14ac:dyDescent="0.25">
      <c r="F115" s="67" t="s">
        <v>565</v>
      </c>
      <c r="G115" s="322">
        <f>G28+G32+G34+G28*0.21</f>
        <v>216908.68</v>
      </c>
      <c r="H115" s="322">
        <f t="shared" ref="H115:K115" si="8">H28+H32+H34+H28*0.21</f>
        <v>237890.76750000002</v>
      </c>
      <c r="I115" s="322">
        <f t="shared" si="8"/>
        <v>188101.25650000002</v>
      </c>
      <c r="J115" s="322">
        <f t="shared" si="8"/>
        <v>232210.04700000002</v>
      </c>
      <c r="K115" s="322">
        <f t="shared" si="8"/>
        <v>292430</v>
      </c>
    </row>
    <row r="116" spans="6:11" ht="20.25" x14ac:dyDescent="0.25">
      <c r="F116" s="67" t="s">
        <v>550</v>
      </c>
      <c r="G116" s="322">
        <f>G47-G115-G117</f>
        <v>105684.32</v>
      </c>
      <c r="H116" s="322">
        <f t="shared" ref="H116:K116" si="9">H47-H115-H117</f>
        <v>113098.97250000009</v>
      </c>
      <c r="I116" s="322">
        <f t="shared" si="9"/>
        <v>124320.71349999995</v>
      </c>
      <c r="J116" s="322">
        <f t="shared" si="9"/>
        <v>141209.50709999993</v>
      </c>
      <c r="K116" s="322">
        <f t="shared" si="9"/>
        <v>149051.38</v>
      </c>
    </row>
    <row r="117" spans="6:11" ht="20.25" x14ac:dyDescent="0.25">
      <c r="F117" s="67" t="s">
        <v>125</v>
      </c>
      <c r="G117" s="322">
        <f>G36</f>
        <v>25080</v>
      </c>
      <c r="H117" s="322">
        <f t="shared" ref="H117:K117" si="10">H36</f>
        <v>24029.68</v>
      </c>
      <c r="I117" s="322">
        <f t="shared" si="10"/>
        <v>31769</v>
      </c>
      <c r="J117" s="322">
        <f t="shared" si="10"/>
        <v>30384</v>
      </c>
      <c r="K117" s="322">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13"/>
  <sheetViews>
    <sheetView topLeftCell="A89" zoomScaleNormal="100" workbookViewId="0">
      <selection activeCell="G105" sqref="G105"/>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1011" t="s">
        <v>171</v>
      </c>
      <c r="B1" s="1011"/>
      <c r="C1" s="1011"/>
      <c r="D1" s="1011"/>
      <c r="E1" s="1011"/>
      <c r="F1" s="1011"/>
      <c r="G1" s="1011"/>
      <c r="H1" s="1011"/>
    </row>
    <row r="2" spans="1:8" ht="23.25" x14ac:dyDescent="0.2">
      <c r="A2" s="1011" t="s">
        <v>172</v>
      </c>
      <c r="B2" s="1011"/>
      <c r="C2" s="1011"/>
      <c r="D2" s="1011"/>
      <c r="E2" s="1011"/>
      <c r="F2" s="1011"/>
      <c r="G2" s="1011"/>
      <c r="H2" s="1011"/>
    </row>
    <row r="3" spans="1:8" ht="23.25" x14ac:dyDescent="0.2">
      <c r="A3" s="1012">
        <v>44950</v>
      </c>
      <c r="B3" s="1012"/>
      <c r="C3" s="1012"/>
      <c r="D3" s="1012"/>
      <c r="E3" s="1012"/>
      <c r="F3" s="1012"/>
      <c r="G3" s="1012"/>
      <c r="H3" s="1012"/>
    </row>
    <row r="4" spans="1:8" ht="21.75" customHeight="1" x14ac:dyDescent="0.2">
      <c r="A4" s="1014" t="s">
        <v>182</v>
      </c>
      <c r="B4" s="1014"/>
      <c r="C4" s="1014"/>
      <c r="D4" s="1014"/>
      <c r="E4" s="1014"/>
      <c r="F4" s="1014"/>
      <c r="G4" s="1014"/>
      <c r="H4" s="1014"/>
    </row>
    <row r="5" spans="1:8" ht="83.25" customHeight="1" x14ac:dyDescent="0.2">
      <c r="A5" s="984" t="s">
        <v>642</v>
      </c>
      <c r="B5" s="984"/>
      <c r="C5" s="984"/>
      <c r="D5" s="984"/>
      <c r="E5" s="984"/>
      <c r="F5" s="984"/>
      <c r="G5" s="984"/>
      <c r="H5" s="984"/>
    </row>
    <row r="6" spans="1:8" ht="81" customHeight="1" x14ac:dyDescent="0.2">
      <c r="A6" s="475"/>
      <c r="B6" s="475"/>
      <c r="C6" s="475"/>
      <c r="D6" s="475"/>
      <c r="E6" s="475"/>
      <c r="F6" s="475"/>
      <c r="G6" s="475"/>
      <c r="H6" s="475"/>
    </row>
    <row r="7" spans="1:8" ht="81" customHeight="1" x14ac:dyDescent="0.2">
      <c r="A7" s="475"/>
      <c r="B7" s="475"/>
      <c r="C7" s="475"/>
      <c r="D7" s="475"/>
      <c r="E7" s="475"/>
      <c r="F7" s="475"/>
      <c r="G7" s="475"/>
      <c r="H7" s="475"/>
    </row>
    <row r="8" spans="1:8" ht="81" customHeight="1" x14ac:dyDescent="0.2">
      <c r="A8" s="475"/>
      <c r="B8" s="475"/>
      <c r="C8" s="475"/>
      <c r="D8" s="475"/>
      <c r="E8" s="475"/>
      <c r="F8" s="475"/>
      <c r="G8" s="475"/>
      <c r="H8" s="475"/>
    </row>
    <row r="9" spans="1:8" ht="53.25" customHeight="1" x14ac:dyDescent="0.25">
      <c r="A9" s="985" t="s">
        <v>644</v>
      </c>
      <c r="B9" s="985"/>
      <c r="C9" s="985"/>
      <c r="D9" s="985"/>
      <c r="E9" s="985"/>
      <c r="F9" s="985"/>
      <c r="G9" s="985"/>
      <c r="H9" s="985"/>
    </row>
    <row r="10" spans="1:8" ht="15.75" x14ac:dyDescent="0.25">
      <c r="A10" s="446"/>
      <c r="B10" s="994"/>
      <c r="C10" s="994"/>
      <c r="D10" s="437"/>
      <c r="E10" s="443" t="s">
        <v>49</v>
      </c>
      <c r="F10" s="443" t="s">
        <v>357</v>
      </c>
      <c r="G10" s="438"/>
      <c r="H10" s="446"/>
    </row>
    <row r="11" spans="1:8" ht="15.75" customHeight="1" x14ac:dyDescent="0.25">
      <c r="A11" s="446"/>
      <c r="C11" s="1013" t="s">
        <v>376</v>
      </c>
      <c r="D11" s="1013"/>
      <c r="E11" s="473">
        <f>'December''22 AR Aging '!G8</f>
        <v>55761.120000000003</v>
      </c>
      <c r="F11" s="675">
        <f>E11/E$18</f>
        <v>0.15472520193439246</v>
      </c>
      <c r="G11" s="439"/>
      <c r="H11" s="446"/>
    </row>
    <row r="12" spans="1:8" ht="15.75" customHeight="1" x14ac:dyDescent="0.25">
      <c r="A12" s="446"/>
      <c r="C12" s="1013" t="s">
        <v>374</v>
      </c>
      <c r="D12" s="1013"/>
      <c r="E12" s="476">
        <f>'December''22 AR Aging '!G32</f>
        <v>129389.37</v>
      </c>
      <c r="F12" s="675">
        <f t="shared" ref="F12:F17" si="0">E12/E$18</f>
        <v>0.35902787464480307</v>
      </c>
      <c r="G12" s="439"/>
      <c r="H12" s="446"/>
    </row>
    <row r="13" spans="1:8" ht="15.75" customHeight="1" x14ac:dyDescent="0.25">
      <c r="A13" s="446"/>
      <c r="C13" s="1013" t="s">
        <v>375</v>
      </c>
      <c r="D13" s="1013"/>
      <c r="E13" s="476">
        <f>'December''22 AR Aging '!G14</f>
        <v>85031.1</v>
      </c>
      <c r="F13" s="675">
        <f t="shared" si="0"/>
        <v>0.23594314673384464</v>
      </c>
      <c r="G13" s="439"/>
      <c r="H13" s="446"/>
    </row>
    <row r="14" spans="1:8" ht="15.75" customHeight="1" x14ac:dyDescent="0.25">
      <c r="A14" s="446"/>
      <c r="C14" s="994" t="s">
        <v>44</v>
      </c>
      <c r="D14" s="994"/>
      <c r="E14" s="476">
        <f>'December''22 AR Aging '!G43</f>
        <v>13047.9</v>
      </c>
      <c r="F14" s="675">
        <f t="shared" si="0"/>
        <v>3.6205136523795783E-2</v>
      </c>
      <c r="G14" s="439"/>
      <c r="H14" s="446"/>
    </row>
    <row r="15" spans="1:8" ht="15.75" customHeight="1" x14ac:dyDescent="0.25">
      <c r="A15" s="446"/>
      <c r="C15" s="994" t="s">
        <v>437</v>
      </c>
      <c r="D15" s="994"/>
      <c r="E15" s="476">
        <f>'December''22 AR Aging '!G51+'December''22 AR Aging '!G56+'December''22 AR Aging '!G58+'December''22 AR Aging '!G39+'December''22 AR Aging '!G40+'December''22 AR Aging '!G71</f>
        <v>61350.29</v>
      </c>
      <c r="F15" s="675">
        <f t="shared" si="0"/>
        <v>0.17023395528969895</v>
      </c>
      <c r="G15" s="439"/>
      <c r="H15" s="446"/>
    </row>
    <row r="16" spans="1:8" ht="15.75" customHeight="1" x14ac:dyDescent="0.25">
      <c r="A16" s="662"/>
      <c r="C16" s="994" t="s">
        <v>335</v>
      </c>
      <c r="D16" s="994"/>
      <c r="E16" s="476">
        <f>'December''22 AR Aging '!G65+'December''22 AR Aging '!G41</f>
        <v>6046.72</v>
      </c>
      <c r="F16" s="675">
        <f t="shared" si="0"/>
        <v>1.6778356909630397E-2</v>
      </c>
      <c r="G16" s="439"/>
      <c r="H16" s="662"/>
    </row>
    <row r="17" spans="1:13" ht="15.75" customHeight="1" x14ac:dyDescent="0.25">
      <c r="A17" s="446"/>
      <c r="C17" s="994" t="s">
        <v>347</v>
      </c>
      <c r="D17" s="994"/>
      <c r="E17" s="476">
        <f>'December''22 AR Aging '!G60+'December''22 AR Aging '!G42+'December''22 AR Aging '!G62+'December''22 AR Aging '!G64+'December''22 AR Aging '!G67</f>
        <v>9761.59</v>
      </c>
      <c r="F17" s="675">
        <f t="shared" si="0"/>
        <v>2.7086327963834769E-2</v>
      </c>
      <c r="G17" s="439"/>
      <c r="H17" s="446"/>
    </row>
    <row r="18" spans="1:13" ht="16.5" customHeight="1" thickBot="1" x14ac:dyDescent="0.3">
      <c r="A18" s="446"/>
      <c r="B18" s="994" t="s">
        <v>643</v>
      </c>
      <c r="C18" s="994"/>
      <c r="D18" s="994"/>
      <c r="E18" s="444">
        <f>SUM(E11:E17)</f>
        <v>360388.08999999997</v>
      </c>
      <c r="F18" s="676">
        <f>SUM(F11:F17)</f>
        <v>1</v>
      </c>
      <c r="G18" s="666"/>
      <c r="H18" s="446"/>
    </row>
    <row r="19" spans="1:13" ht="38.25" customHeight="1" thickTop="1" x14ac:dyDescent="0.2">
      <c r="A19" s="546"/>
      <c r="B19" s="546"/>
      <c r="C19" s="546"/>
      <c r="D19" s="546"/>
      <c r="E19" s="546"/>
      <c r="F19" s="546"/>
      <c r="G19" s="546"/>
      <c r="H19" s="546"/>
    </row>
    <row r="20" spans="1:13" ht="88.5" customHeight="1" x14ac:dyDescent="0.2">
      <c r="A20" s="546"/>
      <c r="B20" s="546"/>
      <c r="C20" s="546"/>
      <c r="D20" s="546"/>
      <c r="E20" s="546"/>
      <c r="F20" s="546"/>
      <c r="G20" s="546"/>
      <c r="H20" s="546"/>
    </row>
    <row r="21" spans="1:13" ht="88.5" customHeight="1" x14ac:dyDescent="0.2">
      <c r="A21" s="546"/>
      <c r="B21" s="546"/>
      <c r="C21" s="546"/>
      <c r="D21" s="546"/>
      <c r="E21" s="546"/>
      <c r="F21" s="546"/>
      <c r="G21" s="546"/>
      <c r="H21" s="546"/>
    </row>
    <row r="22" spans="1:13" ht="88.5" customHeight="1" x14ac:dyDescent="0.2">
      <c r="A22" s="546"/>
      <c r="B22" s="546"/>
      <c r="C22" s="546"/>
      <c r="D22" s="546"/>
      <c r="E22" s="546"/>
      <c r="F22" s="546"/>
      <c r="G22" s="546"/>
      <c r="H22" s="546"/>
    </row>
    <row r="23" spans="1:13" ht="35.25" hidden="1" customHeight="1" x14ac:dyDescent="0.2">
      <c r="A23" s="984" t="s">
        <v>277</v>
      </c>
      <c r="B23" s="984"/>
      <c r="C23" s="984"/>
      <c r="D23" s="984"/>
      <c r="E23" s="984"/>
      <c r="F23" s="984"/>
      <c r="G23" s="984"/>
      <c r="H23" s="984"/>
    </row>
    <row r="24" spans="1:13" ht="15" customHeight="1" x14ac:dyDescent="0.2">
      <c r="A24" s="546"/>
      <c r="B24" s="546"/>
      <c r="C24" s="546"/>
      <c r="D24" s="546"/>
      <c r="E24" s="546"/>
      <c r="F24" s="546"/>
      <c r="G24" s="546"/>
      <c r="H24" s="546"/>
    </row>
    <row r="25" spans="1:13" ht="55.5" customHeight="1" x14ac:dyDescent="0.2">
      <c r="A25" s="984" t="s">
        <v>645</v>
      </c>
      <c r="B25" s="984"/>
      <c r="C25" s="984"/>
      <c r="D25" s="984"/>
      <c r="E25" s="984"/>
      <c r="F25" s="984"/>
      <c r="G25" s="984"/>
      <c r="H25" s="984"/>
      <c r="L25" s="700"/>
    </row>
    <row r="26" spans="1:13" ht="38.25" customHeight="1" x14ac:dyDescent="0.2">
      <c r="A26" s="667"/>
      <c r="B26" s="667"/>
      <c r="C26" s="667"/>
      <c r="D26" s="667"/>
      <c r="E26" s="667"/>
      <c r="F26" s="667"/>
      <c r="G26" s="667"/>
      <c r="H26" s="667"/>
      <c r="L26" s="707"/>
    </row>
    <row r="27" spans="1:13" ht="38.25" customHeight="1" x14ac:dyDescent="0.2">
      <c r="A27" s="667"/>
      <c r="B27" s="667"/>
      <c r="C27" s="667"/>
      <c r="D27" s="667"/>
      <c r="E27" s="667"/>
      <c r="F27" s="667"/>
      <c r="G27" s="667"/>
      <c r="H27" s="667"/>
      <c r="J27" s="700"/>
      <c r="L27" s="707"/>
      <c r="M27" s="707"/>
    </row>
    <row r="28" spans="1:13" ht="38.25" customHeight="1" x14ac:dyDescent="0.2">
      <c r="A28" s="667"/>
      <c r="B28" s="667"/>
      <c r="C28" s="667"/>
      <c r="D28" s="667"/>
      <c r="E28" s="667"/>
      <c r="F28" s="667"/>
      <c r="G28" s="667"/>
      <c r="H28" s="667"/>
      <c r="J28" s="700"/>
      <c r="L28" s="707"/>
    </row>
    <row r="29" spans="1:13" ht="38.25" customHeight="1" x14ac:dyDescent="0.2">
      <c r="A29" s="667"/>
      <c r="B29" s="667"/>
      <c r="C29" s="667"/>
      <c r="D29" s="667"/>
      <c r="E29" s="667"/>
      <c r="F29" s="667"/>
      <c r="G29" s="667"/>
      <c r="H29" s="667"/>
    </row>
    <row r="30" spans="1:13" ht="38.25" customHeight="1" x14ac:dyDescent="0.2">
      <c r="A30" s="667"/>
      <c r="B30" s="667"/>
      <c r="C30" s="667"/>
      <c r="D30" s="667"/>
      <c r="E30" s="667"/>
      <c r="F30" s="667"/>
      <c r="G30" s="667"/>
      <c r="H30" s="667"/>
      <c r="J30" s="707"/>
    </row>
    <row r="31" spans="1:13" ht="38.25" customHeight="1" x14ac:dyDescent="0.2">
      <c r="A31" s="667"/>
      <c r="B31" s="667"/>
      <c r="C31" s="667"/>
      <c r="D31" s="667"/>
      <c r="E31" s="667"/>
      <c r="F31" s="667"/>
      <c r="G31" s="667"/>
      <c r="H31" s="667"/>
      <c r="J31" s="707"/>
    </row>
    <row r="32" spans="1:13" ht="38.25" customHeight="1" x14ac:dyDescent="0.2">
      <c r="A32" s="667"/>
      <c r="B32" s="667"/>
      <c r="C32" s="667"/>
      <c r="D32" s="667"/>
      <c r="E32" s="667"/>
      <c r="F32" s="667"/>
      <c r="G32" s="667"/>
      <c r="H32" s="667"/>
    </row>
    <row r="33" spans="1:12" ht="21.75" customHeight="1" x14ac:dyDescent="0.2">
      <c r="A33" s="667"/>
      <c r="B33" s="667"/>
      <c r="C33" s="667"/>
      <c r="D33" s="667"/>
      <c r="E33" s="667"/>
      <c r="F33" s="667"/>
      <c r="G33" s="667"/>
      <c r="H33" s="667"/>
    </row>
    <row r="34" spans="1:12" ht="30" hidden="1" customHeight="1" x14ac:dyDescent="0.25">
      <c r="A34" s="475"/>
      <c r="B34" s="616" t="s">
        <v>300</v>
      </c>
      <c r="C34" s="617" t="s">
        <v>337</v>
      </c>
      <c r="D34" s="616" t="s">
        <v>239</v>
      </c>
      <c r="E34" s="618" t="s">
        <v>365</v>
      </c>
      <c r="F34" s="618" t="s">
        <v>371</v>
      </c>
      <c r="G34" s="618" t="s">
        <v>394</v>
      </c>
      <c r="H34" s="618" t="s">
        <v>301</v>
      </c>
      <c r="I34" s="595"/>
      <c r="J34" s="596"/>
      <c r="K34" s="595"/>
    </row>
    <row r="35" spans="1:12" ht="15" hidden="1" x14ac:dyDescent="0.2">
      <c r="A35" s="475"/>
      <c r="B35" s="43" t="s">
        <v>368</v>
      </c>
      <c r="C35" s="589">
        <v>-20</v>
      </c>
      <c r="D35" s="589">
        <v>71.92</v>
      </c>
      <c r="E35" s="589">
        <f>10762-10528</f>
        <v>234</v>
      </c>
      <c r="F35" s="589">
        <v>-190</v>
      </c>
      <c r="G35" s="600">
        <v>95.95</v>
      </c>
      <c r="H35" s="696">
        <f>G35/G$45</f>
        <v>5.2028752623263139E-4</v>
      </c>
      <c r="I35" s="93"/>
      <c r="J35" s="686"/>
      <c r="K35" s="18"/>
    </row>
    <row r="36" spans="1:12" ht="15" hidden="1" x14ac:dyDescent="0.2">
      <c r="A36" s="475"/>
      <c r="B36" s="43" t="s">
        <v>240</v>
      </c>
      <c r="C36" s="606">
        <v>38489.56</v>
      </c>
      <c r="D36" s="606">
        <v>1957.5</v>
      </c>
      <c r="E36" s="606"/>
      <c r="F36" s="606">
        <v>3786.43</v>
      </c>
      <c r="G36" s="606">
        <f>C36+D36+F36+E36</f>
        <v>44233.49</v>
      </c>
      <c r="H36" s="696">
        <f>G36/G$45</f>
        <v>0.2398554777356523</v>
      </c>
      <c r="I36" s="597"/>
      <c r="J36" s="686"/>
      <c r="K36" s="687"/>
    </row>
    <row r="37" spans="1:12" ht="15" hidden="1" x14ac:dyDescent="0.25">
      <c r="A37" s="475"/>
      <c r="B37" s="43" t="s">
        <v>241</v>
      </c>
      <c r="C37" s="606">
        <v>14903.11</v>
      </c>
      <c r="D37" s="606">
        <v>192.85</v>
      </c>
      <c r="E37" s="606">
        <v>-15478.91</v>
      </c>
      <c r="F37" s="606">
        <v>382.95</v>
      </c>
      <c r="G37" s="606">
        <f t="shared" ref="G37:G44" si="1">C37+D37+F37+E37</f>
        <v>0</v>
      </c>
      <c r="H37" s="696"/>
      <c r="I37" s="598"/>
      <c r="J37" s="686"/>
      <c r="K37" s="687"/>
      <c r="L37" s="497"/>
    </row>
    <row r="38" spans="1:12" ht="15" hidden="1" x14ac:dyDescent="0.2">
      <c r="A38" s="475"/>
      <c r="B38" s="43" t="s">
        <v>242</v>
      </c>
      <c r="C38" s="606">
        <v>44091.09</v>
      </c>
      <c r="D38" s="606">
        <f>3207.47-14</f>
        <v>3193.47</v>
      </c>
      <c r="E38" s="606"/>
      <c r="F38" s="606">
        <f>10544.9+14</f>
        <v>10558.9</v>
      </c>
      <c r="G38" s="606">
        <f t="shared" si="1"/>
        <v>57843.46</v>
      </c>
      <c r="H38" s="696">
        <f>G38/G$45</f>
        <v>0.31365534874555673</v>
      </c>
      <c r="I38" s="597"/>
      <c r="J38" s="686"/>
      <c r="K38" s="687"/>
      <c r="L38" s="497"/>
    </row>
    <row r="39" spans="1:12" ht="15" hidden="1" x14ac:dyDescent="0.25">
      <c r="A39" s="475"/>
      <c r="B39" s="43" t="s">
        <v>243</v>
      </c>
      <c r="C39" s="606">
        <v>21132.04</v>
      </c>
      <c r="D39" s="606">
        <v>549.69000000000005</v>
      </c>
      <c r="E39" s="606"/>
      <c r="F39" s="606">
        <v>-212.79</v>
      </c>
      <c r="G39" s="606">
        <f t="shared" si="1"/>
        <v>21468.94</v>
      </c>
      <c r="H39" s="696">
        <f>G39/G$45</f>
        <v>0.11641502536150901</v>
      </c>
      <c r="I39" s="598"/>
      <c r="J39" s="686"/>
      <c r="K39" s="687"/>
      <c r="L39" s="497"/>
    </row>
    <row r="40" spans="1:12" ht="15" hidden="1" x14ac:dyDescent="0.25">
      <c r="A40" s="475"/>
      <c r="B40" s="43" t="s">
        <v>244</v>
      </c>
      <c r="C40" s="606">
        <v>21091.57</v>
      </c>
      <c r="D40" s="606">
        <v>438.93</v>
      </c>
      <c r="E40" s="606">
        <v>-22513.11</v>
      </c>
      <c r="F40" s="606">
        <v>982.61</v>
      </c>
      <c r="G40" s="606">
        <f t="shared" si="1"/>
        <v>0</v>
      </c>
      <c r="H40" s="696"/>
      <c r="I40" s="598"/>
      <c r="J40" s="686"/>
      <c r="K40" s="687"/>
      <c r="L40" s="497"/>
    </row>
    <row r="41" spans="1:12" ht="15" hidden="1" x14ac:dyDescent="0.25">
      <c r="A41" s="475"/>
      <c r="B41" s="43" t="s">
        <v>245</v>
      </c>
      <c r="C41" s="606">
        <v>19933.830000000002</v>
      </c>
      <c r="D41" s="606">
        <v>860.03</v>
      </c>
      <c r="E41" s="606">
        <v>-10770</v>
      </c>
      <c r="F41" s="606">
        <v>-375.6</v>
      </c>
      <c r="G41" s="606">
        <f t="shared" si="1"/>
        <v>9648.260000000002</v>
      </c>
      <c r="H41" s="696">
        <f>G41/G$45</f>
        <v>5.2317554224588322E-2</v>
      </c>
      <c r="I41" s="598"/>
      <c r="J41" s="686"/>
      <c r="K41" s="687"/>
      <c r="L41" s="497"/>
    </row>
    <row r="42" spans="1:12" ht="15" hidden="1" x14ac:dyDescent="0.25">
      <c r="A42" s="691"/>
      <c r="B42" s="43" t="s">
        <v>366</v>
      </c>
      <c r="C42" s="606"/>
      <c r="D42" s="606">
        <v>140.21</v>
      </c>
      <c r="E42" s="606">
        <v>15482.91</v>
      </c>
      <c r="F42" s="606">
        <v>64.31</v>
      </c>
      <c r="G42" s="606">
        <f t="shared" si="1"/>
        <v>15687.43</v>
      </c>
      <c r="H42" s="696">
        <f>G42/G$45</f>
        <v>8.5064868657087747E-2</v>
      </c>
      <c r="I42" s="598"/>
      <c r="J42" s="686"/>
      <c r="K42" s="687"/>
      <c r="L42" s="497"/>
    </row>
    <row r="43" spans="1:12" ht="15" hidden="1" x14ac:dyDescent="0.25">
      <c r="A43" s="691"/>
      <c r="B43" s="43" t="s">
        <v>367</v>
      </c>
      <c r="C43" s="606"/>
      <c r="D43" s="606">
        <v>512.02</v>
      </c>
      <c r="E43" s="606">
        <v>22517.11</v>
      </c>
      <c r="F43" s="606">
        <v>817.76</v>
      </c>
      <c r="G43" s="606">
        <f t="shared" si="1"/>
        <v>23846.89</v>
      </c>
      <c r="H43" s="696">
        <f>G43/G$45</f>
        <v>0.12930942580971</v>
      </c>
      <c r="I43" s="598"/>
      <c r="J43" s="686"/>
      <c r="K43" s="687"/>
      <c r="L43" s="497"/>
    </row>
    <row r="44" spans="1:12" ht="17.25" hidden="1" customHeight="1" x14ac:dyDescent="0.2">
      <c r="A44" s="475"/>
      <c r="B44" s="43" t="s">
        <v>387</v>
      </c>
      <c r="C44" s="589"/>
      <c r="D44" s="522">
        <v>81.599999999999994</v>
      </c>
      <c r="E44" s="701">
        <v>10528</v>
      </c>
      <c r="F44" s="589">
        <v>983.24</v>
      </c>
      <c r="G44" s="589">
        <f t="shared" si="1"/>
        <v>11592.84</v>
      </c>
      <c r="H44" s="696">
        <f>G44/G$45</f>
        <v>6.2862011939663356E-2</v>
      </c>
      <c r="I44" s="597"/>
      <c r="J44" s="686"/>
      <c r="K44" s="687"/>
      <c r="L44" s="497"/>
    </row>
    <row r="45" spans="1:12" ht="15" hidden="1" x14ac:dyDescent="0.25">
      <c r="A45" s="475"/>
      <c r="B45" s="590" t="s">
        <v>257</v>
      </c>
      <c r="C45" s="591">
        <f>SUM(C35:C44)</f>
        <v>159621.20000000001</v>
      </c>
      <c r="D45" s="592">
        <f>SUM(D36:D44)</f>
        <v>7926.3000000000011</v>
      </c>
      <c r="E45" s="591">
        <f>SUM(E35:E44)</f>
        <v>0</v>
      </c>
      <c r="F45" s="591">
        <f>SUM(F35:F44)+72</f>
        <v>16869.809999999998</v>
      </c>
      <c r="G45" s="591">
        <f>SUM(G35:G44)</f>
        <v>184417.25999999998</v>
      </c>
      <c r="H45" s="697">
        <f>SUM(H35:H44)</f>
        <v>1.0000000000000002</v>
      </c>
      <c r="I45" s="599"/>
      <c r="J45" s="686"/>
      <c r="K45" s="687"/>
    </row>
    <row r="46" spans="1:12" ht="15" hidden="1" x14ac:dyDescent="0.2">
      <c r="A46" s="485"/>
      <c r="B46" s="688"/>
      <c r="C46" s="689"/>
      <c r="D46" s="689"/>
      <c r="E46" s="689"/>
      <c r="F46" s="689"/>
      <c r="G46" s="690"/>
      <c r="I46" s="1"/>
      <c r="J46" s="686"/>
      <c r="K46" s="687"/>
    </row>
    <row r="47" spans="1:12" ht="15" hidden="1" x14ac:dyDescent="0.2">
      <c r="A47" s="667"/>
      <c r="B47" s="18"/>
      <c r="C47" s="523"/>
      <c r="D47" s="523"/>
      <c r="E47" s="523"/>
      <c r="F47" s="523"/>
      <c r="G47" s="685"/>
      <c r="I47" s="1"/>
      <c r="J47" s="686"/>
      <c r="K47" s="687"/>
    </row>
    <row r="48" spans="1:12" ht="15" hidden="1" x14ac:dyDescent="0.2">
      <c r="A48" s="667"/>
      <c r="B48" s="1003" t="s">
        <v>362</v>
      </c>
      <c r="C48" s="1003"/>
      <c r="D48" s="1003"/>
      <c r="E48" s="1003"/>
      <c r="F48" s="667"/>
      <c r="G48" s="667"/>
      <c r="H48" s="667"/>
      <c r="J48" s="686"/>
      <c r="K48" s="687"/>
    </row>
    <row r="49" spans="1:11" ht="47.25" hidden="1" customHeight="1" x14ac:dyDescent="0.2">
      <c r="A49" s="475"/>
      <c r="B49" s="1004" t="s">
        <v>254</v>
      </c>
      <c r="C49" s="1005"/>
      <c r="D49" s="1005"/>
      <c r="E49" s="1005"/>
      <c r="F49" s="1005"/>
      <c r="G49" s="1005"/>
      <c r="H49" s="498"/>
      <c r="J49" s="686"/>
      <c r="K49" s="687"/>
    </row>
    <row r="50" spans="1:11" ht="47.25" hidden="1" customHeight="1" x14ac:dyDescent="0.2">
      <c r="A50" s="475"/>
      <c r="B50" s="1004" t="s">
        <v>256</v>
      </c>
      <c r="C50" s="1005"/>
      <c r="D50" s="1005"/>
      <c r="E50" s="1005"/>
      <c r="F50" s="1005"/>
      <c r="G50" s="1005"/>
      <c r="H50" s="498"/>
      <c r="J50" s="686"/>
      <c r="K50" s="687"/>
    </row>
    <row r="51" spans="1:11" ht="42" hidden="1" customHeight="1" x14ac:dyDescent="0.2">
      <c r="A51" s="475"/>
      <c r="B51" s="1006" t="s">
        <v>253</v>
      </c>
      <c r="C51" s="1007"/>
      <c r="D51" s="1007"/>
      <c r="E51" s="1007"/>
      <c r="F51" s="1007"/>
      <c r="G51" s="1007"/>
      <c r="H51" s="498"/>
      <c r="J51" s="686"/>
      <c r="K51" s="687"/>
    </row>
    <row r="52" spans="1:11" ht="47.25" hidden="1" customHeight="1" x14ac:dyDescent="0.2">
      <c r="A52" s="475"/>
      <c r="B52" s="1004" t="s">
        <v>252</v>
      </c>
      <c r="C52" s="1005"/>
      <c r="D52" s="1005"/>
      <c r="E52" s="1005"/>
      <c r="F52" s="1005"/>
      <c r="G52" s="1005"/>
      <c r="H52" s="498"/>
      <c r="J52" s="686"/>
      <c r="K52" s="687"/>
    </row>
    <row r="53" spans="1:11" ht="47.25" hidden="1" customHeight="1" x14ac:dyDescent="0.2">
      <c r="A53" s="475"/>
      <c r="B53" s="1004" t="s">
        <v>251</v>
      </c>
      <c r="C53" s="1005"/>
      <c r="D53" s="1005"/>
      <c r="E53" s="1005"/>
      <c r="F53" s="1005"/>
      <c r="G53" s="1005"/>
      <c r="H53" s="498"/>
      <c r="J53" s="686"/>
      <c r="K53" s="687"/>
    </row>
    <row r="54" spans="1:11" ht="47.25" hidden="1" customHeight="1" x14ac:dyDescent="0.2">
      <c r="A54" s="475"/>
      <c r="B54" s="1004" t="s">
        <v>250</v>
      </c>
      <c r="C54" s="1005"/>
      <c r="D54" s="1005"/>
      <c r="E54" s="1005"/>
      <c r="F54" s="1005"/>
      <c r="G54" s="1005"/>
      <c r="H54" s="498"/>
      <c r="J54" s="686"/>
      <c r="K54" s="687"/>
    </row>
    <row r="55" spans="1:11" ht="46.5" hidden="1" customHeight="1" x14ac:dyDescent="0.2">
      <c r="A55" s="691"/>
      <c r="B55" s="1008" t="s">
        <v>369</v>
      </c>
      <c r="C55" s="1009"/>
      <c r="D55" s="1009"/>
      <c r="E55" s="1009"/>
      <c r="F55" s="1009"/>
      <c r="G55" s="1009"/>
      <c r="H55" s="498"/>
      <c r="J55" s="686"/>
      <c r="K55" s="695"/>
    </row>
    <row r="56" spans="1:11" ht="38.25" hidden="1" customHeight="1" x14ac:dyDescent="0.2">
      <c r="A56" s="691"/>
      <c r="B56" s="1008" t="s">
        <v>370</v>
      </c>
      <c r="C56" s="1009"/>
      <c r="D56" s="1009"/>
      <c r="E56" s="1009"/>
      <c r="F56" s="1009"/>
      <c r="G56" s="1009"/>
      <c r="H56" s="498"/>
      <c r="J56" s="686"/>
      <c r="K56" s="687"/>
    </row>
    <row r="57" spans="1:11" ht="93" hidden="1" customHeight="1" x14ac:dyDescent="0.2">
      <c r="A57" s="475"/>
      <c r="B57" s="1010" t="s">
        <v>386</v>
      </c>
      <c r="C57" s="1009"/>
      <c r="D57" s="1009"/>
      <c r="E57" s="1009"/>
      <c r="F57" s="1009"/>
      <c r="G57" s="1009"/>
      <c r="H57" s="475"/>
      <c r="J57" s="686"/>
      <c r="K57" s="687"/>
    </row>
    <row r="58" spans="1:11" ht="32.25" customHeight="1" x14ac:dyDescent="0.25">
      <c r="A58" s="985" t="s">
        <v>436</v>
      </c>
      <c r="B58" s="985"/>
      <c r="C58" s="985"/>
      <c r="D58" s="985"/>
      <c r="E58" s="985"/>
      <c r="F58" s="985"/>
      <c r="G58" s="985"/>
      <c r="H58" s="985"/>
      <c r="J58" s="686"/>
      <c r="K58" s="687"/>
    </row>
    <row r="59" spans="1:11" ht="16.5" customHeight="1" x14ac:dyDescent="0.25">
      <c r="A59" s="742"/>
      <c r="B59" s="683" t="s">
        <v>360</v>
      </c>
      <c r="C59" s="742"/>
      <c r="D59" s="742"/>
      <c r="E59" s="742"/>
      <c r="F59" s="742"/>
      <c r="G59" s="742"/>
      <c r="H59" s="742"/>
      <c r="J59" s="686"/>
      <c r="K59" s="687"/>
    </row>
    <row r="60" spans="1:11" ht="15" x14ac:dyDescent="0.25">
      <c r="A60" s="741"/>
      <c r="B60" s="740" t="s">
        <v>246</v>
      </c>
      <c r="C60" s="477" t="s">
        <v>247</v>
      </c>
      <c r="D60" s="740" t="s">
        <v>248</v>
      </c>
      <c r="E60" s="991" t="s">
        <v>24</v>
      </c>
      <c r="F60" s="992"/>
      <c r="G60" s="740" t="s">
        <v>249</v>
      </c>
      <c r="H60" s="741"/>
      <c r="J60" s="686"/>
      <c r="K60" s="687"/>
    </row>
    <row r="61" spans="1:11" ht="30" customHeight="1" x14ac:dyDescent="0.2">
      <c r="A61" s="601"/>
      <c r="B61" s="478">
        <v>44652</v>
      </c>
      <c r="C61" s="484" t="s">
        <v>496</v>
      </c>
      <c r="D61" s="605" t="s">
        <v>497</v>
      </c>
      <c r="E61" s="983" t="s">
        <v>498</v>
      </c>
      <c r="F61" s="983"/>
      <c r="G61" s="479">
        <f>907.75+545</f>
        <v>1452.75</v>
      </c>
      <c r="H61" s="601"/>
    </row>
    <row r="62" spans="1:11" ht="30" customHeight="1" x14ac:dyDescent="0.2">
      <c r="A62" s="601"/>
      <c r="B62" s="478">
        <v>44651</v>
      </c>
      <c r="C62" s="484" t="s">
        <v>499</v>
      </c>
      <c r="D62" s="605" t="s">
        <v>500</v>
      </c>
      <c r="E62" s="983" t="s">
        <v>501</v>
      </c>
      <c r="F62" s="983"/>
      <c r="G62" s="479">
        <v>1337.42</v>
      </c>
      <c r="H62" s="601"/>
    </row>
    <row r="63" spans="1:11" ht="30" customHeight="1" x14ac:dyDescent="0.2">
      <c r="A63" s="601"/>
      <c r="B63" s="478">
        <v>44743</v>
      </c>
      <c r="C63" s="484" t="s">
        <v>516</v>
      </c>
      <c r="D63" s="605" t="s">
        <v>517</v>
      </c>
      <c r="E63" s="983" t="s">
        <v>518</v>
      </c>
      <c r="F63" s="983"/>
      <c r="G63" s="479">
        <v>18472.34</v>
      </c>
      <c r="H63" s="601"/>
    </row>
    <row r="64" spans="1:11" ht="30" customHeight="1" x14ac:dyDescent="0.2">
      <c r="A64" s="615"/>
      <c r="B64" s="478">
        <v>44866</v>
      </c>
      <c r="C64" s="484" t="s">
        <v>516</v>
      </c>
      <c r="D64" s="605" t="s">
        <v>517</v>
      </c>
      <c r="E64" s="983" t="s">
        <v>646</v>
      </c>
      <c r="F64" s="983"/>
      <c r="G64" s="479">
        <v>12624.74</v>
      </c>
      <c r="H64" s="623"/>
    </row>
    <row r="65" spans="1:8" ht="39" customHeight="1" x14ac:dyDescent="0.2">
      <c r="A65" s="615"/>
      <c r="B65" s="478">
        <v>44866</v>
      </c>
      <c r="C65" s="484" t="s">
        <v>516</v>
      </c>
      <c r="D65" s="605" t="s">
        <v>517</v>
      </c>
      <c r="E65" s="983" t="s">
        <v>646</v>
      </c>
      <c r="F65" s="983"/>
      <c r="G65" s="479">
        <v>12624.74</v>
      </c>
      <c r="H65" s="615"/>
    </row>
    <row r="66" spans="1:8" ht="30" hidden="1" customHeight="1" x14ac:dyDescent="0.2">
      <c r="A66" s="615"/>
      <c r="B66" s="478"/>
      <c r="C66" s="484"/>
      <c r="D66" s="605"/>
      <c r="E66" s="983"/>
      <c r="F66" s="983"/>
      <c r="G66" s="479"/>
      <c r="H66" s="615"/>
    </row>
    <row r="67" spans="1:8" ht="30" hidden="1" customHeight="1" x14ac:dyDescent="0.2">
      <c r="A67" s="601"/>
      <c r="B67" s="478"/>
      <c r="C67" s="484"/>
      <c r="D67" s="543"/>
      <c r="E67" s="983"/>
      <c r="F67" s="983"/>
      <c r="G67" s="479"/>
      <c r="H67" s="601"/>
    </row>
    <row r="68" spans="1:8" ht="15" x14ac:dyDescent="0.2">
      <c r="A68" s="601"/>
      <c r="B68" s="535"/>
      <c r="C68" s="536"/>
      <c r="D68" s="537"/>
      <c r="E68" s="538"/>
      <c r="F68" s="482" t="s">
        <v>345</v>
      </c>
      <c r="G68" s="793">
        <f>SUM(G61:G67)</f>
        <v>46511.99</v>
      </c>
      <c r="H68" s="601"/>
    </row>
    <row r="69" spans="1:8" ht="8.25" customHeight="1" x14ac:dyDescent="0.2">
      <c r="A69" s="667"/>
      <c r="B69" s="535"/>
      <c r="C69" s="536"/>
      <c r="D69" s="537"/>
      <c r="E69" s="538"/>
      <c r="F69" s="482"/>
      <c r="G69" s="794"/>
      <c r="H69" s="667"/>
    </row>
    <row r="70" spans="1:8" ht="21.75" customHeight="1" x14ac:dyDescent="0.2">
      <c r="A70" s="667"/>
      <c r="B70" s="986"/>
      <c r="C70" s="986"/>
      <c r="D70" s="986"/>
      <c r="E70" s="986"/>
      <c r="F70" s="986"/>
      <c r="G70" s="986"/>
      <c r="H70" s="601"/>
    </row>
    <row r="71" spans="1:8" ht="15" x14ac:dyDescent="0.2">
      <c r="A71" s="601"/>
      <c r="B71" s="539" t="s">
        <v>361</v>
      </c>
      <c r="C71" s="540" t="s">
        <v>273</v>
      </c>
      <c r="D71" s="541" t="s">
        <v>272</v>
      </c>
      <c r="E71" s="989" t="s">
        <v>24</v>
      </c>
      <c r="F71" s="990"/>
      <c r="G71" s="542" t="s">
        <v>652</v>
      </c>
      <c r="H71" s="601"/>
    </row>
    <row r="72" spans="1:8" ht="15" hidden="1" x14ac:dyDescent="0.2">
      <c r="A72" s="601"/>
      <c r="B72" s="478"/>
      <c r="C72" s="544"/>
      <c r="D72" s="673"/>
      <c r="E72" s="983"/>
      <c r="F72" s="983"/>
      <c r="G72" s="480"/>
      <c r="H72" s="601"/>
    </row>
    <row r="73" spans="1:8" ht="15" x14ac:dyDescent="0.2">
      <c r="A73" s="601"/>
      <c r="B73" s="478">
        <v>44856</v>
      </c>
      <c r="C73" s="605" t="s">
        <v>517</v>
      </c>
      <c r="D73" s="673">
        <v>129715</v>
      </c>
      <c r="E73" s="983" t="s">
        <v>647</v>
      </c>
      <c r="F73" s="983"/>
      <c r="G73" s="480">
        <v>9100</v>
      </c>
      <c r="H73" s="601"/>
    </row>
    <row r="74" spans="1:8" ht="15" x14ac:dyDescent="0.2">
      <c r="A74" s="601"/>
      <c r="B74" s="481"/>
      <c r="C74" s="481"/>
      <c r="D74" s="481"/>
      <c r="E74" s="481"/>
      <c r="F74" s="482" t="s">
        <v>346</v>
      </c>
      <c r="G74" s="483">
        <f>G73</f>
        <v>9100</v>
      </c>
      <c r="H74" s="601"/>
    </row>
    <row r="75" spans="1:8" ht="11.25" customHeight="1" x14ac:dyDescent="0.2">
      <c r="A75" s="475"/>
      <c r="B75" s="475"/>
      <c r="C75" s="475"/>
      <c r="D75" s="475"/>
      <c r="E75" s="475"/>
      <c r="F75" s="475"/>
      <c r="G75" s="475"/>
      <c r="H75" s="475"/>
    </row>
    <row r="76" spans="1:8" ht="38.25" customHeight="1" x14ac:dyDescent="0.2">
      <c r="A76" s="984" t="s">
        <v>648</v>
      </c>
      <c r="B76" s="984"/>
      <c r="C76" s="984"/>
      <c r="D76" s="984"/>
      <c r="E76" s="984"/>
      <c r="F76" s="984"/>
      <c r="G76" s="984"/>
      <c r="H76" s="984"/>
    </row>
    <row r="77" spans="1:8" ht="15.75" hidden="1" customHeight="1" x14ac:dyDescent="0.2">
      <c r="A77" s="440"/>
      <c r="C77" s="987" t="s">
        <v>271</v>
      </c>
      <c r="D77" s="987"/>
      <c r="E77" s="486">
        <v>1823.85</v>
      </c>
      <c r="F77" s="993" t="s">
        <v>274</v>
      </c>
      <c r="G77" s="993"/>
      <c r="H77" s="440"/>
    </row>
    <row r="78" spans="1:8" ht="15.75" hidden="1" customHeight="1" x14ac:dyDescent="0.2">
      <c r="A78" s="440"/>
      <c r="C78" s="987"/>
      <c r="D78" s="987"/>
      <c r="E78" s="486"/>
      <c r="F78" s="993"/>
      <c r="G78" s="993"/>
      <c r="H78" s="440"/>
    </row>
    <row r="79" spans="1:8" ht="15.75" hidden="1" customHeight="1" x14ac:dyDescent="0.2">
      <c r="A79" s="440"/>
      <c r="C79" s="987"/>
      <c r="D79" s="987"/>
      <c r="E79" s="486"/>
      <c r="F79" s="993"/>
      <c r="G79" s="993"/>
      <c r="H79" s="440"/>
    </row>
    <row r="80" spans="1:8" ht="15.75" hidden="1" customHeight="1" x14ac:dyDescent="0.2">
      <c r="A80" s="440"/>
      <c r="C80" s="987" t="s">
        <v>233</v>
      </c>
      <c r="D80" s="987"/>
      <c r="E80" s="486">
        <f>1689.92+2978.07</f>
        <v>4667.99</v>
      </c>
      <c r="F80" s="993" t="s">
        <v>275</v>
      </c>
      <c r="G80" s="993"/>
      <c r="H80" s="440"/>
    </row>
    <row r="81" spans="1:23" ht="16.5" hidden="1" thickBot="1" x14ac:dyDescent="0.25">
      <c r="A81" s="440"/>
      <c r="B81" s="448"/>
      <c r="C81" s="997" t="s">
        <v>209</v>
      </c>
      <c r="D81" s="997"/>
      <c r="E81" s="445">
        <f>SUM(E77:E80)</f>
        <v>6491.84</v>
      </c>
      <c r="F81" s="448"/>
      <c r="G81" s="448"/>
      <c r="H81" s="440"/>
    </row>
    <row r="82" spans="1:23" ht="9.75" customHeight="1" x14ac:dyDescent="0.2">
      <c r="A82" s="440"/>
      <c r="B82" s="533"/>
      <c r="C82" s="534"/>
      <c r="D82" s="534"/>
      <c r="E82" s="545"/>
      <c r="F82" s="533"/>
      <c r="G82" s="533"/>
      <c r="H82" s="440"/>
    </row>
    <row r="83" spans="1:23" ht="33" customHeight="1" x14ac:dyDescent="0.25">
      <c r="A83" s="985" t="s">
        <v>515</v>
      </c>
      <c r="B83" s="985"/>
      <c r="C83" s="985"/>
      <c r="D83" s="985"/>
      <c r="E83" s="985"/>
      <c r="F83" s="985"/>
      <c r="G83" s="985"/>
      <c r="H83" s="985"/>
    </row>
    <row r="84" spans="1:23" ht="11.25" hidden="1" customHeight="1" x14ac:dyDescent="0.2">
      <c r="A84" s="668"/>
      <c r="B84" s="668"/>
      <c r="C84" s="668"/>
      <c r="D84" s="668"/>
      <c r="E84" s="668"/>
      <c r="F84" s="668"/>
      <c r="G84" s="668"/>
      <c r="H84" s="668"/>
    </row>
    <row r="85" spans="1:23" ht="47.25" hidden="1" customHeight="1" x14ac:dyDescent="0.2">
      <c r="A85" s="988" t="s">
        <v>396</v>
      </c>
      <c r="B85" s="988"/>
      <c r="C85" s="988"/>
      <c r="D85" s="988"/>
      <c r="E85" s="988"/>
      <c r="F85" s="988"/>
      <c r="G85" s="988"/>
      <c r="H85" s="988"/>
    </row>
    <row r="86" spans="1:23" ht="8.25" customHeight="1" x14ac:dyDescent="0.2">
      <c r="A86" s="440"/>
      <c r="B86" s="533"/>
      <c r="C86" s="534"/>
      <c r="D86" s="534"/>
      <c r="E86" s="545"/>
      <c r="F86" s="533"/>
      <c r="G86" s="533"/>
      <c r="H86" s="440"/>
    </row>
    <row r="87" spans="1:23" ht="97.5" customHeight="1" x14ac:dyDescent="0.2">
      <c r="A87" s="984" t="s">
        <v>650</v>
      </c>
      <c r="B87" s="984"/>
      <c r="C87" s="984"/>
      <c r="D87" s="984"/>
      <c r="E87" s="984"/>
      <c r="F87" s="984"/>
      <c r="G87" s="984"/>
      <c r="H87" s="984"/>
      <c r="V87" s="474"/>
      <c r="W87" s="473"/>
    </row>
    <row r="88" spans="1:23" ht="47.25" x14ac:dyDescent="0.2">
      <c r="A88" s="447"/>
      <c r="B88" s="999" t="s">
        <v>200</v>
      </c>
      <c r="C88" s="999"/>
      <c r="D88" s="450" t="s">
        <v>201</v>
      </c>
      <c r="E88" s="441" t="s">
        <v>202</v>
      </c>
      <c r="F88" s="450" t="s">
        <v>203</v>
      </c>
      <c r="G88" s="450" t="s">
        <v>649</v>
      </c>
      <c r="H88" s="447"/>
      <c r="V88" s="474"/>
      <c r="W88" s="473"/>
    </row>
    <row r="89" spans="1:23" ht="15.75" customHeight="1" x14ac:dyDescent="0.2">
      <c r="A89" s="447"/>
      <c r="B89" s="1002" t="s">
        <v>11</v>
      </c>
      <c r="C89" s="1002"/>
      <c r="D89" s="1002"/>
      <c r="E89" s="449"/>
      <c r="F89" s="449"/>
      <c r="G89" s="449"/>
      <c r="H89" s="447"/>
      <c r="V89" s="474"/>
      <c r="W89" s="473"/>
    </row>
    <row r="90" spans="1:23" ht="15.75" customHeight="1" x14ac:dyDescent="0.2">
      <c r="A90" s="447"/>
      <c r="B90" s="1000" t="s">
        <v>234</v>
      </c>
      <c r="C90" s="1000"/>
      <c r="D90" s="743">
        <f>'December''22 Revenues &amp; Expenses'!G48</f>
        <v>2943</v>
      </c>
      <c r="E90" s="743">
        <f>3080+5000</f>
        <v>8080</v>
      </c>
      <c r="F90" s="743">
        <f>-'December''22 Revenues &amp; Expenses'!H48-'December''22 Revenues &amp; Expenses'!H49-'December''22 Revenues &amp; Expenses'!H50</f>
        <v>-7186.83</v>
      </c>
      <c r="G90" s="743">
        <f>'December''22 Revenues &amp; Expenses'!K48+'December''22 Revenues &amp; Expenses'!K49+'December''22 Revenues &amp; Expenses'!K50</f>
        <v>3836.17</v>
      </c>
      <c r="H90" s="752"/>
      <c r="I90" s="906"/>
      <c r="V90" s="474"/>
      <c r="W90" s="473"/>
    </row>
    <row r="91" spans="1:23" ht="15.75" customHeight="1" x14ac:dyDescent="0.2">
      <c r="A91" s="447"/>
      <c r="B91" s="1000" t="s">
        <v>235</v>
      </c>
      <c r="C91" s="1000"/>
      <c r="D91" s="743">
        <v>25000</v>
      </c>
      <c r="E91" s="824">
        <f>2500+27500</f>
        <v>30000</v>
      </c>
      <c r="F91" s="743">
        <f>-'December''22 Revenues &amp; Expenses'!H46</f>
        <v>-27500</v>
      </c>
      <c r="G91" s="743">
        <f>'December''22 Revenues &amp; Expenses'!I46+'December''22 Revenues &amp; Expenses'!K47</f>
        <v>27500</v>
      </c>
      <c r="H91" s="447"/>
      <c r="V91" s="474"/>
      <c r="W91" s="473"/>
    </row>
    <row r="92" spans="1:23" ht="15.75" customHeight="1" x14ac:dyDescent="0.2">
      <c r="A92" s="447"/>
      <c r="B92" s="1000" t="s">
        <v>463</v>
      </c>
      <c r="C92" s="1000"/>
      <c r="D92" s="813">
        <v>100000</v>
      </c>
      <c r="E92" s="813">
        <v>100000</v>
      </c>
      <c r="F92" s="813">
        <v>-100000</v>
      </c>
      <c r="G92" s="813">
        <f>'December''22 Revenues &amp; Expenses'!K51</f>
        <v>100000</v>
      </c>
      <c r="H92" s="447"/>
      <c r="V92" s="474"/>
      <c r="W92" s="473"/>
    </row>
    <row r="93" spans="1:23" ht="15.75" customHeight="1" x14ac:dyDescent="0.2">
      <c r="A93" s="447"/>
      <c r="B93" s="1002" t="s">
        <v>17</v>
      </c>
      <c r="C93" s="1002"/>
      <c r="D93" s="743"/>
      <c r="E93" s="743"/>
      <c r="F93" s="743"/>
      <c r="G93" s="743"/>
      <c r="H93" s="447"/>
      <c r="V93" s="474"/>
    </row>
    <row r="94" spans="1:23" ht="15.75" customHeight="1" x14ac:dyDescent="0.2">
      <c r="A94" s="447"/>
      <c r="B94" s="1000" t="s">
        <v>489</v>
      </c>
      <c r="C94" s="1000"/>
      <c r="D94" s="743">
        <v>0</v>
      </c>
      <c r="E94" s="743">
        <f>50000+50000</f>
        <v>100000</v>
      </c>
      <c r="F94" s="743">
        <f>-'December''22 Revenues &amp; Expenses'!H52</f>
        <v>-50000</v>
      </c>
      <c r="G94" s="743">
        <f>'December''22 Revenues &amp; Expenses'!K52</f>
        <v>50000</v>
      </c>
      <c r="H94" s="447"/>
      <c r="V94" s="474"/>
    </row>
    <row r="95" spans="1:23" ht="15.75" customHeight="1" x14ac:dyDescent="0.2">
      <c r="A95" s="447"/>
      <c r="B95" s="1002" t="s">
        <v>395</v>
      </c>
      <c r="C95" s="1002"/>
      <c r="D95" s="743">
        <f>'[3]April 20 Revenues &amp; Expenses'!G71</f>
        <v>0</v>
      </c>
      <c r="E95" s="743"/>
      <c r="F95" s="743"/>
      <c r="G95" s="743"/>
      <c r="H95" s="447"/>
      <c r="V95" s="474"/>
    </row>
    <row r="96" spans="1:23" ht="15.75" customHeight="1" x14ac:dyDescent="0.2">
      <c r="A96" s="447"/>
      <c r="B96" s="1000" t="s">
        <v>397</v>
      </c>
      <c r="C96" s="1000"/>
      <c r="D96" s="708">
        <v>0</v>
      </c>
      <c r="E96" s="743"/>
      <c r="F96" s="743">
        <f>-'December''22 Revenues &amp; Expenses'!H56</f>
        <v>0</v>
      </c>
      <c r="G96" s="743">
        <f>'December''22 Revenues &amp; Expenses'!K56</f>
        <v>0</v>
      </c>
      <c r="H96" s="447"/>
      <c r="V96" s="474"/>
    </row>
    <row r="97" spans="1:22" ht="7.5" customHeight="1" x14ac:dyDescent="0.2">
      <c r="A97" s="447"/>
      <c r="B97" s="1001"/>
      <c r="C97" s="1001"/>
      <c r="D97" s="449"/>
      <c r="E97" s="449"/>
      <c r="F97" s="449"/>
      <c r="G97" s="449"/>
      <c r="H97" s="447"/>
      <c r="V97" s="474"/>
    </row>
    <row r="98" spans="1:22" ht="15.75" customHeight="1" thickBot="1" x14ac:dyDescent="0.25">
      <c r="A98" s="447"/>
      <c r="B98" s="998" t="s">
        <v>236</v>
      </c>
      <c r="C98" s="998"/>
      <c r="D98" s="442">
        <f>SUM(D89:D97)</f>
        <v>127943</v>
      </c>
      <c r="E98" s="442">
        <f>SUM(E89:E97)</f>
        <v>238080</v>
      </c>
      <c r="F98" s="442">
        <f>SUM(F89:F97)</f>
        <v>-184686.83000000002</v>
      </c>
      <c r="G98" s="442">
        <f>SUM(G89:G97)</f>
        <v>181336.16999999998</v>
      </c>
      <c r="H98" s="447"/>
      <c r="V98" s="474"/>
    </row>
    <row r="99" spans="1:22" ht="11.25" customHeight="1" thickTop="1" x14ac:dyDescent="0.2">
      <c r="A99" s="447"/>
      <c r="B99" s="471"/>
      <c r="C99" s="471"/>
      <c r="D99" s="472"/>
      <c r="E99" s="472"/>
      <c r="F99" s="472"/>
      <c r="G99" s="472"/>
      <c r="H99" s="447"/>
      <c r="V99" s="474"/>
    </row>
    <row r="100" spans="1:22" ht="67.5" customHeight="1" x14ac:dyDescent="0.2">
      <c r="A100" s="984" t="s">
        <v>651</v>
      </c>
      <c r="B100" s="984"/>
      <c r="C100" s="984"/>
      <c r="D100" s="984"/>
      <c r="E100" s="984"/>
      <c r="F100" s="984"/>
      <c r="G100" s="984"/>
      <c r="H100" s="984"/>
    </row>
    <row r="101" spans="1:22" ht="47.25" x14ac:dyDescent="0.2">
      <c r="A101" s="447"/>
      <c r="B101" s="999" t="s">
        <v>200</v>
      </c>
      <c r="C101" s="999"/>
      <c r="D101" s="450" t="s">
        <v>201</v>
      </c>
      <c r="E101" s="441" t="s">
        <v>202</v>
      </c>
      <c r="F101" s="450" t="s">
        <v>203</v>
      </c>
      <c r="G101" s="814" t="str">
        <f>G88</f>
        <v>Ending Balance at December 31, 2022</v>
      </c>
      <c r="H101" s="447"/>
    </row>
    <row r="102" spans="1:22" ht="15.75" customHeight="1" x14ac:dyDescent="0.2">
      <c r="A102" s="447"/>
      <c r="B102" s="996" t="s">
        <v>204</v>
      </c>
      <c r="C102" s="996"/>
      <c r="D102" s="449">
        <v>0</v>
      </c>
      <c r="E102" s="449">
        <f>'December''22 Revenues &amp; Expenses'!F62+'December''22 Revenues &amp; Expenses'!H63</f>
        <v>62400</v>
      </c>
      <c r="F102" s="449">
        <f>-'December''22 Revenues &amp; Expenses'!J62-'December''22 Revenues &amp; Expenses'!J63</f>
        <v>-62400</v>
      </c>
      <c r="G102" s="449">
        <f t="shared" ref="G102:G108" si="2">D102+E102+F102</f>
        <v>0</v>
      </c>
      <c r="H102" s="447"/>
    </row>
    <row r="103" spans="1:22" ht="15.75" customHeight="1" x14ac:dyDescent="0.2">
      <c r="A103" s="447"/>
      <c r="B103" s="996" t="s">
        <v>255</v>
      </c>
      <c r="C103" s="996"/>
      <c r="D103" s="449">
        <v>0</v>
      </c>
      <c r="E103" s="449">
        <f>'December''22 Revenues &amp; Expenses'!F65</f>
        <v>20000</v>
      </c>
      <c r="F103" s="449">
        <f>-'December''22 Revenues &amp; Expenses'!J65</f>
        <v>-20000</v>
      </c>
      <c r="G103" s="449">
        <f t="shared" si="2"/>
        <v>0</v>
      </c>
      <c r="H103" s="447"/>
    </row>
    <row r="104" spans="1:22" ht="15.75" customHeight="1" x14ac:dyDescent="0.2">
      <c r="A104" s="447"/>
      <c r="B104" s="996" t="s">
        <v>205</v>
      </c>
      <c r="C104" s="996"/>
      <c r="D104" s="743">
        <f>'December''22 Revenues &amp; Expenses'!G71</f>
        <v>8805.2999999999993</v>
      </c>
      <c r="E104" s="449">
        <f>'December''22 Revenues &amp; Expenses'!H71</f>
        <v>19650</v>
      </c>
      <c r="F104" s="449">
        <f>-'December''22 Revenues &amp; Expenses'!J71</f>
        <v>-13123.13</v>
      </c>
      <c r="G104" s="449">
        <f t="shared" si="2"/>
        <v>15332.17</v>
      </c>
      <c r="H104" s="447"/>
    </row>
    <row r="105" spans="1:22" ht="15.75" customHeight="1" x14ac:dyDescent="0.2">
      <c r="A105" s="447"/>
      <c r="B105" s="996" t="s">
        <v>206</v>
      </c>
      <c r="C105" s="996"/>
      <c r="D105" s="743">
        <f>'December''22 Revenues &amp; Expenses'!G72</f>
        <v>3136.83</v>
      </c>
      <c r="E105" s="449">
        <f>'December''22 Revenues &amp; Expenses'!H72</f>
        <v>10000</v>
      </c>
      <c r="F105" s="449">
        <f>-'December''22 Revenues &amp; Expenses'!J72</f>
        <v>-3849.05</v>
      </c>
      <c r="G105" s="449">
        <f t="shared" si="2"/>
        <v>9287.7799999999988</v>
      </c>
      <c r="H105" s="447"/>
    </row>
    <row r="106" spans="1:22" ht="15.75" customHeight="1" x14ac:dyDescent="0.2">
      <c r="A106" s="447"/>
      <c r="B106" s="996" t="s">
        <v>303</v>
      </c>
      <c r="C106" s="996"/>
      <c r="D106" s="743">
        <f>'December''22 Revenues &amp; Expenses'!G55</f>
        <v>898.7</v>
      </c>
      <c r="E106" s="449"/>
      <c r="F106" s="449">
        <f>-'December''22 Revenues &amp; Expenses'!H55</f>
        <v>0</v>
      </c>
      <c r="G106" s="449">
        <f t="shared" si="2"/>
        <v>898.7</v>
      </c>
      <c r="H106" s="447"/>
    </row>
    <row r="107" spans="1:22" ht="15.75" customHeight="1" x14ac:dyDescent="0.2">
      <c r="A107" s="447"/>
      <c r="B107" s="907" t="s">
        <v>395</v>
      </c>
      <c r="C107" s="907"/>
      <c r="D107" s="908"/>
      <c r="E107" s="908">
        <v>50000</v>
      </c>
      <c r="F107" s="908"/>
      <c r="G107" s="908">
        <f t="shared" si="2"/>
        <v>50000</v>
      </c>
      <c r="H107" s="447"/>
    </row>
    <row r="108" spans="1:22" ht="15.75" x14ac:dyDescent="0.2">
      <c r="A108" s="447"/>
      <c r="B108" s="996" t="s">
        <v>207</v>
      </c>
      <c r="C108" s="996"/>
      <c r="D108" s="743">
        <f>'December''22 Revenues &amp; Expenses'!G70</f>
        <v>374.76</v>
      </c>
      <c r="E108" s="449"/>
      <c r="F108" s="449">
        <f>-'December''22 Revenues &amp; Expenses'!J70</f>
        <v>0</v>
      </c>
      <c r="G108" s="449">
        <f t="shared" si="2"/>
        <v>374.76</v>
      </c>
      <c r="H108" s="447"/>
      <c r="K108" s="700"/>
    </row>
    <row r="109" spans="1:22" ht="15.75" x14ac:dyDescent="0.2">
      <c r="A109" s="447"/>
      <c r="B109" s="987"/>
      <c r="C109" s="987"/>
      <c r="D109" s="779"/>
      <c r="E109" s="779"/>
      <c r="F109" s="779">
        <f>-'December''22 Revenues &amp; Expenses'!H57</f>
        <v>0</v>
      </c>
      <c r="G109" s="779">
        <f>'December''22 Revenues &amp; Expenses'!I57</f>
        <v>0</v>
      </c>
      <c r="H109" s="447"/>
      <c r="K109" s="700"/>
    </row>
    <row r="110" spans="1:22" ht="15.75" customHeight="1" thickBot="1" x14ac:dyDescent="0.25">
      <c r="A110" s="447"/>
      <c r="B110" s="995" t="s">
        <v>208</v>
      </c>
      <c r="C110" s="995"/>
      <c r="D110" s="442">
        <f>SUM(D102:D108)</f>
        <v>13215.59</v>
      </c>
      <c r="E110" s="442">
        <f>SUM(E102:E109)</f>
        <v>162050</v>
      </c>
      <c r="F110" s="442">
        <f>SUM(F102:F109)</f>
        <v>-99372.180000000008</v>
      </c>
      <c r="G110" s="442">
        <f>SUM(G102:G109)</f>
        <v>75893.409999999989</v>
      </c>
      <c r="H110" s="447"/>
    </row>
    <row r="111" spans="1:22" ht="16.5" thickTop="1" x14ac:dyDescent="0.2">
      <c r="A111" s="440"/>
      <c r="B111" s="448"/>
      <c r="C111" s="448"/>
      <c r="D111" s="448"/>
      <c r="E111" s="448"/>
      <c r="F111" s="448"/>
      <c r="G111" s="448"/>
      <c r="H111" s="440"/>
    </row>
    <row r="112" spans="1:22" ht="15.75" customHeight="1" x14ac:dyDescent="0.2"/>
    <row r="113" ht="6.75" customHeight="1" x14ac:dyDescent="0.2"/>
  </sheetData>
  <mergeCells count="74">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4:C94"/>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E72:F72"/>
    <mergeCell ref="A100:H100"/>
    <mergeCell ref="B105:C105"/>
    <mergeCell ref="B106:C106"/>
    <mergeCell ref="B97:C97"/>
    <mergeCell ref="B93:C93"/>
    <mergeCell ref="B95:C95"/>
    <mergeCell ref="B96:C96"/>
    <mergeCell ref="B92:C92"/>
    <mergeCell ref="B110:C110"/>
    <mergeCell ref="B108:C108"/>
    <mergeCell ref="B102:C102"/>
    <mergeCell ref="B103:C103"/>
    <mergeCell ref="C81:D81"/>
    <mergeCell ref="B104:C104"/>
    <mergeCell ref="B98:C98"/>
    <mergeCell ref="A87:H87"/>
    <mergeCell ref="B88:C88"/>
    <mergeCell ref="B90:C90"/>
    <mergeCell ref="B91:C91"/>
    <mergeCell ref="B101:C101"/>
    <mergeCell ref="C14:D14"/>
    <mergeCell ref="C15:D15"/>
    <mergeCell ref="C17:D17"/>
    <mergeCell ref="B18:D18"/>
    <mergeCell ref="C16:D16"/>
    <mergeCell ref="E66:F66"/>
    <mergeCell ref="A76:H76"/>
    <mergeCell ref="A58:H58"/>
    <mergeCell ref="B70:G70"/>
    <mergeCell ref="B109:C109"/>
    <mergeCell ref="A85:H85"/>
    <mergeCell ref="E71:F71"/>
    <mergeCell ref="E67:F67"/>
    <mergeCell ref="E63:F63"/>
    <mergeCell ref="E61:F61"/>
    <mergeCell ref="E62:F62"/>
    <mergeCell ref="E64:F64"/>
    <mergeCell ref="E65:F65"/>
    <mergeCell ref="E60:F60"/>
    <mergeCell ref="C77:D77"/>
    <mergeCell ref="F77:G7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861"/>
  <sheetViews>
    <sheetView topLeftCell="A525" workbookViewId="0">
      <selection activeCell="K611" sqref="K611"/>
    </sheetView>
  </sheetViews>
  <sheetFormatPr defaultRowHeight="14.25" x14ac:dyDescent="0.2"/>
  <cols>
    <col min="1" max="1" width="24.625" style="521" bestFit="1" customWidth="1"/>
    <col min="2" max="2" width="9" style="493"/>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18" t="s">
        <v>260</v>
      </c>
      <c r="B3" s="489" t="s">
        <v>261</v>
      </c>
    </row>
    <row r="4" spans="1:2" ht="15" thickTop="1" x14ac:dyDescent="0.2">
      <c r="A4" s="519">
        <v>42370</v>
      </c>
      <c r="B4" s="490">
        <v>316020.78000000003</v>
      </c>
    </row>
    <row r="5" spans="1:2" x14ac:dyDescent="0.2">
      <c r="A5" s="520">
        <v>42373</v>
      </c>
      <c r="B5" s="491">
        <v>315970.78000000003</v>
      </c>
    </row>
    <row r="6" spans="1:2" x14ac:dyDescent="0.2">
      <c r="A6" s="520">
        <v>42374</v>
      </c>
      <c r="B6" s="491">
        <v>320557.63</v>
      </c>
    </row>
    <row r="7" spans="1:2" x14ac:dyDescent="0.2">
      <c r="A7" s="520">
        <v>42375</v>
      </c>
      <c r="B7" s="491">
        <f>B6</f>
        <v>320557.63</v>
      </c>
    </row>
    <row r="8" spans="1:2" x14ac:dyDescent="0.2">
      <c r="A8" s="520">
        <v>42376</v>
      </c>
      <c r="B8" s="491">
        <v>323108.86</v>
      </c>
    </row>
    <row r="9" spans="1:2" x14ac:dyDescent="0.2">
      <c r="A9" s="520">
        <v>42377</v>
      </c>
      <c r="B9" s="491">
        <f>B8</f>
        <v>323108.86</v>
      </c>
    </row>
    <row r="10" spans="1:2" x14ac:dyDescent="0.2">
      <c r="A10" s="520">
        <v>42380</v>
      </c>
      <c r="B10" s="491">
        <v>323239.86</v>
      </c>
    </row>
    <row r="11" spans="1:2" x14ac:dyDescent="0.2">
      <c r="A11" s="520">
        <v>42381</v>
      </c>
      <c r="B11" s="491">
        <v>288792.71999999997</v>
      </c>
    </row>
    <row r="12" spans="1:2" x14ac:dyDescent="0.2">
      <c r="A12" s="520">
        <v>42382</v>
      </c>
      <c r="B12" s="491">
        <f>B11</f>
        <v>288792.71999999997</v>
      </c>
    </row>
    <row r="13" spans="1:2" x14ac:dyDescent="0.2">
      <c r="A13" s="520">
        <v>42383</v>
      </c>
      <c r="B13" s="491">
        <v>277881.3</v>
      </c>
    </row>
    <row r="14" spans="1:2" x14ac:dyDescent="0.2">
      <c r="A14" s="520">
        <v>42384</v>
      </c>
      <c r="B14" s="491">
        <v>293922.15000000002</v>
      </c>
    </row>
    <row r="15" spans="1:2" x14ac:dyDescent="0.2">
      <c r="A15" s="520">
        <v>42387</v>
      </c>
      <c r="B15" s="491">
        <f>B14</f>
        <v>293922.15000000002</v>
      </c>
    </row>
    <row r="16" spans="1:2" x14ac:dyDescent="0.2">
      <c r="A16" s="520">
        <v>42388</v>
      </c>
      <c r="B16" s="491">
        <f>B14</f>
        <v>293922.15000000002</v>
      </c>
    </row>
    <row r="17" spans="1:2" x14ac:dyDescent="0.2">
      <c r="A17" s="520">
        <v>42389</v>
      </c>
      <c r="B17" s="491">
        <v>294002.2</v>
      </c>
    </row>
    <row r="18" spans="1:2" x14ac:dyDescent="0.2">
      <c r="A18" s="520">
        <v>42390</v>
      </c>
      <c r="B18" s="491">
        <v>285645.33</v>
      </c>
    </row>
    <row r="19" spans="1:2" x14ac:dyDescent="0.2">
      <c r="A19" s="520">
        <v>42391</v>
      </c>
      <c r="B19" s="491">
        <f>B18</f>
        <v>285645.33</v>
      </c>
    </row>
    <row r="20" spans="1:2" x14ac:dyDescent="0.2">
      <c r="A20" s="520">
        <v>42394</v>
      </c>
      <c r="B20" s="491">
        <v>310939.57</v>
      </c>
    </row>
    <row r="21" spans="1:2" x14ac:dyDescent="0.2">
      <c r="A21" s="520">
        <v>42395</v>
      </c>
      <c r="B21" s="491">
        <v>285520.28000000003</v>
      </c>
    </row>
    <row r="22" spans="1:2" x14ac:dyDescent="0.2">
      <c r="A22" s="520">
        <v>42396</v>
      </c>
      <c r="B22" s="491">
        <f>B21</f>
        <v>285520.28000000003</v>
      </c>
    </row>
    <row r="23" spans="1:2" x14ac:dyDescent="0.2">
      <c r="A23" s="520">
        <v>42397</v>
      </c>
      <c r="B23" s="491">
        <v>282022.58</v>
      </c>
    </row>
    <row r="24" spans="1:2" x14ac:dyDescent="0.2">
      <c r="A24" s="520">
        <v>42398</v>
      </c>
      <c r="B24" s="491">
        <v>294848.15999999997</v>
      </c>
    </row>
    <row r="25" spans="1:2" x14ac:dyDescent="0.2">
      <c r="A25" s="520">
        <v>42401</v>
      </c>
      <c r="B25" s="491">
        <v>295971.7</v>
      </c>
    </row>
    <row r="26" spans="1:2" x14ac:dyDescent="0.2">
      <c r="A26" s="520">
        <v>42402</v>
      </c>
      <c r="B26" s="491">
        <v>342700.41</v>
      </c>
    </row>
    <row r="27" spans="1:2" x14ac:dyDescent="0.2">
      <c r="A27" s="520">
        <v>42403</v>
      </c>
      <c r="B27" s="491">
        <f>B26</f>
        <v>342700.41</v>
      </c>
    </row>
    <row r="28" spans="1:2" x14ac:dyDescent="0.2">
      <c r="A28" s="520">
        <v>42404</v>
      </c>
      <c r="B28" s="491">
        <v>337638.63</v>
      </c>
    </row>
    <row r="29" spans="1:2" x14ac:dyDescent="0.2">
      <c r="A29" s="520">
        <v>42405</v>
      </c>
      <c r="B29" s="491">
        <v>367843.39</v>
      </c>
    </row>
    <row r="30" spans="1:2" x14ac:dyDescent="0.2">
      <c r="A30" s="520">
        <v>42408</v>
      </c>
      <c r="B30" s="491">
        <v>367773.39</v>
      </c>
    </row>
    <row r="31" spans="1:2" x14ac:dyDescent="0.2">
      <c r="A31" s="520">
        <v>42409</v>
      </c>
      <c r="B31" s="491">
        <v>339527.33</v>
      </c>
    </row>
    <row r="32" spans="1:2" x14ac:dyDescent="0.2">
      <c r="A32" s="520">
        <v>42410</v>
      </c>
      <c r="B32" s="491">
        <f>B31</f>
        <v>339527.33</v>
      </c>
    </row>
    <row r="33" spans="1:2" x14ac:dyDescent="0.2">
      <c r="A33" s="520">
        <v>42411</v>
      </c>
      <c r="B33" s="491">
        <v>336968.79</v>
      </c>
    </row>
    <row r="34" spans="1:2" x14ac:dyDescent="0.2">
      <c r="A34" s="520">
        <v>42412</v>
      </c>
      <c r="B34" s="491">
        <v>337055.76</v>
      </c>
    </row>
    <row r="35" spans="1:2" x14ac:dyDescent="0.2">
      <c r="A35" s="520">
        <v>42415</v>
      </c>
      <c r="B35" s="491">
        <f>B34</f>
        <v>337055.76</v>
      </c>
    </row>
    <row r="36" spans="1:2" x14ac:dyDescent="0.2">
      <c r="A36" s="520">
        <v>42416</v>
      </c>
      <c r="B36" s="491">
        <f>B35</f>
        <v>337055.76</v>
      </c>
    </row>
    <row r="37" spans="1:2" x14ac:dyDescent="0.2">
      <c r="A37" s="520">
        <v>42417</v>
      </c>
      <c r="B37" s="491">
        <v>365266.06</v>
      </c>
    </row>
    <row r="38" spans="1:2" x14ac:dyDescent="0.2">
      <c r="A38" s="520">
        <v>42418</v>
      </c>
      <c r="B38" s="491">
        <v>360871.98</v>
      </c>
    </row>
    <row r="39" spans="1:2" x14ac:dyDescent="0.2">
      <c r="A39" s="520">
        <v>42419</v>
      </c>
      <c r="B39" s="491">
        <f>B38</f>
        <v>360871.98</v>
      </c>
    </row>
    <row r="40" spans="1:2" x14ac:dyDescent="0.2">
      <c r="A40" s="520">
        <v>42421</v>
      </c>
      <c r="B40" s="491">
        <f>B39</f>
        <v>360871.98</v>
      </c>
    </row>
    <row r="41" spans="1:2" x14ac:dyDescent="0.2">
      <c r="A41" s="520">
        <v>42423</v>
      </c>
      <c r="B41" s="491">
        <v>355845.62</v>
      </c>
    </row>
    <row r="42" spans="1:2" x14ac:dyDescent="0.2">
      <c r="A42" s="520">
        <v>42424</v>
      </c>
      <c r="B42" s="491">
        <f>B41</f>
        <v>355845.62</v>
      </c>
    </row>
    <row r="43" spans="1:2" x14ac:dyDescent="0.2">
      <c r="A43" s="520">
        <v>42425</v>
      </c>
      <c r="B43" s="491">
        <v>345399.7</v>
      </c>
    </row>
    <row r="44" spans="1:2" x14ac:dyDescent="0.2">
      <c r="A44" s="520">
        <v>42426</v>
      </c>
      <c r="B44" s="491">
        <v>370500.69</v>
      </c>
    </row>
    <row r="45" spans="1:2" x14ac:dyDescent="0.2">
      <c r="A45" s="520">
        <v>42429</v>
      </c>
      <c r="B45" s="491">
        <v>389846.49</v>
      </c>
    </row>
    <row r="46" spans="1:2" x14ac:dyDescent="0.2">
      <c r="A46" s="520">
        <v>42430</v>
      </c>
      <c r="B46" s="491">
        <f>B45</f>
        <v>389846.49</v>
      </c>
    </row>
    <row r="47" spans="1:2" x14ac:dyDescent="0.2">
      <c r="A47" s="520">
        <v>42431</v>
      </c>
      <c r="B47" s="491">
        <f>B46</f>
        <v>389846.49</v>
      </c>
    </row>
    <row r="48" spans="1:2" x14ac:dyDescent="0.2">
      <c r="A48" s="520">
        <v>42432</v>
      </c>
      <c r="B48" s="491">
        <v>378391.97</v>
      </c>
    </row>
    <row r="49" spans="1:2" x14ac:dyDescent="0.2">
      <c r="A49" s="520">
        <v>42433</v>
      </c>
      <c r="B49" s="491">
        <v>424034.23</v>
      </c>
    </row>
    <row r="50" spans="1:2" x14ac:dyDescent="0.2">
      <c r="A50" s="520">
        <v>42436</v>
      </c>
      <c r="B50" s="491">
        <f>B49</f>
        <v>424034.23</v>
      </c>
    </row>
    <row r="51" spans="1:2" x14ac:dyDescent="0.2">
      <c r="A51" s="520">
        <v>42437</v>
      </c>
      <c r="B51" s="491">
        <v>386665.73</v>
      </c>
    </row>
    <row r="52" spans="1:2" x14ac:dyDescent="0.2">
      <c r="A52" s="520">
        <v>42438</v>
      </c>
      <c r="B52" s="491">
        <f>B51</f>
        <v>386665.73</v>
      </c>
    </row>
    <row r="53" spans="1:2" x14ac:dyDescent="0.2">
      <c r="A53" s="520">
        <v>42439</v>
      </c>
      <c r="B53" s="491">
        <v>389219.85</v>
      </c>
    </row>
    <row r="54" spans="1:2" x14ac:dyDescent="0.2">
      <c r="A54" s="520">
        <v>42440</v>
      </c>
      <c r="B54" s="491">
        <v>406100.98</v>
      </c>
    </row>
    <row r="55" spans="1:2" x14ac:dyDescent="0.2">
      <c r="A55" s="520">
        <v>42443</v>
      </c>
      <c r="B55" s="491">
        <v>407873.33</v>
      </c>
    </row>
    <row r="56" spans="1:2" x14ac:dyDescent="0.2">
      <c r="A56" s="520">
        <v>42444</v>
      </c>
      <c r="B56" s="491">
        <v>407992.23</v>
      </c>
    </row>
    <row r="57" spans="1:2" x14ac:dyDescent="0.2">
      <c r="A57" s="520">
        <v>42445</v>
      </c>
      <c r="B57" s="491">
        <v>433808.81</v>
      </c>
    </row>
    <row r="58" spans="1:2" x14ac:dyDescent="0.2">
      <c r="A58" s="520">
        <v>42446</v>
      </c>
      <c r="B58" s="491">
        <v>422290.94</v>
      </c>
    </row>
    <row r="59" spans="1:2" x14ac:dyDescent="0.2">
      <c r="A59" s="520">
        <v>42447</v>
      </c>
      <c r="B59" s="491">
        <v>468026.54</v>
      </c>
    </row>
    <row r="60" spans="1:2" x14ac:dyDescent="0.2">
      <c r="A60" s="520">
        <v>42450</v>
      </c>
      <c r="B60" s="491">
        <v>348026.54</v>
      </c>
    </row>
    <row r="61" spans="1:2" x14ac:dyDescent="0.2">
      <c r="A61" s="520">
        <v>42451</v>
      </c>
      <c r="B61" s="491">
        <v>312876.71000000002</v>
      </c>
    </row>
    <row r="62" spans="1:2" x14ac:dyDescent="0.2">
      <c r="A62" s="520">
        <v>42452</v>
      </c>
      <c r="B62" s="491">
        <v>314939.26</v>
      </c>
    </row>
    <row r="63" spans="1:2" x14ac:dyDescent="0.2">
      <c r="A63" s="520">
        <v>42453</v>
      </c>
      <c r="B63" s="491">
        <v>309254.23</v>
      </c>
    </row>
    <row r="64" spans="1:2" x14ac:dyDescent="0.2">
      <c r="A64" s="520">
        <v>42454</v>
      </c>
      <c r="B64" s="491">
        <v>308314.94</v>
      </c>
    </row>
    <row r="65" spans="1:2" x14ac:dyDescent="0.2">
      <c r="A65" s="520">
        <v>42457</v>
      </c>
      <c r="B65" s="491">
        <f>B64</f>
        <v>308314.94</v>
      </c>
    </row>
    <row r="66" spans="1:2" x14ac:dyDescent="0.2">
      <c r="A66" s="520">
        <v>42458</v>
      </c>
      <c r="B66" s="491">
        <v>308501.75</v>
      </c>
    </row>
    <row r="67" spans="1:2" x14ac:dyDescent="0.2">
      <c r="A67" s="520">
        <v>42459</v>
      </c>
      <c r="B67" s="491">
        <f>B66</f>
        <v>308501.75</v>
      </c>
    </row>
    <row r="68" spans="1:2" x14ac:dyDescent="0.2">
      <c r="A68" s="520">
        <v>42460</v>
      </c>
      <c r="B68" s="491">
        <v>309191.53000000003</v>
      </c>
    </row>
    <row r="69" spans="1:2" x14ac:dyDescent="0.2">
      <c r="A69" s="520">
        <v>42461</v>
      </c>
      <c r="B69" s="491">
        <f>B68</f>
        <v>309191.53000000003</v>
      </c>
    </row>
    <row r="70" spans="1:2" x14ac:dyDescent="0.2">
      <c r="A70" s="520">
        <v>42464</v>
      </c>
      <c r="B70" s="491">
        <v>273521.59999999998</v>
      </c>
    </row>
    <row r="71" spans="1:2" x14ac:dyDescent="0.2">
      <c r="A71" s="520">
        <v>42465</v>
      </c>
      <c r="B71" s="491">
        <f>B70</f>
        <v>273521.59999999998</v>
      </c>
    </row>
    <row r="72" spans="1:2" x14ac:dyDescent="0.2">
      <c r="A72" s="520">
        <v>42466</v>
      </c>
      <c r="B72" s="491">
        <v>272690.59999999998</v>
      </c>
    </row>
    <row r="73" spans="1:2" x14ac:dyDescent="0.2">
      <c r="A73" s="520">
        <v>42467</v>
      </c>
      <c r="B73" s="491">
        <v>269582.73</v>
      </c>
    </row>
    <row r="74" spans="1:2" x14ac:dyDescent="0.2">
      <c r="A74" s="520">
        <v>42468</v>
      </c>
      <c r="B74" s="491">
        <f>B73</f>
        <v>269582.73</v>
      </c>
    </row>
    <row r="75" spans="1:2" x14ac:dyDescent="0.2">
      <c r="A75" s="520">
        <v>42471</v>
      </c>
      <c r="B75" s="491">
        <v>269763.98</v>
      </c>
    </row>
    <row r="76" spans="1:2" x14ac:dyDescent="0.2">
      <c r="A76" s="520">
        <v>42472</v>
      </c>
      <c r="B76" s="491">
        <f>B75</f>
        <v>269763.98</v>
      </c>
    </row>
    <row r="77" spans="1:2" x14ac:dyDescent="0.2">
      <c r="A77" s="520">
        <v>42473</v>
      </c>
      <c r="B77" s="491">
        <v>269925.98</v>
      </c>
    </row>
    <row r="78" spans="1:2" x14ac:dyDescent="0.2">
      <c r="A78" s="520">
        <v>42474</v>
      </c>
      <c r="B78" s="491">
        <v>262853.87</v>
      </c>
    </row>
    <row r="79" spans="1:2" x14ac:dyDescent="0.2">
      <c r="A79" s="520">
        <v>42475</v>
      </c>
      <c r="B79" s="491">
        <v>285492.90999999997</v>
      </c>
    </row>
    <row r="80" spans="1:2" x14ac:dyDescent="0.2">
      <c r="A80" s="520">
        <v>42478</v>
      </c>
      <c r="B80" s="491">
        <v>248936.49</v>
      </c>
    </row>
    <row r="81" spans="1:2" x14ac:dyDescent="0.2">
      <c r="A81" s="520">
        <v>42479</v>
      </c>
      <c r="B81" s="491">
        <v>299276.93</v>
      </c>
    </row>
    <row r="82" spans="1:2" x14ac:dyDescent="0.2">
      <c r="A82" s="520">
        <v>42480</v>
      </c>
      <c r="B82" s="491">
        <v>298671.93</v>
      </c>
    </row>
    <row r="83" spans="1:2" x14ac:dyDescent="0.2">
      <c r="A83" s="520">
        <v>42481</v>
      </c>
      <c r="B83" s="491">
        <v>300188.76</v>
      </c>
    </row>
    <row r="84" spans="1:2" x14ac:dyDescent="0.2">
      <c r="A84" s="520">
        <v>42482</v>
      </c>
      <c r="B84" s="491">
        <v>320014.86</v>
      </c>
    </row>
    <row r="85" spans="1:2" x14ac:dyDescent="0.2">
      <c r="A85" s="520">
        <v>42485</v>
      </c>
      <c r="B85" s="491">
        <v>316702.44</v>
      </c>
    </row>
    <row r="86" spans="1:2" x14ac:dyDescent="0.2">
      <c r="A86" s="520">
        <v>42486</v>
      </c>
      <c r="B86" s="491">
        <f>B85</f>
        <v>316702.44</v>
      </c>
    </row>
    <row r="87" spans="1:2" x14ac:dyDescent="0.2">
      <c r="A87" s="520">
        <v>42487</v>
      </c>
      <c r="B87" s="491">
        <v>316945.44</v>
      </c>
    </row>
    <row r="88" spans="1:2" x14ac:dyDescent="0.2">
      <c r="A88" s="520">
        <v>42488</v>
      </c>
      <c r="B88" s="491">
        <v>320979.96999999997</v>
      </c>
    </row>
    <row r="89" spans="1:2" x14ac:dyDescent="0.2">
      <c r="A89" s="520">
        <v>42489</v>
      </c>
      <c r="B89" s="491">
        <f>B88</f>
        <v>320979.96999999997</v>
      </c>
    </row>
    <row r="90" spans="1:2" x14ac:dyDescent="0.2">
      <c r="A90" s="520">
        <v>42492</v>
      </c>
      <c r="B90" s="491">
        <v>285992.84000000003</v>
      </c>
    </row>
    <row r="91" spans="1:2" x14ac:dyDescent="0.2">
      <c r="A91" s="520">
        <v>42493</v>
      </c>
      <c r="B91" s="491">
        <v>286063.08</v>
      </c>
    </row>
    <row r="92" spans="1:2" x14ac:dyDescent="0.2">
      <c r="A92" s="520">
        <v>42494</v>
      </c>
      <c r="B92" s="491">
        <v>314586.46000000002</v>
      </c>
    </row>
    <row r="93" spans="1:2" x14ac:dyDescent="0.2">
      <c r="A93" s="520">
        <v>42495</v>
      </c>
      <c r="B93" s="491">
        <v>317747.52</v>
      </c>
    </row>
    <row r="94" spans="1:2" x14ac:dyDescent="0.2">
      <c r="A94" s="520">
        <v>42496</v>
      </c>
      <c r="B94" s="491">
        <f>B93</f>
        <v>317747.52</v>
      </c>
    </row>
    <row r="95" spans="1:2" x14ac:dyDescent="0.2">
      <c r="A95" s="520">
        <v>42499</v>
      </c>
      <c r="B95" s="491">
        <v>317647.52</v>
      </c>
    </row>
    <row r="96" spans="1:2" x14ac:dyDescent="0.2">
      <c r="A96" s="520">
        <v>42500</v>
      </c>
      <c r="B96" s="491">
        <v>354645.16</v>
      </c>
    </row>
    <row r="97" spans="1:2" x14ac:dyDescent="0.2">
      <c r="A97" s="520">
        <v>42501</v>
      </c>
      <c r="B97" s="491">
        <f>B96</f>
        <v>354645.16</v>
      </c>
    </row>
    <row r="98" spans="1:2" x14ac:dyDescent="0.2">
      <c r="A98" s="520">
        <v>42502</v>
      </c>
      <c r="B98" s="491">
        <v>334676.08</v>
      </c>
    </row>
    <row r="99" spans="1:2" x14ac:dyDescent="0.2">
      <c r="A99" s="520">
        <v>42503</v>
      </c>
      <c r="B99" s="491">
        <v>335053.34999999998</v>
      </c>
    </row>
    <row r="100" spans="1:2" x14ac:dyDescent="0.2">
      <c r="A100" s="520">
        <v>42506</v>
      </c>
      <c r="B100" s="491">
        <v>299641.7</v>
      </c>
    </row>
    <row r="101" spans="1:2" x14ac:dyDescent="0.2">
      <c r="A101" s="520">
        <v>42507</v>
      </c>
      <c r="B101" s="491">
        <f>B100</f>
        <v>299641.7</v>
      </c>
    </row>
    <row r="102" spans="1:2" x14ac:dyDescent="0.2">
      <c r="A102" s="520">
        <v>42508</v>
      </c>
      <c r="B102" s="491">
        <v>316034.81</v>
      </c>
    </row>
    <row r="103" spans="1:2" x14ac:dyDescent="0.2">
      <c r="A103" s="520">
        <v>42509</v>
      </c>
      <c r="B103" s="491">
        <v>320069.11</v>
      </c>
    </row>
    <row r="104" spans="1:2" x14ac:dyDescent="0.2">
      <c r="A104" s="520">
        <v>42510</v>
      </c>
      <c r="B104" s="491">
        <v>328514.03000000003</v>
      </c>
    </row>
    <row r="105" spans="1:2" x14ac:dyDescent="0.2">
      <c r="A105" s="520">
        <v>42513</v>
      </c>
      <c r="B105" s="491">
        <f>B104</f>
        <v>328514.03000000003</v>
      </c>
    </row>
    <row r="106" spans="1:2" x14ac:dyDescent="0.2">
      <c r="A106" s="520">
        <v>42514</v>
      </c>
      <c r="B106" s="491">
        <v>334541.26</v>
      </c>
    </row>
    <row r="107" spans="1:2" x14ac:dyDescent="0.2">
      <c r="A107" s="520">
        <v>42515</v>
      </c>
      <c r="B107" s="492">
        <v>329880.45</v>
      </c>
    </row>
    <row r="108" spans="1:2" x14ac:dyDescent="0.2">
      <c r="A108" s="520">
        <v>42516</v>
      </c>
      <c r="B108" s="493">
        <v>337992.17</v>
      </c>
    </row>
    <row r="109" spans="1:2" x14ac:dyDescent="0.2">
      <c r="A109" s="520">
        <v>42517</v>
      </c>
      <c r="B109" s="493">
        <v>347755.4</v>
      </c>
    </row>
    <row r="110" spans="1:2" x14ac:dyDescent="0.2">
      <c r="A110" s="520">
        <v>42520</v>
      </c>
      <c r="B110" s="493">
        <v>347755.4</v>
      </c>
    </row>
    <row r="111" spans="1:2" x14ac:dyDescent="0.2">
      <c r="A111" s="520">
        <v>42521</v>
      </c>
      <c r="B111" s="493">
        <v>312817.88</v>
      </c>
    </row>
    <row r="112" spans="1:2" x14ac:dyDescent="0.2">
      <c r="A112" s="520">
        <v>42522</v>
      </c>
      <c r="B112" s="493">
        <v>314571.3</v>
      </c>
    </row>
    <row r="113" spans="1:2" x14ac:dyDescent="0.2">
      <c r="A113" s="520">
        <v>42523</v>
      </c>
      <c r="B113" s="493">
        <v>302515.78000000003</v>
      </c>
    </row>
    <row r="114" spans="1:2" x14ac:dyDescent="0.2">
      <c r="A114" s="520">
        <v>42524</v>
      </c>
      <c r="B114" s="493">
        <v>302516</v>
      </c>
    </row>
    <row r="115" spans="1:2" x14ac:dyDescent="0.2">
      <c r="A115" s="520">
        <v>42527</v>
      </c>
      <c r="B115" s="493">
        <v>302516</v>
      </c>
    </row>
    <row r="116" spans="1:2" x14ac:dyDescent="0.2">
      <c r="A116" s="520">
        <v>42528</v>
      </c>
      <c r="B116" s="493">
        <v>302516</v>
      </c>
    </row>
    <row r="117" spans="1:2" x14ac:dyDescent="0.2">
      <c r="A117" s="520">
        <v>42529</v>
      </c>
      <c r="B117" s="493">
        <v>279865.95</v>
      </c>
    </row>
    <row r="118" spans="1:2" x14ac:dyDescent="0.2">
      <c r="A118" s="520">
        <v>42530</v>
      </c>
      <c r="B118" s="493">
        <v>279866</v>
      </c>
    </row>
    <row r="119" spans="1:2" x14ac:dyDescent="0.2">
      <c r="A119" s="520">
        <v>42531</v>
      </c>
      <c r="B119" s="493">
        <v>279866</v>
      </c>
    </row>
    <row r="120" spans="1:2" x14ac:dyDescent="0.2">
      <c r="A120" s="520">
        <v>42534</v>
      </c>
      <c r="B120" s="493">
        <v>279866</v>
      </c>
    </row>
    <row r="121" spans="1:2" x14ac:dyDescent="0.2">
      <c r="A121" s="520">
        <v>42535</v>
      </c>
      <c r="B121" s="493">
        <v>279866</v>
      </c>
    </row>
    <row r="122" spans="1:2" x14ac:dyDescent="0.2">
      <c r="A122" s="520">
        <v>42536</v>
      </c>
      <c r="B122" s="493">
        <v>290096.01</v>
      </c>
    </row>
    <row r="123" spans="1:2" x14ac:dyDescent="0.2">
      <c r="A123" s="520">
        <v>42537</v>
      </c>
      <c r="B123" s="493">
        <v>247423.5</v>
      </c>
    </row>
    <row r="124" spans="1:2" x14ac:dyDescent="0.2">
      <c r="A124" s="520">
        <v>42538</v>
      </c>
      <c r="B124" s="493">
        <v>247424</v>
      </c>
    </row>
    <row r="125" spans="1:2" x14ac:dyDescent="0.2">
      <c r="A125" s="520">
        <v>42541</v>
      </c>
      <c r="B125" s="493">
        <v>247424</v>
      </c>
    </row>
    <row r="126" spans="1:2" x14ac:dyDescent="0.2">
      <c r="A126" s="520">
        <v>42542</v>
      </c>
      <c r="B126" s="493">
        <v>255459.85</v>
      </c>
    </row>
    <row r="127" spans="1:2" x14ac:dyDescent="0.2">
      <c r="A127" s="520">
        <v>42543</v>
      </c>
      <c r="B127" s="493">
        <v>255460</v>
      </c>
    </row>
    <row r="128" spans="1:2" x14ac:dyDescent="0.2">
      <c r="A128" s="494">
        <f>A127+1</f>
        <v>42544</v>
      </c>
      <c r="B128" s="493">
        <v>240780.4</v>
      </c>
    </row>
    <row r="129" spans="1:2" x14ac:dyDescent="0.2">
      <c r="A129" s="494">
        <f>A128+1</f>
        <v>42545</v>
      </c>
      <c r="B129" s="493">
        <v>240780</v>
      </c>
    </row>
    <row r="130" spans="1:2" x14ac:dyDescent="0.2">
      <c r="A130" s="494">
        <f>A125+7</f>
        <v>42548</v>
      </c>
      <c r="B130" s="493">
        <v>205735.12</v>
      </c>
    </row>
    <row r="131" spans="1:2" x14ac:dyDescent="0.2">
      <c r="A131" s="494">
        <f>A126+7</f>
        <v>42549</v>
      </c>
      <c r="B131" s="493">
        <v>207489.37</v>
      </c>
    </row>
    <row r="132" spans="1:2" x14ac:dyDescent="0.2">
      <c r="A132" s="494">
        <f t="shared" ref="A132:A195" si="0">A127+7</f>
        <v>42550</v>
      </c>
      <c r="B132" s="493">
        <v>213757.9</v>
      </c>
    </row>
    <row r="133" spans="1:2" x14ac:dyDescent="0.2">
      <c r="A133" s="494">
        <f t="shared" si="0"/>
        <v>42551</v>
      </c>
      <c r="B133" s="493">
        <v>220332.56</v>
      </c>
    </row>
    <row r="134" spans="1:2" x14ac:dyDescent="0.2">
      <c r="A134" s="494">
        <f t="shared" si="0"/>
        <v>42552</v>
      </c>
      <c r="B134" s="493">
        <v>212813.84</v>
      </c>
    </row>
    <row r="135" spans="1:2" x14ac:dyDescent="0.2">
      <c r="A135" s="494">
        <f t="shared" si="0"/>
        <v>42555</v>
      </c>
      <c r="B135" s="493">
        <v>212814</v>
      </c>
    </row>
    <row r="136" spans="1:2" x14ac:dyDescent="0.2">
      <c r="A136" s="494">
        <f t="shared" si="0"/>
        <v>42556</v>
      </c>
      <c r="B136" s="493">
        <v>236539.45</v>
      </c>
    </row>
    <row r="137" spans="1:2" x14ac:dyDescent="0.2">
      <c r="A137" s="494">
        <f t="shared" si="0"/>
        <v>42557</v>
      </c>
      <c r="B137" s="493">
        <v>234224.42</v>
      </c>
    </row>
    <row r="138" spans="1:2" x14ac:dyDescent="0.2">
      <c r="A138" s="494">
        <f t="shared" si="0"/>
        <v>42558</v>
      </c>
      <c r="B138" s="493">
        <v>234132.08</v>
      </c>
    </row>
    <row r="139" spans="1:2" x14ac:dyDescent="0.2">
      <c r="A139" s="494">
        <f t="shared" si="0"/>
        <v>42559</v>
      </c>
      <c r="B139" s="493">
        <v>234132.08</v>
      </c>
    </row>
    <row r="140" spans="1:2" x14ac:dyDescent="0.2">
      <c r="A140" s="494">
        <f t="shared" si="0"/>
        <v>42562</v>
      </c>
      <c r="B140" s="493">
        <v>199890.85</v>
      </c>
    </row>
    <row r="141" spans="1:2" x14ac:dyDescent="0.2">
      <c r="A141" s="494">
        <f t="shared" si="0"/>
        <v>42563</v>
      </c>
      <c r="B141" s="493">
        <v>221114.27</v>
      </c>
    </row>
    <row r="142" spans="1:2" x14ac:dyDescent="0.2">
      <c r="A142" s="494">
        <f t="shared" si="0"/>
        <v>42564</v>
      </c>
      <c r="B142" s="493">
        <v>221114</v>
      </c>
    </row>
    <row r="143" spans="1:2" x14ac:dyDescent="0.2">
      <c r="A143" s="494">
        <f t="shared" si="0"/>
        <v>42565</v>
      </c>
      <c r="B143" s="493">
        <v>214752.25</v>
      </c>
    </row>
    <row r="144" spans="1:2" x14ac:dyDescent="0.2">
      <c r="A144" s="494">
        <f t="shared" si="0"/>
        <v>42566</v>
      </c>
      <c r="B144" s="493">
        <v>294578.96999999997</v>
      </c>
    </row>
    <row r="145" spans="1:2" x14ac:dyDescent="0.2">
      <c r="A145" s="494">
        <f t="shared" si="0"/>
        <v>42569</v>
      </c>
      <c r="B145" s="493">
        <v>294579</v>
      </c>
    </row>
    <row r="146" spans="1:2" x14ac:dyDescent="0.2">
      <c r="A146" s="494">
        <f t="shared" si="0"/>
        <v>42570</v>
      </c>
      <c r="B146" s="493">
        <v>294579</v>
      </c>
    </row>
    <row r="147" spans="1:2" x14ac:dyDescent="0.2">
      <c r="A147" s="494">
        <f t="shared" si="0"/>
        <v>42571</v>
      </c>
      <c r="B147" s="493">
        <v>328195.42</v>
      </c>
    </row>
    <row r="148" spans="1:2" x14ac:dyDescent="0.2">
      <c r="A148" s="494">
        <f t="shared" si="0"/>
        <v>42572</v>
      </c>
      <c r="B148" s="493">
        <v>407865.86</v>
      </c>
    </row>
    <row r="149" spans="1:2" x14ac:dyDescent="0.2">
      <c r="A149" s="494">
        <f t="shared" si="0"/>
        <v>42573</v>
      </c>
      <c r="B149" s="493">
        <v>409053.93</v>
      </c>
    </row>
    <row r="150" spans="1:2" x14ac:dyDescent="0.2">
      <c r="A150" s="494">
        <f t="shared" si="0"/>
        <v>42576</v>
      </c>
      <c r="B150" s="493">
        <v>372421.56</v>
      </c>
    </row>
    <row r="151" spans="1:2" x14ac:dyDescent="0.2">
      <c r="A151" s="494">
        <f t="shared" si="0"/>
        <v>42577</v>
      </c>
      <c r="B151" s="493">
        <v>375562.78</v>
      </c>
    </row>
    <row r="152" spans="1:2" x14ac:dyDescent="0.2">
      <c r="A152" s="494">
        <f t="shared" si="0"/>
        <v>42578</v>
      </c>
      <c r="B152" s="493">
        <v>375563</v>
      </c>
    </row>
    <row r="153" spans="1:2" x14ac:dyDescent="0.2">
      <c r="A153" s="494">
        <f t="shared" si="0"/>
        <v>42579</v>
      </c>
      <c r="B153" s="493">
        <v>366510.98</v>
      </c>
    </row>
    <row r="154" spans="1:2" x14ac:dyDescent="0.2">
      <c r="A154" s="494">
        <f t="shared" si="0"/>
        <v>42580</v>
      </c>
      <c r="B154" s="493">
        <v>366609.48</v>
      </c>
    </row>
    <row r="155" spans="1:2" x14ac:dyDescent="0.2">
      <c r="A155" s="494">
        <f t="shared" si="0"/>
        <v>42583</v>
      </c>
      <c r="B155" s="493">
        <v>382689.69</v>
      </c>
    </row>
    <row r="156" spans="1:2" x14ac:dyDescent="0.2">
      <c r="A156" s="494">
        <f t="shared" si="0"/>
        <v>42584</v>
      </c>
      <c r="B156" s="493">
        <v>382690</v>
      </c>
    </row>
    <row r="157" spans="1:2" x14ac:dyDescent="0.2">
      <c r="A157" s="494">
        <f t="shared" si="0"/>
        <v>42585</v>
      </c>
      <c r="B157" s="493">
        <v>387013.59</v>
      </c>
    </row>
    <row r="158" spans="1:2" x14ac:dyDescent="0.2">
      <c r="A158" s="494">
        <f t="shared" si="0"/>
        <v>42586</v>
      </c>
      <c r="B158" s="493">
        <v>382543.7</v>
      </c>
    </row>
    <row r="159" spans="1:2" x14ac:dyDescent="0.2">
      <c r="A159" s="494">
        <f t="shared" si="0"/>
        <v>42587</v>
      </c>
      <c r="B159" s="493">
        <v>382544</v>
      </c>
    </row>
    <row r="160" spans="1:2" x14ac:dyDescent="0.2">
      <c r="A160" s="494">
        <f t="shared" si="0"/>
        <v>42590</v>
      </c>
      <c r="B160" s="493">
        <v>344510.17</v>
      </c>
    </row>
    <row r="161" spans="1:2" x14ac:dyDescent="0.2">
      <c r="A161" s="494">
        <f t="shared" si="0"/>
        <v>42591</v>
      </c>
      <c r="B161" s="493">
        <v>350095.94</v>
      </c>
    </row>
    <row r="162" spans="1:2" x14ac:dyDescent="0.2">
      <c r="A162" s="494">
        <f t="shared" si="0"/>
        <v>42592</v>
      </c>
      <c r="B162" s="493">
        <v>350096</v>
      </c>
    </row>
    <row r="163" spans="1:2" x14ac:dyDescent="0.2">
      <c r="A163" s="494">
        <f t="shared" si="0"/>
        <v>42593</v>
      </c>
      <c r="B163" s="493">
        <v>355079.15</v>
      </c>
    </row>
    <row r="164" spans="1:2" x14ac:dyDescent="0.2">
      <c r="A164" s="494">
        <f t="shared" si="0"/>
        <v>42594</v>
      </c>
      <c r="B164" s="493">
        <v>356502.11</v>
      </c>
    </row>
    <row r="165" spans="1:2" x14ac:dyDescent="0.2">
      <c r="A165" s="494">
        <f t="shared" si="0"/>
        <v>42597</v>
      </c>
      <c r="B165" s="493">
        <v>408622.46</v>
      </c>
    </row>
    <row r="166" spans="1:2" x14ac:dyDescent="0.2">
      <c r="A166" s="494">
        <f t="shared" si="0"/>
        <v>42598</v>
      </c>
      <c r="B166" s="493">
        <v>408622</v>
      </c>
    </row>
    <row r="167" spans="1:2" x14ac:dyDescent="0.2">
      <c r="A167" s="494">
        <f t="shared" si="0"/>
        <v>42599</v>
      </c>
      <c r="B167" s="493">
        <v>408622</v>
      </c>
    </row>
    <row r="168" spans="1:2" x14ac:dyDescent="0.2">
      <c r="A168" s="494">
        <f t="shared" si="0"/>
        <v>42600</v>
      </c>
      <c r="B168" s="493">
        <v>409931.67</v>
      </c>
    </row>
    <row r="169" spans="1:2" x14ac:dyDescent="0.2">
      <c r="A169" s="494">
        <f t="shared" si="0"/>
        <v>42601</v>
      </c>
      <c r="B169" s="493">
        <v>410189.3</v>
      </c>
    </row>
    <row r="170" spans="1:2" x14ac:dyDescent="0.2">
      <c r="A170" s="494">
        <f t="shared" si="0"/>
        <v>42604</v>
      </c>
      <c r="B170" s="493">
        <v>370399.56</v>
      </c>
    </row>
    <row r="171" spans="1:2" x14ac:dyDescent="0.2">
      <c r="A171" s="494">
        <f t="shared" si="0"/>
        <v>42605</v>
      </c>
      <c r="B171" s="493">
        <v>370399.56</v>
      </c>
    </row>
    <row r="172" spans="1:2" x14ac:dyDescent="0.2">
      <c r="A172" s="494">
        <f t="shared" si="0"/>
        <v>42606</v>
      </c>
      <c r="B172" s="493">
        <v>370400</v>
      </c>
    </row>
    <row r="173" spans="1:2" x14ac:dyDescent="0.2">
      <c r="A173" s="494">
        <f t="shared" si="0"/>
        <v>42607</v>
      </c>
      <c r="B173" s="493">
        <v>359591.19</v>
      </c>
    </row>
    <row r="174" spans="1:2" x14ac:dyDescent="0.2">
      <c r="A174" s="494">
        <f t="shared" si="0"/>
        <v>42608</v>
      </c>
      <c r="B174" s="493">
        <v>399163.14</v>
      </c>
    </row>
    <row r="175" spans="1:2" x14ac:dyDescent="0.2">
      <c r="A175" s="494">
        <f t="shared" si="0"/>
        <v>42611</v>
      </c>
      <c r="B175" s="493">
        <v>407196.62</v>
      </c>
    </row>
    <row r="176" spans="1:2" x14ac:dyDescent="0.2">
      <c r="A176" s="494">
        <f t="shared" si="0"/>
        <v>42612</v>
      </c>
      <c r="B176" s="493">
        <v>422526.97</v>
      </c>
    </row>
    <row r="177" spans="1:5" x14ac:dyDescent="0.2">
      <c r="A177" s="494">
        <f t="shared" si="0"/>
        <v>42613</v>
      </c>
      <c r="B177" s="493">
        <v>479216.05</v>
      </c>
    </row>
    <row r="178" spans="1:5" x14ac:dyDescent="0.2">
      <c r="A178" s="494">
        <f t="shared" si="0"/>
        <v>42614</v>
      </c>
      <c r="B178" s="493">
        <v>479216</v>
      </c>
    </row>
    <row r="179" spans="1:5" x14ac:dyDescent="0.2">
      <c r="A179" s="494">
        <f t="shared" si="0"/>
        <v>42615</v>
      </c>
      <c r="B179" s="493">
        <v>479216</v>
      </c>
    </row>
    <row r="180" spans="1:5" x14ac:dyDescent="0.2">
      <c r="A180" s="494">
        <f t="shared" si="0"/>
        <v>42618</v>
      </c>
      <c r="B180" s="493">
        <v>479216</v>
      </c>
    </row>
    <row r="181" spans="1:5" x14ac:dyDescent="0.2">
      <c r="A181" s="494">
        <f t="shared" si="0"/>
        <v>42619</v>
      </c>
      <c r="B181" s="493">
        <v>440784.82</v>
      </c>
    </row>
    <row r="182" spans="1:5" x14ac:dyDescent="0.2">
      <c r="A182" s="494">
        <f t="shared" si="0"/>
        <v>42620</v>
      </c>
      <c r="B182" s="493">
        <v>440785</v>
      </c>
      <c r="D182" s="495"/>
      <c r="E182" s="496"/>
    </row>
    <row r="183" spans="1:5" x14ac:dyDescent="0.2">
      <c r="A183" s="494">
        <f t="shared" si="0"/>
        <v>42621</v>
      </c>
      <c r="B183" s="493">
        <v>445373.31</v>
      </c>
    </row>
    <row r="184" spans="1:5" x14ac:dyDescent="0.2">
      <c r="A184" s="494">
        <f t="shared" si="0"/>
        <v>42622</v>
      </c>
      <c r="B184" s="493">
        <v>463896.46</v>
      </c>
      <c r="D184" s="495"/>
      <c r="E184" s="496"/>
    </row>
    <row r="185" spans="1:5" x14ac:dyDescent="0.2">
      <c r="A185" s="494">
        <f t="shared" si="0"/>
        <v>42625</v>
      </c>
      <c r="B185" s="493">
        <v>463296.46</v>
      </c>
      <c r="D185" s="495"/>
      <c r="E185" s="496"/>
    </row>
    <row r="186" spans="1:5" x14ac:dyDescent="0.2">
      <c r="A186" s="494">
        <f t="shared" si="0"/>
        <v>42626</v>
      </c>
      <c r="B186" s="493">
        <v>465024.54</v>
      </c>
      <c r="D186" s="495"/>
      <c r="E186" s="496"/>
    </row>
    <row r="187" spans="1:5" x14ac:dyDescent="0.2">
      <c r="A187" s="494">
        <f t="shared" si="0"/>
        <v>42627</v>
      </c>
      <c r="B187" s="493">
        <v>465025</v>
      </c>
      <c r="D187" s="495"/>
      <c r="E187" s="496"/>
    </row>
    <row r="188" spans="1:5" x14ac:dyDescent="0.2">
      <c r="A188" s="494">
        <f t="shared" si="0"/>
        <v>42628</v>
      </c>
      <c r="B188" s="493">
        <v>447444.34</v>
      </c>
      <c r="D188" s="495"/>
      <c r="E188" s="496"/>
    </row>
    <row r="189" spans="1:5" x14ac:dyDescent="0.2">
      <c r="A189" s="494">
        <f t="shared" si="0"/>
        <v>42629</v>
      </c>
      <c r="B189" s="493">
        <v>451135.42</v>
      </c>
      <c r="D189" s="495"/>
      <c r="E189" s="496"/>
    </row>
    <row r="190" spans="1:5" x14ac:dyDescent="0.2">
      <c r="A190" s="494">
        <f t="shared" si="0"/>
        <v>42632</v>
      </c>
      <c r="B190" s="493">
        <v>413924.51</v>
      </c>
      <c r="D190" s="495"/>
      <c r="E190" s="496"/>
    </row>
    <row r="191" spans="1:5" x14ac:dyDescent="0.2">
      <c r="A191" s="494">
        <f t="shared" si="0"/>
        <v>42633</v>
      </c>
      <c r="B191" s="493">
        <v>395080.96000000002</v>
      </c>
      <c r="D191" s="495"/>
      <c r="E191" s="496"/>
    </row>
    <row r="192" spans="1:5" x14ac:dyDescent="0.2">
      <c r="A192" s="494">
        <f t="shared" si="0"/>
        <v>42634</v>
      </c>
      <c r="B192" s="493">
        <v>393852.1</v>
      </c>
      <c r="D192" s="495"/>
      <c r="E192" s="496"/>
    </row>
    <row r="193" spans="1:5" x14ac:dyDescent="0.2">
      <c r="A193" s="494">
        <f t="shared" si="0"/>
        <v>42635</v>
      </c>
      <c r="B193" s="493">
        <v>397757.18</v>
      </c>
      <c r="D193" s="495"/>
      <c r="E193" s="496"/>
    </row>
    <row r="194" spans="1:5" x14ac:dyDescent="0.2">
      <c r="A194" s="494">
        <f t="shared" si="0"/>
        <v>42636</v>
      </c>
      <c r="B194" s="493">
        <v>397757</v>
      </c>
      <c r="D194" s="495"/>
      <c r="E194" s="496"/>
    </row>
    <row r="195" spans="1:5" x14ac:dyDescent="0.2">
      <c r="A195" s="494">
        <f t="shared" si="0"/>
        <v>42639</v>
      </c>
      <c r="B195" s="493">
        <v>397757</v>
      </c>
      <c r="D195" s="495"/>
      <c r="E195" s="496"/>
    </row>
    <row r="196" spans="1:5" x14ac:dyDescent="0.2">
      <c r="A196" s="494">
        <f t="shared" ref="A196:A259" si="1">A191+7</f>
        <v>42640</v>
      </c>
      <c r="B196" s="493">
        <v>403105.59</v>
      </c>
      <c r="D196" s="495"/>
      <c r="E196" s="496"/>
    </row>
    <row r="197" spans="1:5" x14ac:dyDescent="0.2">
      <c r="A197" s="494">
        <f t="shared" si="1"/>
        <v>42641</v>
      </c>
      <c r="B197" s="493">
        <v>394170.51</v>
      </c>
      <c r="D197" s="495"/>
      <c r="E197" s="496"/>
    </row>
    <row r="198" spans="1:5" x14ac:dyDescent="0.2">
      <c r="A198" s="494">
        <f t="shared" si="1"/>
        <v>42642</v>
      </c>
      <c r="B198" s="493">
        <v>397917.56</v>
      </c>
      <c r="D198" s="495"/>
      <c r="E198" s="496"/>
    </row>
    <row r="199" spans="1:5" x14ac:dyDescent="0.2">
      <c r="A199" s="494">
        <f t="shared" si="1"/>
        <v>42643</v>
      </c>
      <c r="B199" s="493">
        <v>397918</v>
      </c>
      <c r="D199" s="495"/>
      <c r="E199" s="496"/>
    </row>
    <row r="200" spans="1:5" x14ac:dyDescent="0.2">
      <c r="A200" s="494">
        <f t="shared" si="1"/>
        <v>42646</v>
      </c>
      <c r="B200" s="493">
        <v>361701.8</v>
      </c>
      <c r="D200" s="495"/>
      <c r="E200" s="496"/>
    </row>
    <row r="201" spans="1:5" x14ac:dyDescent="0.2">
      <c r="A201" s="494">
        <f t="shared" si="1"/>
        <v>42647</v>
      </c>
      <c r="B201" s="493">
        <v>362031.95</v>
      </c>
      <c r="D201" s="495"/>
      <c r="E201" s="496"/>
    </row>
    <row r="202" spans="1:5" x14ac:dyDescent="0.2">
      <c r="A202" s="494">
        <f t="shared" si="1"/>
        <v>42648</v>
      </c>
      <c r="B202" s="493">
        <v>362032</v>
      </c>
    </row>
    <row r="203" spans="1:5" x14ac:dyDescent="0.2">
      <c r="A203" s="494">
        <f t="shared" si="1"/>
        <v>42649</v>
      </c>
      <c r="B203" s="493">
        <v>360433.13</v>
      </c>
    </row>
    <row r="204" spans="1:5" x14ac:dyDescent="0.2">
      <c r="A204" s="494">
        <f t="shared" si="1"/>
        <v>42650</v>
      </c>
      <c r="B204" s="493">
        <v>361754.66</v>
      </c>
    </row>
    <row r="205" spans="1:5" x14ac:dyDescent="0.2">
      <c r="A205" s="494">
        <f t="shared" si="1"/>
        <v>42653</v>
      </c>
      <c r="B205" s="493">
        <v>361755</v>
      </c>
    </row>
    <row r="206" spans="1:5" x14ac:dyDescent="0.2">
      <c r="A206" s="494">
        <f t="shared" si="1"/>
        <v>42654</v>
      </c>
      <c r="B206" s="493">
        <v>361755</v>
      </c>
    </row>
    <row r="207" spans="1:5" x14ac:dyDescent="0.2">
      <c r="A207" s="494">
        <f t="shared" si="1"/>
        <v>42655</v>
      </c>
      <c r="B207" s="493">
        <v>365429.62</v>
      </c>
    </row>
    <row r="208" spans="1:5" x14ac:dyDescent="0.2">
      <c r="A208" s="494">
        <f t="shared" si="1"/>
        <v>42656</v>
      </c>
      <c r="B208" s="493">
        <v>375400.83</v>
      </c>
    </row>
    <row r="209" spans="1:2" x14ac:dyDescent="0.2">
      <c r="A209" s="494">
        <f t="shared" si="1"/>
        <v>42657</v>
      </c>
      <c r="B209" s="493">
        <v>375484.03</v>
      </c>
    </row>
    <row r="210" spans="1:2" x14ac:dyDescent="0.2">
      <c r="A210" s="494">
        <f t="shared" si="1"/>
        <v>42660</v>
      </c>
      <c r="B210" s="493">
        <v>339702.96</v>
      </c>
    </row>
    <row r="211" spans="1:2" x14ac:dyDescent="0.2">
      <c r="A211" s="494">
        <f t="shared" si="1"/>
        <v>42661</v>
      </c>
      <c r="B211" s="493">
        <v>343741.39</v>
      </c>
    </row>
    <row r="212" spans="1:2" x14ac:dyDescent="0.2">
      <c r="A212" s="494">
        <f t="shared" si="1"/>
        <v>42662</v>
      </c>
      <c r="B212" s="493">
        <v>343741</v>
      </c>
    </row>
    <row r="213" spans="1:2" x14ac:dyDescent="0.2">
      <c r="A213" s="494">
        <f t="shared" si="1"/>
        <v>42663</v>
      </c>
      <c r="B213" s="493">
        <v>332267.31</v>
      </c>
    </row>
    <row r="214" spans="1:2" x14ac:dyDescent="0.2">
      <c r="A214" s="494">
        <f t="shared" si="1"/>
        <v>42664</v>
      </c>
      <c r="B214" s="493">
        <v>332482.06</v>
      </c>
    </row>
    <row r="215" spans="1:2" x14ac:dyDescent="0.2">
      <c r="A215" s="494">
        <f t="shared" si="1"/>
        <v>42667</v>
      </c>
      <c r="B215" s="493">
        <v>332482</v>
      </c>
    </row>
    <row r="216" spans="1:2" x14ac:dyDescent="0.2">
      <c r="A216" s="494">
        <f t="shared" si="1"/>
        <v>42668</v>
      </c>
      <c r="B216" s="493">
        <v>337085.39</v>
      </c>
    </row>
    <row r="217" spans="1:2" x14ac:dyDescent="0.2">
      <c r="A217" s="494">
        <f t="shared" si="1"/>
        <v>42669</v>
      </c>
      <c r="B217" s="493">
        <v>337085</v>
      </c>
    </row>
    <row r="218" spans="1:2" x14ac:dyDescent="0.2">
      <c r="A218" s="494">
        <f t="shared" si="1"/>
        <v>42670</v>
      </c>
      <c r="B218" s="493">
        <v>333113.26</v>
      </c>
    </row>
    <row r="219" spans="1:2" x14ac:dyDescent="0.2">
      <c r="A219" s="494">
        <f t="shared" si="1"/>
        <v>42671</v>
      </c>
      <c r="B219" s="493">
        <v>360993.03</v>
      </c>
    </row>
    <row r="220" spans="1:2" x14ac:dyDescent="0.2">
      <c r="A220" s="494">
        <f t="shared" si="1"/>
        <v>42674</v>
      </c>
      <c r="B220" s="493">
        <v>350567.25</v>
      </c>
    </row>
    <row r="221" spans="1:2" x14ac:dyDescent="0.2">
      <c r="A221" s="494">
        <f t="shared" si="1"/>
        <v>42675</v>
      </c>
      <c r="B221" s="493">
        <v>350939.21</v>
      </c>
    </row>
    <row r="222" spans="1:2" x14ac:dyDescent="0.2">
      <c r="A222" s="494">
        <f t="shared" si="1"/>
        <v>42676</v>
      </c>
      <c r="B222" s="493">
        <v>350939</v>
      </c>
    </row>
    <row r="223" spans="1:2" x14ac:dyDescent="0.2">
      <c r="A223" s="494">
        <f t="shared" si="1"/>
        <v>42677</v>
      </c>
      <c r="B223" s="493">
        <v>344148.64</v>
      </c>
    </row>
    <row r="224" spans="1:2" x14ac:dyDescent="0.2">
      <c r="A224" s="494">
        <f t="shared" si="1"/>
        <v>42678</v>
      </c>
      <c r="B224" s="493">
        <v>399084.27</v>
      </c>
    </row>
    <row r="225" spans="1:2" x14ac:dyDescent="0.2">
      <c r="A225" s="494">
        <f t="shared" si="1"/>
        <v>42681</v>
      </c>
      <c r="B225" s="493">
        <v>399084</v>
      </c>
    </row>
    <row r="226" spans="1:2" x14ac:dyDescent="0.2">
      <c r="A226" s="494">
        <f t="shared" si="1"/>
        <v>42682</v>
      </c>
      <c r="B226" s="493">
        <v>403667.29</v>
      </c>
    </row>
    <row r="227" spans="1:2" x14ac:dyDescent="0.2">
      <c r="A227" s="494">
        <f t="shared" si="1"/>
        <v>42683</v>
      </c>
      <c r="B227" s="493">
        <v>403667</v>
      </c>
    </row>
    <row r="228" spans="1:2" x14ac:dyDescent="0.2">
      <c r="A228" s="494">
        <f t="shared" si="1"/>
        <v>42684</v>
      </c>
      <c r="B228" s="493">
        <v>383477.25</v>
      </c>
    </row>
    <row r="229" spans="1:2" x14ac:dyDescent="0.2">
      <c r="A229" s="494">
        <f t="shared" si="1"/>
        <v>42685</v>
      </c>
      <c r="B229" s="493">
        <v>383477</v>
      </c>
    </row>
    <row r="230" spans="1:2" x14ac:dyDescent="0.2">
      <c r="A230" s="494">
        <f t="shared" si="1"/>
        <v>42688</v>
      </c>
      <c r="B230" s="493">
        <v>347717.6</v>
      </c>
    </row>
    <row r="231" spans="1:2" x14ac:dyDescent="0.2">
      <c r="A231" s="494">
        <f t="shared" si="1"/>
        <v>42689</v>
      </c>
      <c r="B231" s="493">
        <v>347836.75</v>
      </c>
    </row>
    <row r="232" spans="1:2" x14ac:dyDescent="0.2">
      <c r="A232" s="494">
        <f t="shared" si="1"/>
        <v>42690</v>
      </c>
      <c r="B232" s="493">
        <v>347836.75</v>
      </c>
    </row>
    <row r="233" spans="1:2" x14ac:dyDescent="0.2">
      <c r="A233" s="494">
        <f t="shared" si="1"/>
        <v>42691</v>
      </c>
      <c r="B233" s="493">
        <v>350935.56</v>
      </c>
    </row>
    <row r="234" spans="1:2" x14ac:dyDescent="0.2">
      <c r="A234" s="494">
        <f t="shared" si="1"/>
        <v>42692</v>
      </c>
      <c r="B234" s="493">
        <v>350936</v>
      </c>
    </row>
    <row r="235" spans="1:2" x14ac:dyDescent="0.2">
      <c r="A235" s="494">
        <f t="shared" si="1"/>
        <v>42695</v>
      </c>
      <c r="B235" s="493">
        <v>350936</v>
      </c>
    </row>
    <row r="236" spans="1:2" x14ac:dyDescent="0.2">
      <c r="A236" s="494">
        <f t="shared" si="1"/>
        <v>42696</v>
      </c>
      <c r="B236" s="493">
        <v>351588.06</v>
      </c>
    </row>
    <row r="237" spans="1:2" x14ac:dyDescent="0.2">
      <c r="A237" s="494">
        <f t="shared" si="1"/>
        <v>42697</v>
      </c>
      <c r="B237" s="493">
        <v>349477.96</v>
      </c>
    </row>
    <row r="238" spans="1:2" x14ac:dyDescent="0.2">
      <c r="A238" s="494">
        <f t="shared" si="1"/>
        <v>42698</v>
      </c>
      <c r="B238" s="493">
        <v>349478</v>
      </c>
    </row>
    <row r="239" spans="1:2" x14ac:dyDescent="0.2">
      <c r="A239" s="494">
        <f t="shared" si="1"/>
        <v>42699</v>
      </c>
      <c r="B239" s="493">
        <v>368170.66</v>
      </c>
    </row>
    <row r="240" spans="1:2" x14ac:dyDescent="0.2">
      <c r="A240" s="494">
        <f t="shared" si="1"/>
        <v>42702</v>
      </c>
      <c r="B240" s="493">
        <v>368170.66</v>
      </c>
    </row>
    <row r="241" spans="1:2" x14ac:dyDescent="0.2">
      <c r="A241" s="494">
        <f t="shared" si="1"/>
        <v>42703</v>
      </c>
      <c r="B241" s="493">
        <v>328902.64</v>
      </c>
    </row>
    <row r="242" spans="1:2" x14ac:dyDescent="0.2">
      <c r="A242" s="494">
        <f t="shared" si="1"/>
        <v>42704</v>
      </c>
      <c r="B242" s="493">
        <v>338455.85</v>
      </c>
    </row>
    <row r="243" spans="1:2" x14ac:dyDescent="0.2">
      <c r="A243" s="494">
        <f t="shared" si="1"/>
        <v>42705</v>
      </c>
      <c r="B243" s="493">
        <v>336997.18</v>
      </c>
    </row>
    <row r="244" spans="1:2" x14ac:dyDescent="0.2">
      <c r="A244" s="494">
        <f t="shared" si="1"/>
        <v>42706</v>
      </c>
      <c r="B244" s="493">
        <v>342825.59</v>
      </c>
    </row>
    <row r="245" spans="1:2" x14ac:dyDescent="0.2">
      <c r="A245" s="494">
        <f t="shared" si="1"/>
        <v>42709</v>
      </c>
      <c r="B245" s="493">
        <v>342826</v>
      </c>
    </row>
    <row r="246" spans="1:2" x14ac:dyDescent="0.2">
      <c r="A246" s="494">
        <f t="shared" si="1"/>
        <v>42710</v>
      </c>
      <c r="B246" s="493">
        <v>344457.81</v>
      </c>
    </row>
    <row r="247" spans="1:2" x14ac:dyDescent="0.2">
      <c r="A247" s="494">
        <f t="shared" si="1"/>
        <v>42711</v>
      </c>
      <c r="B247" s="493">
        <v>366772.64</v>
      </c>
    </row>
    <row r="248" spans="1:2" x14ac:dyDescent="0.2">
      <c r="A248" s="494">
        <f t="shared" si="1"/>
        <v>42712</v>
      </c>
      <c r="B248" s="493">
        <v>366772.6</v>
      </c>
    </row>
    <row r="249" spans="1:2" x14ac:dyDescent="0.2">
      <c r="A249" s="494">
        <f t="shared" si="1"/>
        <v>42713</v>
      </c>
      <c r="B249" s="493">
        <v>366773</v>
      </c>
    </row>
    <row r="250" spans="1:2" x14ac:dyDescent="0.2">
      <c r="A250" s="494">
        <f t="shared" si="1"/>
        <v>42716</v>
      </c>
      <c r="B250" s="493">
        <v>366773</v>
      </c>
    </row>
    <row r="251" spans="1:2" x14ac:dyDescent="0.2">
      <c r="A251" s="494">
        <f t="shared" si="1"/>
        <v>42717</v>
      </c>
      <c r="B251" s="493">
        <v>346535.44</v>
      </c>
    </row>
    <row r="252" spans="1:2" x14ac:dyDescent="0.2">
      <c r="A252" s="494">
        <f t="shared" si="1"/>
        <v>42718</v>
      </c>
      <c r="B252" s="493">
        <v>346535</v>
      </c>
    </row>
    <row r="253" spans="1:2" x14ac:dyDescent="0.2">
      <c r="A253" s="494">
        <f t="shared" si="1"/>
        <v>42719</v>
      </c>
      <c r="B253" s="493">
        <v>335522.11</v>
      </c>
    </row>
    <row r="254" spans="1:2" x14ac:dyDescent="0.2">
      <c r="A254" s="494">
        <f t="shared" si="1"/>
        <v>42720</v>
      </c>
      <c r="B254" s="493">
        <v>335675.99</v>
      </c>
    </row>
    <row r="255" spans="1:2" x14ac:dyDescent="0.2">
      <c r="A255" s="494">
        <f t="shared" si="1"/>
        <v>42723</v>
      </c>
      <c r="B255" s="493">
        <v>357268.43</v>
      </c>
    </row>
    <row r="256" spans="1:2" x14ac:dyDescent="0.2">
      <c r="A256" s="494">
        <f t="shared" si="1"/>
        <v>42724</v>
      </c>
      <c r="B256" s="493">
        <v>357268</v>
      </c>
    </row>
    <row r="257" spans="1:2" x14ac:dyDescent="0.2">
      <c r="A257" s="494">
        <f t="shared" si="1"/>
        <v>42725</v>
      </c>
      <c r="B257" s="493">
        <v>366192.91</v>
      </c>
    </row>
    <row r="258" spans="1:2" x14ac:dyDescent="0.2">
      <c r="A258" s="494">
        <f t="shared" si="1"/>
        <v>42726</v>
      </c>
      <c r="B258" s="493">
        <v>377001.67</v>
      </c>
    </row>
    <row r="259" spans="1:2" x14ac:dyDescent="0.2">
      <c r="A259" s="494">
        <f t="shared" si="1"/>
        <v>42727</v>
      </c>
      <c r="B259" s="493">
        <v>377329.67</v>
      </c>
    </row>
    <row r="260" spans="1:2" x14ac:dyDescent="0.2">
      <c r="A260" s="494">
        <f t="shared" ref="A260:A264" si="2">A255+7</f>
        <v>42730</v>
      </c>
      <c r="B260" s="493">
        <v>377330</v>
      </c>
    </row>
    <row r="261" spans="1:2" x14ac:dyDescent="0.2">
      <c r="A261" s="494">
        <f t="shared" si="2"/>
        <v>42731</v>
      </c>
      <c r="B261" s="493">
        <v>339782.53</v>
      </c>
    </row>
    <row r="262" spans="1:2" x14ac:dyDescent="0.2">
      <c r="A262" s="494">
        <f t="shared" si="2"/>
        <v>42732</v>
      </c>
      <c r="B262" s="493">
        <v>339783</v>
      </c>
    </row>
    <row r="263" spans="1:2" x14ac:dyDescent="0.2">
      <c r="A263" s="494">
        <f t="shared" si="2"/>
        <v>42733</v>
      </c>
      <c r="B263" s="493">
        <v>337987.77</v>
      </c>
    </row>
    <row r="264" spans="1:2" x14ac:dyDescent="0.2">
      <c r="A264" s="494">
        <f t="shared" si="2"/>
        <v>42734</v>
      </c>
      <c r="B264" s="493">
        <v>354814.33</v>
      </c>
    </row>
    <row r="265" spans="1:2" x14ac:dyDescent="0.2">
      <c r="A265" s="516">
        <v>42737</v>
      </c>
      <c r="B265" s="517">
        <v>354814</v>
      </c>
    </row>
    <row r="266" spans="1:2" x14ac:dyDescent="0.2">
      <c r="A266" s="516">
        <v>42738</v>
      </c>
      <c r="B266" s="517">
        <v>361866.86</v>
      </c>
    </row>
    <row r="267" spans="1:2" x14ac:dyDescent="0.2">
      <c r="A267" s="516">
        <v>42739</v>
      </c>
      <c r="B267" s="517">
        <v>363519.32</v>
      </c>
    </row>
    <row r="268" spans="1:2" x14ac:dyDescent="0.2">
      <c r="A268" s="516">
        <v>42740</v>
      </c>
      <c r="B268" s="517">
        <v>361866.66</v>
      </c>
    </row>
    <row r="269" spans="1:2" x14ac:dyDescent="0.2">
      <c r="A269" s="516">
        <v>42741</v>
      </c>
      <c r="B269" s="517">
        <v>363519</v>
      </c>
    </row>
    <row r="270" spans="1:2" x14ac:dyDescent="0.2">
      <c r="A270" s="516">
        <v>42744</v>
      </c>
      <c r="B270" s="517">
        <v>363543.47</v>
      </c>
    </row>
    <row r="271" spans="1:2" x14ac:dyDescent="0.2">
      <c r="A271" s="516">
        <v>42745</v>
      </c>
      <c r="B271" s="517">
        <v>328707.83</v>
      </c>
    </row>
    <row r="272" spans="1:2" x14ac:dyDescent="0.2">
      <c r="A272" s="516">
        <v>42746</v>
      </c>
      <c r="B272" s="517">
        <v>328708</v>
      </c>
    </row>
    <row r="273" spans="1:2" x14ac:dyDescent="0.2">
      <c r="A273" s="516">
        <v>42747</v>
      </c>
      <c r="B273" s="517">
        <v>321086.01</v>
      </c>
    </row>
    <row r="274" spans="1:2" x14ac:dyDescent="0.2">
      <c r="A274" s="516">
        <v>42748</v>
      </c>
      <c r="B274" s="517">
        <v>334097.28000000003</v>
      </c>
    </row>
    <row r="275" spans="1:2" x14ac:dyDescent="0.2">
      <c r="A275" s="516">
        <v>42751</v>
      </c>
      <c r="B275" s="517">
        <v>334097</v>
      </c>
    </row>
    <row r="276" spans="1:2" x14ac:dyDescent="0.2">
      <c r="A276" s="516">
        <v>42752</v>
      </c>
      <c r="B276" s="517">
        <v>268850.96000000002</v>
      </c>
    </row>
    <row r="277" spans="1:2" x14ac:dyDescent="0.2">
      <c r="A277" s="516">
        <v>42753</v>
      </c>
      <c r="B277" s="517">
        <v>268851</v>
      </c>
    </row>
    <row r="278" spans="1:2" x14ac:dyDescent="0.2">
      <c r="A278" s="516">
        <v>42754</v>
      </c>
      <c r="B278" s="517">
        <v>269075.21000000002</v>
      </c>
    </row>
    <row r="279" spans="1:2" x14ac:dyDescent="0.2">
      <c r="A279" s="516">
        <v>42755</v>
      </c>
      <c r="B279" s="517">
        <v>270983.21000000002</v>
      </c>
    </row>
    <row r="280" spans="1:2" x14ac:dyDescent="0.2">
      <c r="A280" s="516">
        <v>42758</v>
      </c>
      <c r="B280" s="517">
        <v>270983</v>
      </c>
    </row>
    <row r="281" spans="1:2" x14ac:dyDescent="0.2">
      <c r="A281" s="516">
        <v>42759</v>
      </c>
      <c r="B281" s="517">
        <v>270723.98</v>
      </c>
    </row>
    <row r="282" spans="1:2" x14ac:dyDescent="0.2">
      <c r="A282" s="516">
        <v>42760</v>
      </c>
      <c r="B282" s="517">
        <v>281353.09999999998</v>
      </c>
    </row>
    <row r="283" spans="1:2" x14ac:dyDescent="0.2">
      <c r="A283" s="516">
        <v>42761</v>
      </c>
      <c r="B283" s="517">
        <v>274313.84999999998</v>
      </c>
    </row>
    <row r="284" spans="1:2" x14ac:dyDescent="0.2">
      <c r="A284" s="516">
        <v>42762</v>
      </c>
      <c r="B284" s="517">
        <v>296447.59999999998</v>
      </c>
    </row>
    <row r="285" spans="1:2" x14ac:dyDescent="0.2">
      <c r="A285" s="516">
        <v>42765</v>
      </c>
      <c r="B285" s="517">
        <v>295107.96000000002</v>
      </c>
    </row>
    <row r="286" spans="1:2" x14ac:dyDescent="0.2">
      <c r="A286" s="516">
        <v>42766</v>
      </c>
      <c r="B286" s="517">
        <v>314030.53000000003</v>
      </c>
    </row>
    <row r="287" spans="1:2" x14ac:dyDescent="0.2">
      <c r="A287" s="516">
        <v>42767</v>
      </c>
      <c r="B287" s="517">
        <v>314031</v>
      </c>
    </row>
    <row r="288" spans="1:2" x14ac:dyDescent="0.2">
      <c r="A288" s="516">
        <v>42768</v>
      </c>
      <c r="B288" s="517">
        <v>312808.53999999998</v>
      </c>
    </row>
    <row r="289" spans="1:2" x14ac:dyDescent="0.2">
      <c r="A289" s="516">
        <v>42769</v>
      </c>
      <c r="B289" s="517">
        <v>316461.53999999998</v>
      </c>
    </row>
    <row r="290" spans="1:2" x14ac:dyDescent="0.2">
      <c r="A290" s="516">
        <v>42772</v>
      </c>
      <c r="B290" s="517">
        <v>316462</v>
      </c>
    </row>
    <row r="291" spans="1:2" x14ac:dyDescent="0.2">
      <c r="A291" s="516">
        <v>42773</v>
      </c>
      <c r="B291" s="517">
        <v>289560.21999999997</v>
      </c>
    </row>
    <row r="292" spans="1:2" x14ac:dyDescent="0.2">
      <c r="A292" s="516">
        <v>42774</v>
      </c>
      <c r="B292" s="517">
        <v>297310.21999999997</v>
      </c>
    </row>
    <row r="293" spans="1:2" x14ac:dyDescent="0.2">
      <c r="A293" s="516">
        <v>42775</v>
      </c>
      <c r="B293" s="517">
        <v>352433.91</v>
      </c>
    </row>
    <row r="294" spans="1:2" x14ac:dyDescent="0.2">
      <c r="A294" s="516">
        <v>42776</v>
      </c>
      <c r="B294" s="517">
        <v>352434</v>
      </c>
    </row>
    <row r="295" spans="1:2" x14ac:dyDescent="0.2">
      <c r="A295" s="516">
        <v>42779</v>
      </c>
      <c r="B295" s="517">
        <v>352434</v>
      </c>
    </row>
    <row r="296" spans="1:2" x14ac:dyDescent="0.2">
      <c r="A296" s="516">
        <v>42780</v>
      </c>
      <c r="B296" s="517">
        <v>352434</v>
      </c>
    </row>
    <row r="297" spans="1:2" x14ac:dyDescent="0.2">
      <c r="A297" s="516">
        <v>42781</v>
      </c>
      <c r="B297" s="517">
        <v>352542.46</v>
      </c>
    </row>
    <row r="298" spans="1:2" x14ac:dyDescent="0.2">
      <c r="A298" s="516">
        <v>42782</v>
      </c>
      <c r="B298" s="517">
        <v>383231.99</v>
      </c>
    </row>
    <row r="299" spans="1:2" x14ac:dyDescent="0.2">
      <c r="A299" s="516">
        <v>42783</v>
      </c>
      <c r="B299" s="551">
        <v>404679.36</v>
      </c>
    </row>
    <row r="300" spans="1:2" x14ac:dyDescent="0.2">
      <c r="A300" s="516">
        <v>42785</v>
      </c>
      <c r="B300" s="517">
        <v>404679</v>
      </c>
    </row>
    <row r="301" spans="1:2" x14ac:dyDescent="0.2">
      <c r="A301" s="516">
        <v>42787</v>
      </c>
      <c r="B301" s="517">
        <v>368703.72</v>
      </c>
    </row>
    <row r="302" spans="1:2" x14ac:dyDescent="0.2">
      <c r="A302" s="516">
        <v>42788</v>
      </c>
      <c r="B302" s="517">
        <v>368203.72</v>
      </c>
    </row>
    <row r="303" spans="1:2" x14ac:dyDescent="0.2">
      <c r="A303" s="516">
        <v>42789</v>
      </c>
      <c r="B303" s="517">
        <v>349211.92</v>
      </c>
    </row>
    <row r="304" spans="1:2" x14ac:dyDescent="0.2">
      <c r="A304" s="516">
        <v>42790</v>
      </c>
      <c r="B304" s="517">
        <v>384176.45</v>
      </c>
    </row>
    <row r="305" spans="1:2" x14ac:dyDescent="0.2">
      <c r="A305" s="516">
        <v>42793</v>
      </c>
      <c r="B305" s="517">
        <v>384176</v>
      </c>
    </row>
    <row r="306" spans="1:2" x14ac:dyDescent="0.2">
      <c r="A306" s="516">
        <v>42794</v>
      </c>
      <c r="B306" s="517">
        <v>384176</v>
      </c>
    </row>
    <row r="307" spans="1:2" x14ac:dyDescent="0.2">
      <c r="A307" s="516">
        <v>42795</v>
      </c>
      <c r="B307" s="517">
        <v>384176</v>
      </c>
    </row>
    <row r="308" spans="1:2" x14ac:dyDescent="0.2">
      <c r="A308" s="516">
        <v>42796</v>
      </c>
      <c r="B308" s="517">
        <v>395396.43</v>
      </c>
    </row>
    <row r="309" spans="1:2" x14ac:dyDescent="0.2">
      <c r="A309" s="516">
        <v>42797</v>
      </c>
      <c r="B309" s="517">
        <v>395396</v>
      </c>
    </row>
    <row r="310" spans="1:2" x14ac:dyDescent="0.2">
      <c r="A310" s="516">
        <v>42800</v>
      </c>
      <c r="B310" s="517">
        <v>395396</v>
      </c>
    </row>
    <row r="311" spans="1:2" x14ac:dyDescent="0.2">
      <c r="A311" s="516">
        <v>42801</v>
      </c>
      <c r="B311" s="517">
        <v>361856.47</v>
      </c>
    </row>
    <row r="312" spans="1:2" x14ac:dyDescent="0.2">
      <c r="A312" s="516">
        <v>42802</v>
      </c>
      <c r="B312" s="517">
        <v>361856</v>
      </c>
    </row>
    <row r="313" spans="1:2" x14ac:dyDescent="0.2">
      <c r="A313" s="516">
        <v>42803</v>
      </c>
      <c r="B313" s="517">
        <v>349877.16</v>
      </c>
    </row>
    <row r="314" spans="1:2" x14ac:dyDescent="0.2">
      <c r="A314" s="516">
        <v>42804</v>
      </c>
      <c r="B314" s="517">
        <v>359297.81</v>
      </c>
    </row>
    <row r="315" spans="1:2" x14ac:dyDescent="0.2">
      <c r="A315" s="516">
        <v>42807</v>
      </c>
      <c r="B315" s="517">
        <v>361678.91</v>
      </c>
    </row>
    <row r="316" spans="1:2" x14ac:dyDescent="0.2">
      <c r="A316" s="516">
        <v>42808</v>
      </c>
      <c r="B316" s="517">
        <v>361679</v>
      </c>
    </row>
    <row r="317" spans="1:2" x14ac:dyDescent="0.2">
      <c r="A317" s="516">
        <v>42809</v>
      </c>
      <c r="B317" s="517">
        <v>370843.37</v>
      </c>
    </row>
    <row r="318" spans="1:2" x14ac:dyDescent="0.2">
      <c r="A318" s="516">
        <v>42810</v>
      </c>
      <c r="B318" s="517">
        <v>377566.07</v>
      </c>
    </row>
    <row r="319" spans="1:2" x14ac:dyDescent="0.2">
      <c r="A319" s="516">
        <v>42811</v>
      </c>
      <c r="B319" s="517">
        <v>370373.97</v>
      </c>
    </row>
    <row r="320" spans="1:2" x14ac:dyDescent="0.2">
      <c r="A320" s="516">
        <v>42814</v>
      </c>
      <c r="B320" s="517">
        <v>338340.3</v>
      </c>
    </row>
    <row r="321" spans="1:2" x14ac:dyDescent="0.2">
      <c r="A321" s="516">
        <v>42815</v>
      </c>
      <c r="B321" s="517">
        <v>338340</v>
      </c>
    </row>
    <row r="322" spans="1:2" x14ac:dyDescent="0.2">
      <c r="A322" s="516">
        <v>42816</v>
      </c>
      <c r="B322" s="517">
        <v>338340</v>
      </c>
    </row>
    <row r="323" spans="1:2" x14ac:dyDescent="0.2">
      <c r="A323" s="516">
        <v>42817</v>
      </c>
      <c r="B323" s="517">
        <f>25944.71+322493.66</f>
        <v>348438.37</v>
      </c>
    </row>
    <row r="324" spans="1:2" x14ac:dyDescent="0.2">
      <c r="A324" s="516">
        <v>42818</v>
      </c>
      <c r="B324" s="517">
        <v>348438</v>
      </c>
    </row>
    <row r="325" spans="1:2" x14ac:dyDescent="0.2">
      <c r="A325" s="516">
        <v>42821</v>
      </c>
      <c r="B325" s="517">
        <v>348360.51</v>
      </c>
    </row>
    <row r="326" spans="1:2" x14ac:dyDescent="0.2">
      <c r="A326" s="516">
        <v>42822</v>
      </c>
      <c r="B326" s="493">
        <v>348440.48</v>
      </c>
    </row>
    <row r="327" spans="1:2" x14ac:dyDescent="0.2">
      <c r="A327" s="516">
        <v>42823</v>
      </c>
      <c r="B327" s="493">
        <v>348440</v>
      </c>
    </row>
    <row r="328" spans="1:2" x14ac:dyDescent="0.2">
      <c r="A328" s="516">
        <v>42824</v>
      </c>
      <c r="B328" s="493">
        <v>350305.92</v>
      </c>
    </row>
    <row r="329" spans="1:2" x14ac:dyDescent="0.2">
      <c r="A329" s="516">
        <v>42825</v>
      </c>
      <c r="B329" s="493">
        <v>350306</v>
      </c>
    </row>
    <row r="330" spans="1:2" x14ac:dyDescent="0.2">
      <c r="A330" s="516">
        <v>42828</v>
      </c>
      <c r="B330" s="493">
        <v>350306</v>
      </c>
    </row>
    <row r="331" spans="1:2" x14ac:dyDescent="0.2">
      <c r="A331" s="516">
        <v>42829</v>
      </c>
      <c r="B331" s="493">
        <v>320389.65000000002</v>
      </c>
    </row>
    <row r="332" spans="1:2" x14ac:dyDescent="0.2">
      <c r="A332" s="516">
        <v>42830</v>
      </c>
      <c r="B332" s="493">
        <v>320390</v>
      </c>
    </row>
    <row r="333" spans="1:2" x14ac:dyDescent="0.2">
      <c r="A333" s="516">
        <v>42831</v>
      </c>
      <c r="B333" s="493">
        <v>313344</v>
      </c>
    </row>
    <row r="334" spans="1:2" x14ac:dyDescent="0.2">
      <c r="A334" s="516">
        <v>42832</v>
      </c>
      <c r="B334" s="493">
        <v>313344</v>
      </c>
    </row>
    <row r="335" spans="1:2" x14ac:dyDescent="0.2">
      <c r="A335" s="516">
        <v>42835</v>
      </c>
      <c r="B335" s="493">
        <v>306132.78000000003</v>
      </c>
    </row>
    <row r="336" spans="1:2" x14ac:dyDescent="0.2">
      <c r="A336" s="516">
        <v>42836</v>
      </c>
      <c r="B336" s="493">
        <v>286047.34999999998</v>
      </c>
    </row>
    <row r="337" spans="1:2" x14ac:dyDescent="0.2">
      <c r="A337" s="516">
        <v>42837</v>
      </c>
      <c r="B337" s="493">
        <v>286047</v>
      </c>
    </row>
    <row r="338" spans="1:2" x14ac:dyDescent="0.2">
      <c r="A338" s="516">
        <v>42838</v>
      </c>
      <c r="B338" s="493">
        <v>272128.99</v>
      </c>
    </row>
    <row r="339" spans="1:2" x14ac:dyDescent="0.2">
      <c r="A339" s="516">
        <v>42839</v>
      </c>
      <c r="B339" s="493">
        <v>272229.71000000002</v>
      </c>
    </row>
    <row r="340" spans="1:2" x14ac:dyDescent="0.2">
      <c r="A340" s="516">
        <v>42842</v>
      </c>
      <c r="B340" s="493">
        <v>236683.56</v>
      </c>
    </row>
    <row r="341" spans="1:2" x14ac:dyDescent="0.2">
      <c r="A341" s="516">
        <v>42843</v>
      </c>
      <c r="B341" s="493">
        <v>244114.64</v>
      </c>
    </row>
    <row r="342" spans="1:2" x14ac:dyDescent="0.2">
      <c r="A342" s="516">
        <v>42844</v>
      </c>
      <c r="B342" s="493">
        <v>244115</v>
      </c>
    </row>
    <row r="343" spans="1:2" x14ac:dyDescent="0.2">
      <c r="A343" s="516">
        <v>42845</v>
      </c>
      <c r="B343" s="493">
        <v>241798.76</v>
      </c>
    </row>
    <row r="344" spans="1:2" x14ac:dyDescent="0.2">
      <c r="A344" s="516">
        <v>42846</v>
      </c>
      <c r="B344" s="493">
        <v>241799</v>
      </c>
    </row>
    <row r="345" spans="1:2" x14ac:dyDescent="0.2">
      <c r="A345" s="516">
        <v>42849</v>
      </c>
      <c r="B345" s="493">
        <v>241973.76000000001</v>
      </c>
    </row>
    <row r="346" spans="1:2" x14ac:dyDescent="0.2">
      <c r="A346" s="516">
        <v>42850</v>
      </c>
      <c r="B346" s="493">
        <v>243364.2</v>
      </c>
    </row>
    <row r="347" spans="1:2" x14ac:dyDescent="0.2">
      <c r="A347" s="516">
        <v>42851</v>
      </c>
      <c r="B347" s="493">
        <v>243364</v>
      </c>
    </row>
    <row r="348" spans="1:2" x14ac:dyDescent="0.2">
      <c r="A348" s="516">
        <v>42852</v>
      </c>
      <c r="B348" s="493">
        <v>259265.45</v>
      </c>
    </row>
    <row r="349" spans="1:2" x14ac:dyDescent="0.2">
      <c r="A349" s="516">
        <v>42853</v>
      </c>
      <c r="B349" s="493">
        <v>290731.18</v>
      </c>
    </row>
    <row r="350" spans="1:2" x14ac:dyDescent="0.2">
      <c r="A350" s="516">
        <v>42856</v>
      </c>
      <c r="B350" s="493">
        <v>251486.17</v>
      </c>
    </row>
    <row r="351" spans="1:2" x14ac:dyDescent="0.2">
      <c r="A351" s="516">
        <v>42857</v>
      </c>
      <c r="B351" s="493">
        <v>253188.17</v>
      </c>
    </row>
    <row r="352" spans="1:2" x14ac:dyDescent="0.2">
      <c r="A352" s="516">
        <v>42858</v>
      </c>
      <c r="B352" s="493">
        <v>253188</v>
      </c>
    </row>
    <row r="353" spans="1:2" x14ac:dyDescent="0.2">
      <c r="A353" s="516">
        <v>42859</v>
      </c>
      <c r="B353" s="493">
        <v>232739.33</v>
      </c>
    </row>
    <row r="354" spans="1:2" x14ac:dyDescent="0.2">
      <c r="A354" s="516">
        <v>42860</v>
      </c>
      <c r="B354" s="493">
        <v>234049.33</v>
      </c>
    </row>
    <row r="355" spans="1:2" x14ac:dyDescent="0.2">
      <c r="A355" s="516">
        <v>42863</v>
      </c>
      <c r="B355" s="493">
        <v>314317.77</v>
      </c>
    </row>
    <row r="356" spans="1:2" x14ac:dyDescent="0.2">
      <c r="A356" s="516">
        <v>42864</v>
      </c>
      <c r="B356" s="493">
        <v>314318</v>
      </c>
    </row>
    <row r="357" spans="1:2" x14ac:dyDescent="0.2">
      <c r="A357" s="516">
        <v>42865</v>
      </c>
      <c r="B357" s="493">
        <v>314318</v>
      </c>
    </row>
    <row r="358" spans="1:2" x14ac:dyDescent="0.2">
      <c r="A358" s="516">
        <v>42866</v>
      </c>
      <c r="B358" s="493">
        <v>313971.28000000003</v>
      </c>
    </row>
    <row r="359" spans="1:2" x14ac:dyDescent="0.2">
      <c r="A359" s="516">
        <v>42867</v>
      </c>
      <c r="B359" s="493">
        <v>313971</v>
      </c>
    </row>
    <row r="360" spans="1:2" x14ac:dyDescent="0.2">
      <c r="A360" s="516">
        <v>42870</v>
      </c>
      <c r="B360" s="493">
        <v>271063.69</v>
      </c>
    </row>
    <row r="361" spans="1:2" x14ac:dyDescent="0.2">
      <c r="A361" s="516">
        <v>42871</v>
      </c>
      <c r="B361" s="493">
        <v>271064</v>
      </c>
    </row>
    <row r="362" spans="1:2" x14ac:dyDescent="0.2">
      <c r="A362" s="516">
        <v>42872</v>
      </c>
      <c r="B362" s="493">
        <v>271064</v>
      </c>
    </row>
    <row r="363" spans="1:2" x14ac:dyDescent="0.2">
      <c r="A363" s="516">
        <v>42873</v>
      </c>
      <c r="B363" s="493">
        <v>261497.73</v>
      </c>
    </row>
    <row r="364" spans="1:2" x14ac:dyDescent="0.2">
      <c r="A364" s="516">
        <v>42874</v>
      </c>
      <c r="B364" s="493">
        <v>311507.92</v>
      </c>
    </row>
    <row r="365" spans="1:2" x14ac:dyDescent="0.2">
      <c r="A365" s="516">
        <v>42877</v>
      </c>
      <c r="B365" s="493">
        <v>290080.52</v>
      </c>
    </row>
    <row r="366" spans="1:2" x14ac:dyDescent="0.2">
      <c r="A366" s="516">
        <v>42878</v>
      </c>
      <c r="B366" s="493">
        <v>290081</v>
      </c>
    </row>
    <row r="367" spans="1:2" x14ac:dyDescent="0.2">
      <c r="A367" s="516">
        <v>42879</v>
      </c>
      <c r="B367" s="493">
        <v>327080.46000000002</v>
      </c>
    </row>
    <row r="368" spans="1:2" x14ac:dyDescent="0.2">
      <c r="A368" s="516">
        <v>42880</v>
      </c>
      <c r="B368" s="493">
        <v>327080</v>
      </c>
    </row>
    <row r="369" spans="1:2" x14ac:dyDescent="0.2">
      <c r="A369" s="516">
        <v>42881</v>
      </c>
      <c r="B369" s="493">
        <v>336844.12</v>
      </c>
    </row>
    <row r="370" spans="1:2" x14ac:dyDescent="0.2">
      <c r="A370" s="516">
        <v>42884</v>
      </c>
      <c r="B370" s="493">
        <v>336844</v>
      </c>
    </row>
    <row r="371" spans="1:2" x14ac:dyDescent="0.2">
      <c r="A371" s="516">
        <v>42885</v>
      </c>
      <c r="B371" s="493">
        <v>300553.48</v>
      </c>
    </row>
    <row r="372" spans="1:2" x14ac:dyDescent="0.2">
      <c r="A372" s="516">
        <v>42886</v>
      </c>
      <c r="B372" s="493">
        <v>296887.5</v>
      </c>
    </row>
    <row r="373" spans="1:2" x14ac:dyDescent="0.2">
      <c r="A373" s="516">
        <v>42887</v>
      </c>
      <c r="B373" s="493">
        <v>297355.68</v>
      </c>
    </row>
    <row r="374" spans="1:2" x14ac:dyDescent="0.2">
      <c r="A374" s="516">
        <v>42888</v>
      </c>
      <c r="B374" s="493">
        <v>298760.68</v>
      </c>
    </row>
    <row r="375" spans="1:2" x14ac:dyDescent="0.2">
      <c r="A375" s="516">
        <v>42891</v>
      </c>
      <c r="B375" s="493">
        <v>279006.82</v>
      </c>
    </row>
    <row r="376" spans="1:2" x14ac:dyDescent="0.2">
      <c r="A376" s="516">
        <v>42892</v>
      </c>
      <c r="B376" s="493">
        <v>279007</v>
      </c>
    </row>
    <row r="377" spans="1:2" x14ac:dyDescent="0.2">
      <c r="A377" s="516">
        <v>42893</v>
      </c>
      <c r="B377" s="493">
        <v>279007</v>
      </c>
    </row>
    <row r="378" spans="1:2" x14ac:dyDescent="0.2">
      <c r="A378" s="516">
        <v>42894</v>
      </c>
      <c r="B378" s="493">
        <v>279112.07</v>
      </c>
    </row>
    <row r="379" spans="1:2" x14ac:dyDescent="0.2">
      <c r="A379" s="516">
        <v>42895</v>
      </c>
      <c r="B379" s="493">
        <v>279112</v>
      </c>
    </row>
    <row r="380" spans="1:2" x14ac:dyDescent="0.2">
      <c r="A380" s="516">
        <v>42898</v>
      </c>
      <c r="B380" s="493">
        <v>244072.02</v>
      </c>
    </row>
    <row r="381" spans="1:2" x14ac:dyDescent="0.2">
      <c r="A381" s="516">
        <v>42899</v>
      </c>
      <c r="B381" s="493">
        <v>249325.41</v>
      </c>
    </row>
    <row r="382" spans="1:2" x14ac:dyDescent="0.2">
      <c r="A382" s="516">
        <v>42900</v>
      </c>
      <c r="B382" s="493">
        <v>249325</v>
      </c>
    </row>
    <row r="383" spans="1:2" x14ac:dyDescent="0.2">
      <c r="A383" s="516">
        <v>42901</v>
      </c>
      <c r="B383" s="493">
        <v>252874.48</v>
      </c>
    </row>
    <row r="384" spans="1:2" x14ac:dyDescent="0.2">
      <c r="A384" s="516">
        <v>42902</v>
      </c>
      <c r="B384" s="493">
        <v>253128.65</v>
      </c>
    </row>
    <row r="385" spans="1:2" x14ac:dyDescent="0.2">
      <c r="A385" s="516">
        <v>42905</v>
      </c>
      <c r="B385" s="493">
        <v>255098.96</v>
      </c>
    </row>
    <row r="386" spans="1:2" x14ac:dyDescent="0.2">
      <c r="A386" s="516">
        <v>42906</v>
      </c>
      <c r="B386" s="493">
        <v>253521.42</v>
      </c>
    </row>
    <row r="387" spans="1:2" x14ac:dyDescent="0.2">
      <c r="A387" s="516">
        <v>42907</v>
      </c>
      <c r="B387" s="493">
        <v>253521</v>
      </c>
    </row>
    <row r="388" spans="1:2" x14ac:dyDescent="0.2">
      <c r="A388" s="516">
        <v>42908</v>
      </c>
      <c r="B388" s="493">
        <v>235912.36</v>
      </c>
    </row>
    <row r="389" spans="1:2" x14ac:dyDescent="0.2">
      <c r="A389" s="516">
        <v>42909</v>
      </c>
      <c r="B389" s="493">
        <v>235912</v>
      </c>
    </row>
    <row r="390" spans="1:2" x14ac:dyDescent="0.2">
      <c r="A390" s="516">
        <v>42912</v>
      </c>
      <c r="B390" s="552">
        <v>198879.76</v>
      </c>
    </row>
    <row r="391" spans="1:2" x14ac:dyDescent="0.2">
      <c r="A391" s="516">
        <v>42913</v>
      </c>
      <c r="B391" s="493">
        <v>199009.76</v>
      </c>
    </row>
    <row r="392" spans="1:2" x14ac:dyDescent="0.2">
      <c r="A392" s="516">
        <v>42914</v>
      </c>
      <c r="B392" s="493">
        <v>199010</v>
      </c>
    </row>
    <row r="393" spans="1:2" x14ac:dyDescent="0.2">
      <c r="A393" s="516">
        <v>42915</v>
      </c>
      <c r="B393" s="493">
        <v>210354</v>
      </c>
    </row>
    <row r="394" spans="1:2" x14ac:dyDescent="0.2">
      <c r="A394" s="516">
        <v>42916</v>
      </c>
      <c r="B394" s="493">
        <v>260779.62</v>
      </c>
    </row>
    <row r="395" spans="1:2" x14ac:dyDescent="0.2">
      <c r="A395" s="516">
        <v>42919</v>
      </c>
      <c r="B395" s="493">
        <v>260780</v>
      </c>
    </row>
    <row r="396" spans="1:2" x14ac:dyDescent="0.2">
      <c r="A396" s="516">
        <v>42920</v>
      </c>
      <c r="B396" s="493">
        <v>260780</v>
      </c>
    </row>
    <row r="397" spans="1:2" x14ac:dyDescent="0.2">
      <c r="A397" s="516">
        <v>42921</v>
      </c>
      <c r="B397" s="493">
        <v>260780</v>
      </c>
    </row>
    <row r="398" spans="1:2" x14ac:dyDescent="0.2">
      <c r="A398" s="516">
        <v>42922</v>
      </c>
      <c r="B398" s="493">
        <v>261774.11</v>
      </c>
    </row>
    <row r="399" spans="1:2" x14ac:dyDescent="0.2">
      <c r="A399" s="516">
        <v>42923</v>
      </c>
      <c r="B399" s="493">
        <v>261774</v>
      </c>
    </row>
    <row r="400" spans="1:2" x14ac:dyDescent="0.2">
      <c r="A400" s="516">
        <v>42926</v>
      </c>
      <c r="B400" s="493">
        <v>226950.89</v>
      </c>
    </row>
    <row r="401" spans="1:2" x14ac:dyDescent="0.2">
      <c r="A401" s="516">
        <v>42927</v>
      </c>
      <c r="B401" s="493">
        <v>226951</v>
      </c>
    </row>
    <row r="402" spans="1:2" x14ac:dyDescent="0.2">
      <c r="A402" s="516">
        <v>42928</v>
      </c>
      <c r="B402" s="493">
        <v>248711.94</v>
      </c>
    </row>
    <row r="403" spans="1:2" x14ac:dyDescent="0.2">
      <c r="A403" s="516">
        <v>42929</v>
      </c>
      <c r="B403" s="493">
        <v>256201.58</v>
      </c>
    </row>
    <row r="404" spans="1:2" x14ac:dyDescent="0.2">
      <c r="A404" s="516">
        <v>42930</v>
      </c>
      <c r="B404" s="493">
        <v>256272.97</v>
      </c>
    </row>
    <row r="405" spans="1:2" x14ac:dyDescent="0.2">
      <c r="A405" s="516">
        <v>42933</v>
      </c>
      <c r="B405" s="493">
        <v>256056.42</v>
      </c>
    </row>
    <row r="406" spans="1:2" x14ac:dyDescent="0.2">
      <c r="A406" s="516">
        <v>42934</v>
      </c>
      <c r="B406" s="493">
        <v>257213.96</v>
      </c>
    </row>
    <row r="407" spans="1:2" x14ac:dyDescent="0.2">
      <c r="A407" s="516">
        <v>42935</v>
      </c>
      <c r="B407" s="493">
        <v>257214</v>
      </c>
    </row>
    <row r="408" spans="1:2" x14ac:dyDescent="0.2">
      <c r="A408" s="516">
        <v>42936</v>
      </c>
      <c r="B408" s="493">
        <v>260075.5</v>
      </c>
    </row>
    <row r="409" spans="1:2" x14ac:dyDescent="0.2">
      <c r="A409" s="516">
        <v>42937</v>
      </c>
      <c r="B409" s="493">
        <v>339825.5</v>
      </c>
    </row>
    <row r="410" spans="1:2" x14ac:dyDescent="0.2">
      <c r="A410" s="516">
        <v>42940</v>
      </c>
      <c r="B410" s="493">
        <v>303182.65000000002</v>
      </c>
    </row>
    <row r="411" spans="1:2" x14ac:dyDescent="0.2">
      <c r="A411" s="516">
        <v>42941</v>
      </c>
      <c r="B411" s="493">
        <v>322340.12</v>
      </c>
    </row>
    <row r="412" spans="1:2" x14ac:dyDescent="0.2">
      <c r="A412" s="516">
        <v>42942</v>
      </c>
      <c r="B412" s="493">
        <v>322340</v>
      </c>
    </row>
    <row r="413" spans="1:2" x14ac:dyDescent="0.2">
      <c r="A413" s="516">
        <v>42943</v>
      </c>
      <c r="B413" s="493">
        <v>308772.78999999998</v>
      </c>
    </row>
    <row r="414" spans="1:2" x14ac:dyDescent="0.2">
      <c r="A414" s="516">
        <v>42944</v>
      </c>
      <c r="B414" s="493">
        <v>317343.40999999997</v>
      </c>
    </row>
    <row r="415" spans="1:2" x14ac:dyDescent="0.2">
      <c r="A415" s="516">
        <v>42947</v>
      </c>
      <c r="B415" s="493">
        <v>317343</v>
      </c>
    </row>
    <row r="416" spans="1:2" x14ac:dyDescent="0.2">
      <c r="A416" s="516">
        <v>42948</v>
      </c>
      <c r="B416" s="493">
        <v>369152.35</v>
      </c>
    </row>
    <row r="417" spans="1:2" x14ac:dyDescent="0.2">
      <c r="A417" s="516">
        <v>42949</v>
      </c>
      <c r="B417" s="493">
        <v>371061.94</v>
      </c>
    </row>
    <row r="418" spans="1:2" x14ac:dyDescent="0.2">
      <c r="A418" s="516">
        <v>42950</v>
      </c>
      <c r="B418" s="493">
        <v>372080.87</v>
      </c>
    </row>
    <row r="419" spans="1:2" x14ac:dyDescent="0.2">
      <c r="A419" s="516">
        <v>42951</v>
      </c>
      <c r="B419" s="493">
        <v>372080.87</v>
      </c>
    </row>
    <row r="420" spans="1:2" x14ac:dyDescent="0.2">
      <c r="A420" s="516">
        <v>42954</v>
      </c>
      <c r="B420" s="493">
        <v>336189.47</v>
      </c>
    </row>
    <row r="421" spans="1:2" x14ac:dyDescent="0.2">
      <c r="A421" s="516">
        <v>42955</v>
      </c>
      <c r="B421" s="493">
        <v>340998.07</v>
      </c>
    </row>
    <row r="422" spans="1:2" x14ac:dyDescent="0.2">
      <c r="A422" s="516">
        <v>42956</v>
      </c>
      <c r="B422" s="493">
        <v>332763.65000000002</v>
      </c>
    </row>
    <row r="423" spans="1:2" x14ac:dyDescent="0.2">
      <c r="A423" s="516">
        <v>42957</v>
      </c>
      <c r="B423" s="493">
        <v>375651.45</v>
      </c>
    </row>
    <row r="424" spans="1:2" x14ac:dyDescent="0.2">
      <c r="A424" s="516">
        <v>42958</v>
      </c>
      <c r="B424" s="493">
        <v>378293.21</v>
      </c>
    </row>
    <row r="425" spans="1:2" x14ac:dyDescent="0.2">
      <c r="A425" s="516">
        <v>42961</v>
      </c>
      <c r="B425" s="493">
        <v>378293</v>
      </c>
    </row>
    <row r="426" spans="1:2" x14ac:dyDescent="0.2">
      <c r="A426" s="516">
        <v>42962</v>
      </c>
      <c r="B426" s="493">
        <v>401190.06</v>
      </c>
    </row>
    <row r="427" spans="1:2" x14ac:dyDescent="0.2">
      <c r="A427" s="516">
        <v>42963</v>
      </c>
      <c r="B427" s="493">
        <v>401190</v>
      </c>
    </row>
    <row r="428" spans="1:2" x14ac:dyDescent="0.2">
      <c r="A428" s="516">
        <v>42964</v>
      </c>
      <c r="B428" s="493">
        <v>401569.72</v>
      </c>
    </row>
    <row r="429" spans="1:2" x14ac:dyDescent="0.2">
      <c r="A429" s="516">
        <v>42965</v>
      </c>
      <c r="B429" s="493">
        <v>403837.72</v>
      </c>
    </row>
    <row r="430" spans="1:2" x14ac:dyDescent="0.2">
      <c r="A430" s="516">
        <v>42968</v>
      </c>
      <c r="B430" s="493">
        <v>369495.17</v>
      </c>
    </row>
    <row r="431" spans="1:2" x14ac:dyDescent="0.2">
      <c r="A431" s="516">
        <v>42969</v>
      </c>
      <c r="B431" s="493">
        <v>379169.06</v>
      </c>
    </row>
    <row r="432" spans="1:2" x14ac:dyDescent="0.2">
      <c r="A432" s="516">
        <v>42970</v>
      </c>
      <c r="B432" s="493">
        <v>379169</v>
      </c>
    </row>
    <row r="433" spans="1:2" x14ac:dyDescent="0.2">
      <c r="A433" s="516">
        <v>42971</v>
      </c>
      <c r="B433" s="493">
        <v>372540.41</v>
      </c>
    </row>
    <row r="434" spans="1:2" x14ac:dyDescent="0.2">
      <c r="A434" s="516">
        <v>42972</v>
      </c>
      <c r="B434" s="493">
        <v>372540</v>
      </c>
    </row>
    <row r="435" spans="1:2" x14ac:dyDescent="0.2">
      <c r="A435" s="516">
        <v>42975</v>
      </c>
      <c r="B435" s="493">
        <v>372540</v>
      </c>
    </row>
    <row r="436" spans="1:2" x14ac:dyDescent="0.2">
      <c r="A436" s="516">
        <v>42976</v>
      </c>
      <c r="B436" s="493">
        <v>374625.25</v>
      </c>
    </row>
    <row r="437" spans="1:2" x14ac:dyDescent="0.2">
      <c r="A437" s="516">
        <v>42977</v>
      </c>
      <c r="B437" s="493">
        <v>382658.46</v>
      </c>
    </row>
    <row r="438" spans="1:2" x14ac:dyDescent="0.2">
      <c r="A438" s="516">
        <v>42978</v>
      </c>
      <c r="B438" s="493">
        <v>389160.26</v>
      </c>
    </row>
    <row r="439" spans="1:2" x14ac:dyDescent="0.2">
      <c r="A439" s="516">
        <v>42979</v>
      </c>
      <c r="B439" s="493">
        <v>389160</v>
      </c>
    </row>
    <row r="440" spans="1:2" x14ac:dyDescent="0.2">
      <c r="A440" s="516">
        <v>42982</v>
      </c>
      <c r="B440" s="493">
        <v>389160</v>
      </c>
    </row>
    <row r="441" spans="1:2" x14ac:dyDescent="0.2">
      <c r="A441" s="516">
        <v>42983</v>
      </c>
      <c r="B441" s="493">
        <v>352908.42</v>
      </c>
    </row>
    <row r="442" spans="1:2" x14ac:dyDescent="0.2">
      <c r="A442" s="516">
        <v>42984</v>
      </c>
      <c r="B442" s="493">
        <v>383959.41</v>
      </c>
    </row>
    <row r="443" spans="1:2" x14ac:dyDescent="0.2">
      <c r="A443" s="516">
        <v>42985</v>
      </c>
      <c r="B443" s="493">
        <v>403148.81</v>
      </c>
    </row>
    <row r="444" spans="1:2" x14ac:dyDescent="0.2">
      <c r="A444" s="516">
        <v>42986</v>
      </c>
      <c r="B444" s="493">
        <v>403344.11</v>
      </c>
    </row>
    <row r="445" spans="1:2" x14ac:dyDescent="0.2">
      <c r="A445" s="516">
        <v>42989</v>
      </c>
      <c r="B445" s="493">
        <v>403344</v>
      </c>
    </row>
    <row r="446" spans="1:2" x14ac:dyDescent="0.2">
      <c r="A446" s="516">
        <v>42990</v>
      </c>
      <c r="B446" s="493">
        <v>403344</v>
      </c>
    </row>
    <row r="447" spans="1:2" x14ac:dyDescent="0.2">
      <c r="A447" s="516">
        <v>42991</v>
      </c>
      <c r="B447" s="493">
        <v>403344</v>
      </c>
    </row>
    <row r="448" spans="1:2" x14ac:dyDescent="0.2">
      <c r="A448" s="516">
        <v>42992</v>
      </c>
      <c r="B448" s="493">
        <v>400016.8</v>
      </c>
    </row>
    <row r="449" spans="1:2" x14ac:dyDescent="0.2">
      <c r="A449" s="516">
        <v>42993</v>
      </c>
      <c r="B449" s="493">
        <v>400134.96</v>
      </c>
    </row>
    <row r="450" spans="1:2" x14ac:dyDescent="0.2">
      <c r="A450" s="516">
        <v>42996</v>
      </c>
      <c r="B450" s="493">
        <v>364805.11</v>
      </c>
    </row>
    <row r="451" spans="1:2" x14ac:dyDescent="0.2">
      <c r="A451" s="516">
        <v>42997</v>
      </c>
      <c r="B451" s="493">
        <v>364805</v>
      </c>
    </row>
    <row r="452" spans="1:2" x14ac:dyDescent="0.2">
      <c r="A452" s="516">
        <v>42998</v>
      </c>
      <c r="B452" s="493">
        <v>371804.33</v>
      </c>
    </row>
    <row r="453" spans="1:2" x14ac:dyDescent="0.2">
      <c r="A453" s="516">
        <v>42999</v>
      </c>
      <c r="B453" s="493">
        <v>370759.85</v>
      </c>
    </row>
    <row r="454" spans="1:2" x14ac:dyDescent="0.2">
      <c r="A454" s="516">
        <v>43000</v>
      </c>
      <c r="B454" s="493">
        <v>389878.66</v>
      </c>
    </row>
    <row r="455" spans="1:2" x14ac:dyDescent="0.2">
      <c r="A455" s="516">
        <v>43003</v>
      </c>
      <c r="B455" s="493">
        <v>393013.02</v>
      </c>
    </row>
    <row r="456" spans="1:2" x14ac:dyDescent="0.2">
      <c r="A456" s="516">
        <v>43004</v>
      </c>
      <c r="B456" s="493">
        <v>393593.22</v>
      </c>
    </row>
    <row r="457" spans="1:2" x14ac:dyDescent="0.2">
      <c r="A457" s="516">
        <v>43005</v>
      </c>
      <c r="B457" s="493">
        <v>393593</v>
      </c>
    </row>
    <row r="458" spans="1:2" x14ac:dyDescent="0.2">
      <c r="A458" s="516">
        <v>43006</v>
      </c>
      <c r="B458" s="493">
        <v>385433.95</v>
      </c>
    </row>
    <row r="459" spans="1:2" x14ac:dyDescent="0.2">
      <c r="A459" s="516">
        <v>43007</v>
      </c>
      <c r="B459" s="493">
        <v>385678.15</v>
      </c>
    </row>
    <row r="460" spans="1:2" x14ac:dyDescent="0.2">
      <c r="A460" s="516">
        <v>43010</v>
      </c>
      <c r="B460" s="493">
        <v>350949.28</v>
      </c>
    </row>
    <row r="461" spans="1:2" x14ac:dyDescent="0.2">
      <c r="A461" s="516">
        <v>43011</v>
      </c>
      <c r="B461" s="493">
        <v>352010.98</v>
      </c>
    </row>
    <row r="462" spans="1:2" x14ac:dyDescent="0.2">
      <c r="A462" s="516">
        <v>43012</v>
      </c>
      <c r="B462" s="493">
        <v>352011</v>
      </c>
    </row>
    <row r="463" spans="1:2" x14ac:dyDescent="0.2">
      <c r="A463" s="516">
        <v>43013</v>
      </c>
      <c r="B463" s="493">
        <v>348679</v>
      </c>
    </row>
    <row r="464" spans="1:2" x14ac:dyDescent="0.2">
      <c r="A464" s="516">
        <v>43014</v>
      </c>
      <c r="B464" s="493">
        <v>348679</v>
      </c>
    </row>
    <row r="465" spans="1:2" x14ac:dyDescent="0.2">
      <c r="A465" s="516">
        <v>43017</v>
      </c>
      <c r="B465" s="493">
        <v>348679</v>
      </c>
    </row>
    <row r="466" spans="1:2" x14ac:dyDescent="0.2">
      <c r="A466" s="516">
        <v>43018</v>
      </c>
      <c r="B466" s="493">
        <v>348679</v>
      </c>
    </row>
    <row r="467" spans="1:2" x14ac:dyDescent="0.2">
      <c r="A467" s="516">
        <v>43019</v>
      </c>
      <c r="B467" s="493">
        <v>348761.24</v>
      </c>
    </row>
    <row r="468" spans="1:2" x14ac:dyDescent="0.2">
      <c r="A468" s="516">
        <v>43020</v>
      </c>
      <c r="B468" s="493">
        <v>349998.26</v>
      </c>
    </row>
    <row r="469" spans="1:2" x14ac:dyDescent="0.2">
      <c r="A469" s="516">
        <v>43021</v>
      </c>
      <c r="B469" s="493">
        <v>370561.14</v>
      </c>
    </row>
    <row r="470" spans="1:2" x14ac:dyDescent="0.2">
      <c r="A470" s="516">
        <v>43024</v>
      </c>
      <c r="B470" s="493">
        <v>336220.14</v>
      </c>
    </row>
    <row r="471" spans="1:2" x14ac:dyDescent="0.2">
      <c r="A471" s="516">
        <v>43025</v>
      </c>
      <c r="B471" s="493">
        <v>336332.14</v>
      </c>
    </row>
    <row r="472" spans="1:2" x14ac:dyDescent="0.2">
      <c r="A472" s="516">
        <v>43026</v>
      </c>
      <c r="B472" s="493">
        <v>336332</v>
      </c>
    </row>
    <row r="473" spans="1:2" x14ac:dyDescent="0.2">
      <c r="A473" s="516">
        <v>43027</v>
      </c>
      <c r="B473" s="493">
        <v>339185.02</v>
      </c>
    </row>
    <row r="474" spans="1:2" x14ac:dyDescent="0.2">
      <c r="A474" s="516">
        <v>43028</v>
      </c>
      <c r="B474" s="493">
        <v>344936.35</v>
      </c>
    </row>
    <row r="475" spans="1:2" x14ac:dyDescent="0.2">
      <c r="A475" s="516">
        <v>43031</v>
      </c>
      <c r="B475" s="493">
        <v>344564.68</v>
      </c>
    </row>
    <row r="476" spans="1:2" x14ac:dyDescent="0.2">
      <c r="A476" s="516">
        <v>43032</v>
      </c>
      <c r="B476" s="493">
        <v>344565</v>
      </c>
    </row>
    <row r="477" spans="1:2" x14ac:dyDescent="0.2">
      <c r="A477" s="516">
        <v>43033</v>
      </c>
      <c r="B477" s="493">
        <v>344829.18</v>
      </c>
    </row>
    <row r="478" spans="1:2" x14ac:dyDescent="0.2">
      <c r="A478" s="516">
        <v>43034</v>
      </c>
      <c r="B478" s="493">
        <v>339942.05</v>
      </c>
    </row>
    <row r="479" spans="1:2" x14ac:dyDescent="0.2">
      <c r="A479" s="516">
        <v>43035</v>
      </c>
      <c r="B479" s="493">
        <v>360185.72</v>
      </c>
    </row>
    <row r="480" spans="1:2" x14ac:dyDescent="0.2">
      <c r="A480" s="516">
        <v>43038</v>
      </c>
      <c r="B480" s="493">
        <v>323067.73</v>
      </c>
    </row>
    <row r="481" spans="1:2" x14ac:dyDescent="0.2">
      <c r="A481" s="516">
        <v>43039</v>
      </c>
      <c r="B481" s="493">
        <v>323197.73</v>
      </c>
    </row>
    <row r="482" spans="1:2" x14ac:dyDescent="0.2">
      <c r="A482" s="516">
        <v>43040</v>
      </c>
      <c r="B482" s="493">
        <v>323198</v>
      </c>
    </row>
    <row r="483" spans="1:2" x14ac:dyDescent="0.2">
      <c r="A483" s="516">
        <v>43041</v>
      </c>
      <c r="B483" s="493">
        <v>341044.7</v>
      </c>
    </row>
    <row r="484" spans="1:2" x14ac:dyDescent="0.2">
      <c r="A484" s="516">
        <v>43042</v>
      </c>
      <c r="B484" s="493">
        <v>341676.17</v>
      </c>
    </row>
    <row r="485" spans="1:2" x14ac:dyDescent="0.2">
      <c r="A485" s="516">
        <v>43045</v>
      </c>
      <c r="B485" s="493">
        <v>341676</v>
      </c>
    </row>
    <row r="486" spans="1:2" x14ac:dyDescent="0.2">
      <c r="A486" s="516">
        <v>43046</v>
      </c>
      <c r="B486" s="493">
        <v>341676</v>
      </c>
    </row>
    <row r="487" spans="1:2" x14ac:dyDescent="0.2">
      <c r="A487" s="516">
        <v>43047</v>
      </c>
      <c r="B487" s="493">
        <v>379863.97</v>
      </c>
    </row>
    <row r="488" spans="1:2" x14ac:dyDescent="0.2">
      <c r="A488" s="516">
        <v>43048</v>
      </c>
      <c r="B488" s="493">
        <v>378842.06</v>
      </c>
    </row>
    <row r="489" spans="1:2" x14ac:dyDescent="0.2">
      <c r="A489" s="516">
        <v>43049</v>
      </c>
      <c r="B489" s="493">
        <v>378842</v>
      </c>
    </row>
    <row r="490" spans="1:2" x14ac:dyDescent="0.2">
      <c r="A490" s="516">
        <v>43052</v>
      </c>
      <c r="B490" s="493">
        <v>340784.14</v>
      </c>
    </row>
    <row r="491" spans="1:2" x14ac:dyDescent="0.2">
      <c r="A491" s="516">
        <v>43053</v>
      </c>
      <c r="B491" s="493">
        <v>340784</v>
      </c>
    </row>
    <row r="492" spans="1:2" x14ac:dyDescent="0.2">
      <c r="A492" s="516">
        <v>43054</v>
      </c>
      <c r="B492" s="493">
        <v>340895.76</v>
      </c>
    </row>
    <row r="493" spans="1:2" x14ac:dyDescent="0.2">
      <c r="A493" s="516">
        <v>43055</v>
      </c>
      <c r="B493" s="493">
        <v>354246.44</v>
      </c>
    </row>
    <row r="494" spans="1:2" x14ac:dyDescent="0.2">
      <c r="A494" s="516">
        <v>43056</v>
      </c>
      <c r="B494" s="493">
        <v>354246.44</v>
      </c>
    </row>
    <row r="495" spans="1:2" x14ac:dyDescent="0.2">
      <c r="A495" s="516">
        <v>43059</v>
      </c>
      <c r="B495" s="493">
        <v>354264.44</v>
      </c>
    </row>
    <row r="496" spans="1:2" x14ac:dyDescent="0.2">
      <c r="A496" s="516">
        <v>43060</v>
      </c>
      <c r="B496" s="493">
        <v>354264</v>
      </c>
    </row>
    <row r="497" spans="1:2" x14ac:dyDescent="0.2">
      <c r="A497" s="516">
        <v>43061</v>
      </c>
      <c r="B497" s="493">
        <v>357804.55</v>
      </c>
    </row>
    <row r="498" spans="1:2" x14ac:dyDescent="0.2">
      <c r="A498" s="516">
        <v>43062</v>
      </c>
      <c r="B498" s="493">
        <v>357805</v>
      </c>
    </row>
    <row r="499" spans="1:2" x14ac:dyDescent="0.2">
      <c r="A499" s="516">
        <v>43063</v>
      </c>
      <c r="B499" s="493">
        <v>361119.05</v>
      </c>
    </row>
    <row r="500" spans="1:2" x14ac:dyDescent="0.2">
      <c r="A500" s="516">
        <v>43066</v>
      </c>
      <c r="B500" s="493">
        <v>318415.71000000002</v>
      </c>
    </row>
    <row r="501" spans="1:2" x14ac:dyDescent="0.2">
      <c r="A501" s="516">
        <v>43067</v>
      </c>
      <c r="B501" s="493">
        <v>320237.53999999998</v>
      </c>
    </row>
    <row r="502" spans="1:2" x14ac:dyDescent="0.2">
      <c r="A502" s="516">
        <v>43068</v>
      </c>
      <c r="B502" s="493">
        <v>320237.53999999998</v>
      </c>
    </row>
    <row r="503" spans="1:2" x14ac:dyDescent="0.2">
      <c r="A503" s="516">
        <v>43069</v>
      </c>
      <c r="B503" s="493">
        <v>325286.46999999997</v>
      </c>
    </row>
    <row r="504" spans="1:2" x14ac:dyDescent="0.2">
      <c r="A504" s="516">
        <v>43070</v>
      </c>
      <c r="B504" s="493">
        <v>334247.03000000003</v>
      </c>
    </row>
    <row r="505" spans="1:2" x14ac:dyDescent="0.2">
      <c r="A505" s="516">
        <v>43073</v>
      </c>
      <c r="B505" s="493">
        <v>334247</v>
      </c>
    </row>
    <row r="506" spans="1:2" x14ac:dyDescent="0.2">
      <c r="A506" s="516">
        <v>43074</v>
      </c>
      <c r="B506" s="493">
        <v>334247.03000000003</v>
      </c>
    </row>
    <row r="507" spans="1:2" x14ac:dyDescent="0.2">
      <c r="A507" s="516">
        <v>43075</v>
      </c>
      <c r="B507" s="493">
        <v>334247</v>
      </c>
    </row>
    <row r="508" spans="1:2" x14ac:dyDescent="0.2">
      <c r="A508" s="516">
        <v>43076</v>
      </c>
      <c r="B508" s="493">
        <v>323171.46000000002</v>
      </c>
    </row>
    <row r="509" spans="1:2" x14ac:dyDescent="0.2">
      <c r="A509" s="516">
        <v>43077</v>
      </c>
      <c r="B509" s="493">
        <v>324229.90999999997</v>
      </c>
    </row>
    <row r="510" spans="1:2" x14ac:dyDescent="0.2">
      <c r="A510" s="516">
        <v>43080</v>
      </c>
      <c r="B510" s="493">
        <v>324230</v>
      </c>
    </row>
    <row r="511" spans="1:2" x14ac:dyDescent="0.2">
      <c r="A511" s="516">
        <v>43081</v>
      </c>
      <c r="B511" s="493">
        <v>286030.39</v>
      </c>
    </row>
    <row r="512" spans="1:2" x14ac:dyDescent="0.2">
      <c r="A512" s="516">
        <v>43082</v>
      </c>
      <c r="B512" s="493">
        <v>286197.44</v>
      </c>
    </row>
    <row r="513" spans="1:14" x14ac:dyDescent="0.2">
      <c r="A513" s="516">
        <v>43083</v>
      </c>
      <c r="B513" s="493">
        <v>280065.2</v>
      </c>
    </row>
    <row r="514" spans="1:14" x14ac:dyDescent="0.2">
      <c r="A514" s="516">
        <v>43084</v>
      </c>
      <c r="B514" s="493">
        <v>284409.09999999998</v>
      </c>
    </row>
    <row r="515" spans="1:14" x14ac:dyDescent="0.2">
      <c r="A515" s="516">
        <v>43087</v>
      </c>
      <c r="B515" s="493">
        <v>285119.09999999998</v>
      </c>
    </row>
    <row r="516" spans="1:14" x14ac:dyDescent="0.2">
      <c r="A516" s="516">
        <v>43088</v>
      </c>
      <c r="B516" s="493">
        <v>285395.49</v>
      </c>
    </row>
    <row r="517" spans="1:14" x14ac:dyDescent="0.2">
      <c r="A517" s="516">
        <v>43089</v>
      </c>
      <c r="B517" s="493">
        <v>285395</v>
      </c>
    </row>
    <row r="518" spans="1:14" x14ac:dyDescent="0.2">
      <c r="A518" s="516">
        <v>43090</v>
      </c>
      <c r="B518" s="493">
        <v>285542.49</v>
      </c>
    </row>
    <row r="519" spans="1:14" x14ac:dyDescent="0.2">
      <c r="A519" s="516">
        <v>43091</v>
      </c>
      <c r="B519" s="493">
        <v>285542</v>
      </c>
    </row>
    <row r="520" spans="1:14" x14ac:dyDescent="0.2">
      <c r="A520" s="516">
        <v>43094</v>
      </c>
      <c r="B520" s="493">
        <v>285542</v>
      </c>
    </row>
    <row r="521" spans="1:14" x14ac:dyDescent="0.2">
      <c r="A521" s="516">
        <v>43095</v>
      </c>
      <c r="B521" s="493">
        <v>248584.72</v>
      </c>
    </row>
    <row r="522" spans="1:14" x14ac:dyDescent="0.2">
      <c r="A522" s="516">
        <v>43096</v>
      </c>
      <c r="B522" s="493">
        <v>248585</v>
      </c>
    </row>
    <row r="523" spans="1:14" x14ac:dyDescent="0.2">
      <c r="A523" s="516">
        <v>43097</v>
      </c>
      <c r="B523" s="493">
        <v>270685.83</v>
      </c>
    </row>
    <row r="524" spans="1:14" x14ac:dyDescent="0.2">
      <c r="A524" s="516">
        <v>43098</v>
      </c>
      <c r="B524" s="493">
        <v>282558.58</v>
      </c>
    </row>
    <row r="525" spans="1:14" x14ac:dyDescent="0.2">
      <c r="A525" s="516">
        <v>43101</v>
      </c>
      <c r="B525" s="493">
        <v>282559</v>
      </c>
      <c r="F525" s="495"/>
      <c r="G525" t="s">
        <v>185</v>
      </c>
      <c r="H525" t="s">
        <v>212</v>
      </c>
      <c r="J525" t="s">
        <v>361</v>
      </c>
      <c r="K525" t="s">
        <v>212</v>
      </c>
      <c r="N525">
        <v>0.06</v>
      </c>
    </row>
    <row r="526" spans="1:14" x14ac:dyDescent="0.2">
      <c r="A526" s="516">
        <v>43102</v>
      </c>
      <c r="B526" s="493">
        <v>282508.58</v>
      </c>
      <c r="F526" s="495">
        <v>42370</v>
      </c>
      <c r="G526" s="496">
        <v>369484</v>
      </c>
      <c r="H526" s="604">
        <v>31036</v>
      </c>
      <c r="J526" s="495">
        <v>42461</v>
      </c>
      <c r="K526" s="604">
        <v>151036</v>
      </c>
      <c r="N526" s="694">
        <f>K526*N525/12 +K526</f>
        <v>151791.18</v>
      </c>
    </row>
    <row r="527" spans="1:14" x14ac:dyDescent="0.2">
      <c r="A527" s="516">
        <v>43103</v>
      </c>
      <c r="B527" s="493">
        <v>282509</v>
      </c>
      <c r="F527" s="495">
        <v>42401</v>
      </c>
      <c r="G527" s="496">
        <v>295493.53000000003</v>
      </c>
      <c r="H527" s="604">
        <v>31035.72</v>
      </c>
      <c r="J527" s="495">
        <v>42491</v>
      </c>
      <c r="K527" s="604">
        <v>151087.09</v>
      </c>
      <c r="N527" s="694">
        <f>N$525*N526/12 +N526</f>
        <v>152550.13589999999</v>
      </c>
    </row>
    <row r="528" spans="1:14" x14ac:dyDescent="0.2">
      <c r="A528" s="516">
        <v>43104</v>
      </c>
      <c r="B528" s="493">
        <v>283213.14</v>
      </c>
      <c r="F528" s="495">
        <v>42430</v>
      </c>
      <c r="G528" s="496">
        <v>255865.07</v>
      </c>
      <c r="H528" s="604">
        <v>151035.72</v>
      </c>
      <c r="J528" s="495">
        <v>42551</v>
      </c>
      <c r="K528" s="604">
        <v>151336.84</v>
      </c>
      <c r="N528" s="694">
        <f t="shared" ref="N528:N591" si="3">N$525*N527/12 +N527</f>
        <v>153312.88657949999</v>
      </c>
    </row>
    <row r="529" spans="1:14" x14ac:dyDescent="0.2">
      <c r="A529" s="516">
        <v>43105</v>
      </c>
      <c r="B529" s="493">
        <v>297779.06</v>
      </c>
      <c r="F529" s="495">
        <v>42461</v>
      </c>
      <c r="G529" s="496">
        <v>294098.96000000002</v>
      </c>
      <c r="H529" s="604">
        <v>151036</v>
      </c>
      <c r="J529" s="495">
        <v>42582</v>
      </c>
      <c r="K529" s="604">
        <v>151611.29999999999</v>
      </c>
      <c r="N529" s="694">
        <f t="shared" si="3"/>
        <v>154079.45101239748</v>
      </c>
    </row>
    <row r="530" spans="1:14" x14ac:dyDescent="0.2">
      <c r="A530" s="516">
        <v>43108</v>
      </c>
      <c r="B530" s="493">
        <v>263886.2</v>
      </c>
      <c r="F530" s="495">
        <v>42491</v>
      </c>
      <c r="G530" s="496">
        <v>333922.02</v>
      </c>
      <c r="H530" s="604">
        <v>151087.09</v>
      </c>
      <c r="J530" s="495">
        <v>42583</v>
      </c>
      <c r="K530" s="604">
        <v>151776.70000000001</v>
      </c>
      <c r="N530" s="694">
        <f t="shared" si="3"/>
        <v>154849.84826745946</v>
      </c>
    </row>
    <row r="531" spans="1:14" x14ac:dyDescent="0.2">
      <c r="A531" s="516">
        <v>43109</v>
      </c>
      <c r="B531" s="493">
        <v>277030.96999999997</v>
      </c>
      <c r="F531" s="495">
        <v>42551</v>
      </c>
      <c r="G531" s="496">
        <v>384005.8</v>
      </c>
      <c r="H531" s="604">
        <v>151336.84</v>
      </c>
      <c r="J531" s="495">
        <v>42614</v>
      </c>
      <c r="K531" s="604">
        <v>151844.44</v>
      </c>
      <c r="N531" s="694">
        <f t="shared" si="3"/>
        <v>155624.09750879675</v>
      </c>
    </row>
    <row r="532" spans="1:14" x14ac:dyDescent="0.2">
      <c r="A532" s="516">
        <v>43110</v>
      </c>
      <c r="B532" s="493">
        <v>277031</v>
      </c>
      <c r="F532" s="495">
        <v>42582</v>
      </c>
      <c r="G532" s="496">
        <v>292004.15999999997</v>
      </c>
      <c r="H532" s="604">
        <v>151611.29999999999</v>
      </c>
      <c r="J532" s="495">
        <v>42644</v>
      </c>
      <c r="K532" s="604">
        <v>152036.04</v>
      </c>
      <c r="N532" s="694">
        <f t="shared" si="3"/>
        <v>156402.21799634074</v>
      </c>
    </row>
    <row r="533" spans="1:14" x14ac:dyDescent="0.2">
      <c r="A533" s="516">
        <v>43111</v>
      </c>
      <c r="B533" s="493">
        <v>281394.14</v>
      </c>
      <c r="F533" s="495">
        <v>42583</v>
      </c>
      <c r="G533" s="496">
        <v>182562.29</v>
      </c>
      <c r="H533" s="604">
        <v>151776.70000000001</v>
      </c>
      <c r="J533" s="495">
        <v>42675</v>
      </c>
      <c r="K533" s="604">
        <v>152464.91</v>
      </c>
      <c r="N533" s="694">
        <f t="shared" si="3"/>
        <v>157184.22908632245</v>
      </c>
    </row>
    <row r="534" spans="1:14" x14ac:dyDescent="0.2">
      <c r="A534" s="516">
        <v>43112</v>
      </c>
      <c r="B534" s="493">
        <v>281470.18</v>
      </c>
      <c r="F534" s="495">
        <v>42614</v>
      </c>
      <c r="G534" s="496">
        <v>242442.87</v>
      </c>
      <c r="H534" s="604">
        <v>151844.44</v>
      </c>
      <c r="J534" s="495">
        <v>42705</v>
      </c>
      <c r="K534" s="604">
        <v>154533.13</v>
      </c>
      <c r="N534" s="694">
        <f t="shared" si="3"/>
        <v>157970.15023175406</v>
      </c>
    </row>
    <row r="535" spans="1:14" x14ac:dyDescent="0.2">
      <c r="A535" s="516">
        <v>43115</v>
      </c>
      <c r="B535" s="493">
        <v>281470</v>
      </c>
      <c r="F535" s="495">
        <v>42644</v>
      </c>
      <c r="G535" s="496">
        <v>247104.37</v>
      </c>
      <c r="H535" s="604">
        <v>152036.04</v>
      </c>
      <c r="J535" s="495">
        <v>42736</v>
      </c>
      <c r="K535" s="604">
        <v>155633.59</v>
      </c>
      <c r="N535" s="694">
        <f t="shared" si="3"/>
        <v>158760.00098291284</v>
      </c>
    </row>
    <row r="536" spans="1:14" x14ac:dyDescent="0.2">
      <c r="A536" s="516">
        <v>43116</v>
      </c>
      <c r="B536" s="493">
        <v>284325.94</v>
      </c>
      <c r="F536" s="495">
        <v>42675</v>
      </c>
      <c r="G536" s="496">
        <v>246462.95</v>
      </c>
      <c r="H536" s="604">
        <v>152464.91</v>
      </c>
      <c r="J536" s="495">
        <v>42767</v>
      </c>
      <c r="K536" s="604">
        <v>158448.25</v>
      </c>
      <c r="N536" s="694">
        <f t="shared" si="3"/>
        <v>159553.80098782742</v>
      </c>
    </row>
    <row r="537" spans="1:14" x14ac:dyDescent="0.2">
      <c r="A537" s="516">
        <v>43117</v>
      </c>
      <c r="B537" s="493">
        <v>305911.78000000003</v>
      </c>
      <c r="F537" s="495">
        <v>42705</v>
      </c>
      <c r="G537" s="496">
        <v>249839.51</v>
      </c>
      <c r="H537" s="604">
        <v>154533.13</v>
      </c>
      <c r="J537" s="495">
        <v>42795</v>
      </c>
      <c r="K537" s="604">
        <v>159113.29</v>
      </c>
      <c r="N537" s="694">
        <f t="shared" si="3"/>
        <v>160351.56999276654</v>
      </c>
    </row>
    <row r="538" spans="1:14" x14ac:dyDescent="0.2">
      <c r="A538" s="516">
        <v>43118</v>
      </c>
      <c r="B538" s="493">
        <v>305752.93</v>
      </c>
      <c r="F538" s="495">
        <v>42736</v>
      </c>
      <c r="G538" s="496">
        <v>351420</v>
      </c>
      <c r="H538" s="604">
        <v>155633.59</v>
      </c>
      <c r="J538" s="495">
        <v>42826</v>
      </c>
      <c r="K538" s="604">
        <v>159614.53</v>
      </c>
      <c r="N538" s="694">
        <f t="shared" si="3"/>
        <v>161153.32784273036</v>
      </c>
    </row>
    <row r="539" spans="1:14" x14ac:dyDescent="0.2">
      <c r="A539" s="516">
        <v>43119</v>
      </c>
      <c r="B539" s="493">
        <v>332730.14</v>
      </c>
      <c r="F539" s="495">
        <v>42767</v>
      </c>
      <c r="G539" s="496">
        <v>253330</v>
      </c>
      <c r="H539" s="604">
        <v>158448.25</v>
      </c>
      <c r="J539" s="495">
        <v>42856</v>
      </c>
      <c r="K539" s="604">
        <v>160436.21</v>
      </c>
      <c r="N539" s="694">
        <f t="shared" si="3"/>
        <v>161959.09448194402</v>
      </c>
    </row>
    <row r="540" spans="1:14" x14ac:dyDescent="0.2">
      <c r="A540" s="516">
        <v>43122</v>
      </c>
      <c r="B540" s="493">
        <v>291419.49</v>
      </c>
      <c r="F540" s="495">
        <v>42795</v>
      </c>
      <c r="G540" s="496">
        <v>280744</v>
      </c>
      <c r="H540" s="604">
        <v>159113.29</v>
      </c>
      <c r="J540" s="495">
        <v>42887</v>
      </c>
      <c r="K540" s="604">
        <v>160443.22</v>
      </c>
      <c r="N540" s="694">
        <f t="shared" si="3"/>
        <v>162768.88995435374</v>
      </c>
    </row>
    <row r="541" spans="1:14" x14ac:dyDescent="0.2">
      <c r="A541" s="516">
        <v>43123</v>
      </c>
      <c r="B541" s="493">
        <v>293419.65000000002</v>
      </c>
      <c r="F541" s="495">
        <v>42826</v>
      </c>
      <c r="G541" s="496">
        <v>319478.15999999997</v>
      </c>
      <c r="H541" s="604">
        <v>159614.53</v>
      </c>
      <c r="J541" s="495">
        <v>42917</v>
      </c>
      <c r="K541" s="604">
        <v>161526.35999999999</v>
      </c>
      <c r="N541" s="694">
        <f t="shared" si="3"/>
        <v>163582.73440412551</v>
      </c>
    </row>
    <row r="542" spans="1:14" x14ac:dyDescent="0.2">
      <c r="A542" s="516">
        <v>43124</v>
      </c>
      <c r="B542" s="493">
        <v>293420</v>
      </c>
      <c r="F542" s="495">
        <v>42856</v>
      </c>
      <c r="G542" s="496">
        <v>241828.1</v>
      </c>
      <c r="H542" s="604">
        <v>160436.21</v>
      </c>
      <c r="J542" s="495">
        <v>42948</v>
      </c>
      <c r="K542" s="604">
        <v>162013.01</v>
      </c>
      <c r="N542" s="694">
        <f t="shared" si="3"/>
        <v>164400.64807614614</v>
      </c>
    </row>
    <row r="543" spans="1:14" x14ac:dyDescent="0.2">
      <c r="A543" s="516">
        <v>43125</v>
      </c>
      <c r="B543" s="493">
        <v>301331.82</v>
      </c>
      <c r="F543" s="495">
        <v>42887</v>
      </c>
      <c r="G543" s="496">
        <v>248981.18</v>
      </c>
      <c r="H543" s="604">
        <v>160443.22</v>
      </c>
      <c r="J543" s="495">
        <v>42979</v>
      </c>
      <c r="K543" s="604">
        <v>163493.49</v>
      </c>
      <c r="M543" s="604"/>
      <c r="N543" s="694">
        <f t="shared" si="3"/>
        <v>165222.65131652687</v>
      </c>
    </row>
    <row r="544" spans="1:14" x14ac:dyDescent="0.2">
      <c r="A544" s="516">
        <v>43126</v>
      </c>
      <c r="B544" s="493">
        <v>327084.28999999998</v>
      </c>
      <c r="F544" s="495">
        <v>42917</v>
      </c>
      <c r="G544" s="496">
        <v>268937.63</v>
      </c>
      <c r="H544" s="604">
        <v>161526.35999999999</v>
      </c>
      <c r="J544" s="495">
        <v>43009</v>
      </c>
      <c r="K544" s="604">
        <v>164090.28</v>
      </c>
      <c r="M544" s="243"/>
      <c r="N544" s="694">
        <f t="shared" si="3"/>
        <v>166048.76457310951</v>
      </c>
    </row>
    <row r="545" spans="1:14" x14ac:dyDescent="0.2">
      <c r="A545" s="516">
        <v>43129</v>
      </c>
      <c r="B545" s="493">
        <v>327084</v>
      </c>
      <c r="F545" s="495">
        <v>42948</v>
      </c>
      <c r="G545" s="496">
        <v>198251.6</v>
      </c>
      <c r="H545" s="604">
        <v>162013.01</v>
      </c>
      <c r="J545" s="495">
        <v>43040</v>
      </c>
      <c r="K545" s="604">
        <v>164908.01</v>
      </c>
      <c r="M545" s="243"/>
      <c r="N545" s="694">
        <f t="shared" si="3"/>
        <v>166879.00839597505</v>
      </c>
    </row>
    <row r="546" spans="1:14" x14ac:dyDescent="0.2">
      <c r="A546" s="516">
        <v>43130</v>
      </c>
      <c r="B546" s="493">
        <v>327084</v>
      </c>
      <c r="F546" s="495">
        <v>42979</v>
      </c>
      <c r="G546" s="496">
        <v>178964.63</v>
      </c>
      <c r="H546" s="604">
        <v>163493.49</v>
      </c>
      <c r="J546" s="495">
        <v>43070</v>
      </c>
      <c r="K546" s="604">
        <v>164937.87</v>
      </c>
      <c r="M546" s="243"/>
      <c r="N546" s="694">
        <f t="shared" si="3"/>
        <v>167713.40343795493</v>
      </c>
    </row>
    <row r="547" spans="1:14" x14ac:dyDescent="0.2">
      <c r="A547" s="516">
        <v>43131</v>
      </c>
      <c r="B547" s="493">
        <v>337130.63</v>
      </c>
      <c r="F547" s="495">
        <v>43009</v>
      </c>
      <c r="G547" s="496">
        <v>199171.39</v>
      </c>
      <c r="H547" s="604">
        <v>164090.28</v>
      </c>
      <c r="J547" s="495">
        <v>43101</v>
      </c>
      <c r="K547" s="604">
        <v>167966.33</v>
      </c>
      <c r="M547" s="243"/>
      <c r="N547" s="694">
        <f t="shared" si="3"/>
        <v>168551.97045514471</v>
      </c>
    </row>
    <row r="548" spans="1:14" x14ac:dyDescent="0.2">
      <c r="A548" s="516">
        <v>43132</v>
      </c>
      <c r="B548" s="493">
        <v>334292.59999999998</v>
      </c>
      <c r="F548" s="495">
        <v>43040</v>
      </c>
      <c r="G548" s="496">
        <v>180584.58</v>
      </c>
      <c r="H548" s="604">
        <v>164908.01</v>
      </c>
      <c r="J548" s="495">
        <v>43132</v>
      </c>
      <c r="K548" s="604">
        <v>164746.72</v>
      </c>
      <c r="M548" s="243"/>
      <c r="N548" s="694">
        <f t="shared" si="3"/>
        <v>169394.73030742042</v>
      </c>
    </row>
    <row r="549" spans="1:14" x14ac:dyDescent="0.2">
      <c r="A549" s="516">
        <v>43133</v>
      </c>
      <c r="B549" s="493">
        <v>335977.23</v>
      </c>
      <c r="F549" s="495">
        <v>43070</v>
      </c>
      <c r="G549" s="496">
        <v>258260.86</v>
      </c>
      <c r="H549" s="604">
        <v>164937.87</v>
      </c>
      <c r="J549" s="495">
        <v>43160</v>
      </c>
      <c r="K549" s="604">
        <v>163400.39000000001</v>
      </c>
      <c r="N549" s="694">
        <f t="shared" si="3"/>
        <v>170241.70395895751</v>
      </c>
    </row>
    <row r="550" spans="1:14" x14ac:dyDescent="0.2">
      <c r="A550" s="516">
        <v>43136</v>
      </c>
      <c r="B550" s="493">
        <v>300614.99</v>
      </c>
      <c r="F550" s="495">
        <v>43101</v>
      </c>
      <c r="G550" s="496">
        <v>297556.56</v>
      </c>
      <c r="H550" s="604">
        <v>167966.33</v>
      </c>
      <c r="J550" s="495">
        <v>43191</v>
      </c>
      <c r="K550" s="604">
        <v>163874.63</v>
      </c>
      <c r="N550" s="694">
        <f t="shared" si="3"/>
        <v>171092.91247875229</v>
      </c>
    </row>
    <row r="551" spans="1:14" x14ac:dyDescent="0.2">
      <c r="A551" s="516">
        <v>43137</v>
      </c>
      <c r="B551" s="493">
        <v>295509.53999999998</v>
      </c>
      <c r="F551" s="495">
        <v>43132</v>
      </c>
      <c r="G551" s="496">
        <v>287550</v>
      </c>
      <c r="H551" s="604">
        <v>164746.72</v>
      </c>
      <c r="J551" s="495">
        <v>43221</v>
      </c>
      <c r="K551" s="604">
        <v>165109.67000000001</v>
      </c>
      <c r="N551" s="694">
        <f t="shared" si="3"/>
        <v>171948.37704114604</v>
      </c>
    </row>
    <row r="552" spans="1:14" x14ac:dyDescent="0.2">
      <c r="A552" s="516">
        <v>43138</v>
      </c>
      <c r="B552" s="493">
        <v>295510</v>
      </c>
      <c r="F552" s="495">
        <v>43160</v>
      </c>
      <c r="G552" s="496">
        <v>277699.34999999998</v>
      </c>
      <c r="H552" s="604">
        <v>163400.39000000001</v>
      </c>
      <c r="J552" s="495">
        <v>43252</v>
      </c>
      <c r="K552" s="604">
        <v>164894.5</v>
      </c>
      <c r="M552" s="604"/>
      <c r="N552" s="694">
        <f t="shared" si="3"/>
        <v>172808.11892635177</v>
      </c>
    </row>
    <row r="553" spans="1:14" x14ac:dyDescent="0.2">
      <c r="A553" s="516">
        <v>43139</v>
      </c>
      <c r="B553" s="493">
        <v>295623.09999999998</v>
      </c>
      <c r="F553" s="495">
        <v>43191</v>
      </c>
      <c r="G553" s="496">
        <v>310068.02</v>
      </c>
      <c r="H553" s="604">
        <v>163874.63</v>
      </c>
      <c r="J553" s="495">
        <v>43282</v>
      </c>
      <c r="K553" s="604">
        <v>168308.43</v>
      </c>
      <c r="N553" s="694">
        <f t="shared" si="3"/>
        <v>173672.15952098352</v>
      </c>
    </row>
    <row r="554" spans="1:14" x14ac:dyDescent="0.2">
      <c r="A554" s="516">
        <v>43140</v>
      </c>
      <c r="B554" s="493">
        <v>295623</v>
      </c>
      <c r="F554" s="495">
        <v>43221</v>
      </c>
      <c r="G554" s="496">
        <v>338828.68</v>
      </c>
      <c r="H554" s="604">
        <v>165109.67000000001</v>
      </c>
      <c r="J554" s="495">
        <v>43313</v>
      </c>
      <c r="K554" s="604">
        <v>169314.31</v>
      </c>
      <c r="M554" s="496"/>
      <c r="N554" s="694">
        <f t="shared" si="3"/>
        <v>174540.52031858845</v>
      </c>
    </row>
    <row r="555" spans="1:14" x14ac:dyDescent="0.2">
      <c r="A555" s="516">
        <v>43143</v>
      </c>
      <c r="B555" s="493">
        <v>299232.09999999998</v>
      </c>
      <c r="F555" s="495">
        <v>43252</v>
      </c>
      <c r="G555" s="496">
        <v>316601.96000000002</v>
      </c>
      <c r="H555" s="604">
        <v>164894.5</v>
      </c>
      <c r="J555" s="495">
        <v>43344</v>
      </c>
      <c r="K555" s="604">
        <v>170138.99</v>
      </c>
      <c r="N555" s="694">
        <f t="shared" si="3"/>
        <v>175413.22292018138</v>
      </c>
    </row>
    <row r="556" spans="1:14" x14ac:dyDescent="0.2">
      <c r="A556" s="516">
        <v>43144</v>
      </c>
      <c r="B556" s="493">
        <v>304422.01</v>
      </c>
      <c r="F556" s="495">
        <v>43282</v>
      </c>
      <c r="G556" s="496">
        <v>282196.90999999997</v>
      </c>
      <c r="H556" s="604">
        <v>168308.43</v>
      </c>
      <c r="J556" s="495">
        <v>43374</v>
      </c>
      <c r="K556" s="604">
        <v>164332.01</v>
      </c>
      <c r="M556" s="622"/>
      <c r="N556" s="694">
        <f t="shared" si="3"/>
        <v>176290.28903478227</v>
      </c>
    </row>
    <row r="557" spans="1:14" x14ac:dyDescent="0.2">
      <c r="A557" s="516">
        <v>43145</v>
      </c>
      <c r="B557" s="493">
        <v>330191.24</v>
      </c>
      <c r="F557" s="495">
        <v>43313</v>
      </c>
      <c r="G557" s="496">
        <v>287391.71999999997</v>
      </c>
      <c r="H557" s="604">
        <v>169314.31</v>
      </c>
      <c r="J557" s="495">
        <v>43405</v>
      </c>
      <c r="K557" s="604">
        <v>166031.76999999999</v>
      </c>
      <c r="N557" s="694">
        <f t="shared" si="3"/>
        <v>177171.74047995618</v>
      </c>
    </row>
    <row r="558" spans="1:14" x14ac:dyDescent="0.2">
      <c r="A558" s="516">
        <v>43146</v>
      </c>
      <c r="B558" s="493">
        <v>313471.64</v>
      </c>
      <c r="F558" s="495">
        <v>43344</v>
      </c>
      <c r="G558" s="496">
        <v>327095.84000000003</v>
      </c>
      <c r="H558" s="604">
        <v>170138.99</v>
      </c>
      <c r="J558" s="495">
        <v>43435</v>
      </c>
      <c r="K558" s="604">
        <v>159621.23000000001</v>
      </c>
      <c r="N558" s="694">
        <f t="shared" si="3"/>
        <v>178057.59918235595</v>
      </c>
    </row>
    <row r="559" spans="1:14" x14ac:dyDescent="0.2">
      <c r="A559" s="516">
        <v>43147</v>
      </c>
      <c r="B559" s="493">
        <v>313472</v>
      </c>
      <c r="F559" s="495">
        <v>43374</v>
      </c>
      <c r="G559" s="496">
        <v>233504.28</v>
      </c>
      <c r="H559" s="604">
        <v>164332.01</v>
      </c>
      <c r="J559" s="495">
        <v>43466</v>
      </c>
      <c r="K559" s="604">
        <v>166873.93</v>
      </c>
      <c r="N559" s="694">
        <f t="shared" si="3"/>
        <v>178947.88717826773</v>
      </c>
    </row>
    <row r="560" spans="1:14" x14ac:dyDescent="0.2">
      <c r="A560" s="516">
        <v>43150</v>
      </c>
      <c r="B560" s="493">
        <v>313472</v>
      </c>
      <c r="F560" s="495">
        <v>43405</v>
      </c>
      <c r="G560" s="496">
        <v>166530.44</v>
      </c>
      <c r="H560" s="604">
        <v>166031.76999999999</v>
      </c>
      <c r="J560" s="495">
        <v>43497</v>
      </c>
      <c r="K560" s="604">
        <v>170486.28</v>
      </c>
      <c r="N560" s="694">
        <f t="shared" si="3"/>
        <v>179842.62661415906</v>
      </c>
    </row>
    <row r="561" spans="1:14" x14ac:dyDescent="0.2">
      <c r="A561" s="516">
        <v>43151</v>
      </c>
      <c r="B561" s="493">
        <v>277471.58</v>
      </c>
      <c r="F561" s="495">
        <v>43435</v>
      </c>
      <c r="G561" s="496">
        <v>245292.72</v>
      </c>
      <c r="H561" s="604">
        <v>159621.23000000001</v>
      </c>
      <c r="J561" s="495">
        <v>43525</v>
      </c>
      <c r="K561" s="604">
        <v>171537.16</v>
      </c>
      <c r="N561" s="694">
        <f t="shared" si="3"/>
        <v>180741.83974722985</v>
      </c>
    </row>
    <row r="562" spans="1:14" x14ac:dyDescent="0.2">
      <c r="A562" s="516">
        <v>43152</v>
      </c>
      <c r="B562" s="493">
        <v>287526.92</v>
      </c>
      <c r="F562" s="495">
        <v>43466</v>
      </c>
      <c r="G562" s="496">
        <v>322895</v>
      </c>
      <c r="H562" s="604">
        <v>166873.93</v>
      </c>
      <c r="J562" s="495">
        <v>43556</v>
      </c>
      <c r="K562" s="604">
        <v>174601.21</v>
      </c>
      <c r="N562" s="694">
        <f t="shared" si="3"/>
        <v>181645.548945966</v>
      </c>
    </row>
    <row r="563" spans="1:14" x14ac:dyDescent="0.2">
      <c r="A563" s="516">
        <v>43153</v>
      </c>
      <c r="B563" s="493">
        <v>296486.64</v>
      </c>
      <c r="F563" s="495">
        <v>43497</v>
      </c>
      <c r="G563" s="496">
        <v>388590.24</v>
      </c>
      <c r="H563" s="604">
        <v>170486.28</v>
      </c>
      <c r="J563" s="495">
        <v>43586</v>
      </c>
      <c r="K563" s="604">
        <v>169831.32</v>
      </c>
      <c r="N563" s="694">
        <f t="shared" si="3"/>
        <v>182553.77669069584</v>
      </c>
    </row>
    <row r="564" spans="1:14" x14ac:dyDescent="0.2">
      <c r="A564" s="516">
        <v>43154</v>
      </c>
      <c r="B564" s="493">
        <v>296487</v>
      </c>
      <c r="F564" s="495">
        <v>43525</v>
      </c>
      <c r="G564" s="496">
        <v>244069.19</v>
      </c>
      <c r="H564" s="604">
        <v>171537.16</v>
      </c>
      <c r="J564" s="495">
        <v>43617</v>
      </c>
      <c r="K564" s="604">
        <v>175962.43</v>
      </c>
      <c r="N564" s="694">
        <f t="shared" si="3"/>
        <v>183466.54557414932</v>
      </c>
    </row>
    <row r="565" spans="1:14" x14ac:dyDescent="0.2">
      <c r="A565" s="516">
        <v>43157</v>
      </c>
      <c r="B565" s="493">
        <v>296487</v>
      </c>
      <c r="F565" s="495">
        <v>43556</v>
      </c>
      <c r="G565" s="496">
        <v>265093.77</v>
      </c>
      <c r="H565" s="604">
        <v>174601.21</v>
      </c>
      <c r="J565" s="495">
        <v>43647</v>
      </c>
      <c r="K565" s="604">
        <v>176392.07</v>
      </c>
      <c r="N565" s="694">
        <f t="shared" si="3"/>
        <v>184383.87830202008</v>
      </c>
    </row>
    <row r="566" spans="1:14" x14ac:dyDescent="0.2">
      <c r="A566" s="516">
        <v>43158</v>
      </c>
      <c r="B566" s="493">
        <v>335911.5</v>
      </c>
      <c r="F566" s="495">
        <v>43586</v>
      </c>
      <c r="G566" s="496">
        <v>218979.44</v>
      </c>
      <c r="H566" s="604">
        <v>169831.32</v>
      </c>
      <c r="J566" s="495">
        <v>43678</v>
      </c>
      <c r="K566" s="604">
        <v>174581</v>
      </c>
      <c r="N566" s="694">
        <f t="shared" si="3"/>
        <v>185305.79769353018</v>
      </c>
    </row>
    <row r="567" spans="1:14" x14ac:dyDescent="0.2">
      <c r="A567" s="516">
        <v>43159</v>
      </c>
      <c r="B567" s="493">
        <v>335912</v>
      </c>
      <c r="F567" s="495">
        <v>43617</v>
      </c>
      <c r="G567" s="496">
        <v>271553.78999999998</v>
      </c>
      <c r="H567" s="604">
        <v>175962.43</v>
      </c>
      <c r="J567" s="495">
        <v>43709</v>
      </c>
      <c r="K567" s="604">
        <v>175832.82</v>
      </c>
      <c r="N567" s="694">
        <f t="shared" si="3"/>
        <v>186232.32668199783</v>
      </c>
    </row>
    <row r="568" spans="1:14" x14ac:dyDescent="0.2">
      <c r="A568" s="516">
        <v>43160</v>
      </c>
      <c r="B568" s="493">
        <v>330042.21999999997</v>
      </c>
      <c r="F568" s="495">
        <v>43647</v>
      </c>
      <c r="G568" s="496">
        <v>272625.19</v>
      </c>
      <c r="H568" s="604">
        <v>176392.07</v>
      </c>
      <c r="J568" s="495">
        <v>43739</v>
      </c>
      <c r="K568" s="604">
        <v>176684.91</v>
      </c>
      <c r="N568" s="694">
        <f t="shared" si="3"/>
        <v>187163.48831540783</v>
      </c>
    </row>
    <row r="569" spans="1:14" x14ac:dyDescent="0.2">
      <c r="A569" s="516">
        <v>43161</v>
      </c>
      <c r="B569" s="552">
        <v>367034.5</v>
      </c>
      <c r="F569" s="495">
        <v>43678</v>
      </c>
      <c r="G569" s="496">
        <v>249105.04</v>
      </c>
      <c r="H569" s="604">
        <v>174581.16</v>
      </c>
      <c r="J569" s="495">
        <v>43770</v>
      </c>
      <c r="K569" s="604">
        <v>180686.55</v>
      </c>
      <c r="N569" s="694">
        <f t="shared" si="3"/>
        <v>188099.30575698486</v>
      </c>
    </row>
    <row r="570" spans="1:14" x14ac:dyDescent="0.2">
      <c r="A570" s="516">
        <v>43164</v>
      </c>
      <c r="B570" s="493">
        <v>330990.42</v>
      </c>
      <c r="F570" s="495">
        <v>43709</v>
      </c>
      <c r="G570" s="496">
        <v>224675.57</v>
      </c>
      <c r="H570" s="604">
        <v>175832.82</v>
      </c>
      <c r="J570" s="495">
        <v>43800</v>
      </c>
      <c r="K570" s="604">
        <v>184417.26</v>
      </c>
      <c r="N570" s="694">
        <f t="shared" si="3"/>
        <v>189039.80228576978</v>
      </c>
    </row>
    <row r="571" spans="1:14" x14ac:dyDescent="0.2">
      <c r="A571" s="516">
        <v>43165</v>
      </c>
      <c r="B571" s="493">
        <v>333065.89</v>
      </c>
      <c r="F571" s="495">
        <v>43739</v>
      </c>
      <c r="G571" s="496">
        <f>250597.51-10616</f>
        <v>239981.51</v>
      </c>
      <c r="H571" s="604">
        <v>176684.91</v>
      </c>
      <c r="J571" s="495">
        <v>43831</v>
      </c>
      <c r="K571" s="604">
        <v>186588.03</v>
      </c>
      <c r="N571" s="694">
        <f t="shared" si="3"/>
        <v>189985.00129719861</v>
      </c>
    </row>
    <row r="572" spans="1:14" x14ac:dyDescent="0.2">
      <c r="A572" s="516">
        <v>43166</v>
      </c>
      <c r="B572" s="493">
        <v>331065.89</v>
      </c>
      <c r="F572" s="495">
        <v>43770</v>
      </c>
      <c r="G572" s="496">
        <f>213081.72-10616</f>
        <v>202465.72</v>
      </c>
      <c r="H572" s="604">
        <v>180686.55</v>
      </c>
      <c r="J572" s="495">
        <v>43862</v>
      </c>
      <c r="K572" s="604">
        <v>177685.24</v>
      </c>
      <c r="N572" s="694">
        <f t="shared" si="3"/>
        <v>190934.9263036846</v>
      </c>
    </row>
    <row r="573" spans="1:14" x14ac:dyDescent="0.2">
      <c r="A573" s="516">
        <v>43167</v>
      </c>
      <c r="B573" s="493">
        <v>331092.17</v>
      </c>
      <c r="F573" s="495">
        <v>43800</v>
      </c>
      <c r="G573" s="496">
        <v>298881.24</v>
      </c>
      <c r="H573" s="604">
        <v>184417.26</v>
      </c>
      <c r="J573" s="495">
        <v>43891</v>
      </c>
      <c r="K573" s="604">
        <v>162398.81</v>
      </c>
      <c r="N573" s="694">
        <f t="shared" si="3"/>
        <v>191889.60093520302</v>
      </c>
    </row>
    <row r="574" spans="1:14" x14ac:dyDescent="0.2">
      <c r="A574" s="516">
        <v>43168</v>
      </c>
      <c r="B574" s="493">
        <v>311733.17</v>
      </c>
      <c r="F574" s="495">
        <v>43831</v>
      </c>
      <c r="G574" s="496">
        <v>326352.59000000003</v>
      </c>
      <c r="H574" s="604">
        <v>186588.03</v>
      </c>
      <c r="J574" s="495">
        <v>43922</v>
      </c>
      <c r="K574" s="604">
        <v>175055.83</v>
      </c>
      <c r="N574" s="694">
        <f t="shared" si="3"/>
        <v>192849.04893987905</v>
      </c>
    </row>
    <row r="575" spans="1:14" x14ac:dyDescent="0.2">
      <c r="A575" s="516">
        <v>43171</v>
      </c>
      <c r="B575" s="493">
        <v>317116.19</v>
      </c>
      <c r="F575" s="495">
        <v>43862</v>
      </c>
      <c r="G575" s="496">
        <v>247842.14</v>
      </c>
      <c r="H575" s="604">
        <v>177685.24</v>
      </c>
      <c r="J575" s="495">
        <v>43952</v>
      </c>
      <c r="K575" s="604">
        <v>180640.71</v>
      </c>
      <c r="N575" s="694">
        <f t="shared" si="3"/>
        <v>193813.29418457844</v>
      </c>
    </row>
    <row r="576" spans="1:14" x14ac:dyDescent="0.2">
      <c r="A576" s="516">
        <v>43172</v>
      </c>
      <c r="B576" s="493">
        <v>317116</v>
      </c>
      <c r="F576" s="495">
        <v>43891</v>
      </c>
      <c r="G576" s="496">
        <v>256001.05</v>
      </c>
      <c r="H576" s="604">
        <v>162398.81</v>
      </c>
      <c r="J576" s="495">
        <v>43983</v>
      </c>
      <c r="K576" s="604">
        <v>183627.14</v>
      </c>
      <c r="N576" s="694">
        <f t="shared" si="3"/>
        <v>194782.36065550134</v>
      </c>
    </row>
    <row r="577" spans="1:18" x14ac:dyDescent="0.2">
      <c r="A577" s="516">
        <v>43173</v>
      </c>
      <c r="B577" s="493">
        <v>317496.19</v>
      </c>
      <c r="F577" s="495">
        <v>43922</v>
      </c>
      <c r="G577" s="496">
        <v>319553.11</v>
      </c>
      <c r="H577" s="604">
        <v>175055.83</v>
      </c>
      <c r="J577" s="495">
        <v>44013</v>
      </c>
      <c r="K577" s="604">
        <v>191310.14</v>
      </c>
      <c r="L577" s="243"/>
      <c r="N577" s="694">
        <f t="shared" si="3"/>
        <v>195756.27245877884</v>
      </c>
      <c r="O577" s="243"/>
      <c r="P577" s="243"/>
      <c r="Q577" s="243"/>
      <c r="R577" s="243"/>
    </row>
    <row r="578" spans="1:18" x14ac:dyDescent="0.2">
      <c r="A578" s="516">
        <v>43174</v>
      </c>
      <c r="B578" s="493">
        <v>317772.45</v>
      </c>
      <c r="F578" s="495">
        <v>43952</v>
      </c>
      <c r="G578" s="496">
        <v>373887.89</v>
      </c>
      <c r="H578" s="604">
        <v>180640.71</v>
      </c>
      <c r="J578" s="495">
        <v>44044</v>
      </c>
      <c r="K578" s="604">
        <v>196731.42</v>
      </c>
      <c r="L578" s="243"/>
      <c r="N578" s="694">
        <f t="shared" si="3"/>
        <v>196735.05382107274</v>
      </c>
      <c r="P578" s="243"/>
      <c r="Q578" s="243"/>
      <c r="R578" s="243"/>
    </row>
    <row r="579" spans="1:18" x14ac:dyDescent="0.2">
      <c r="A579" s="516">
        <v>43175</v>
      </c>
      <c r="B579" s="493">
        <v>317772</v>
      </c>
      <c r="C579" s="516"/>
      <c r="D579" s="493"/>
      <c r="F579" s="495">
        <v>43983</v>
      </c>
      <c r="G579" s="496">
        <v>387259.9</v>
      </c>
      <c r="H579" s="604">
        <v>183627.14</v>
      </c>
      <c r="J579" s="495">
        <v>44075</v>
      </c>
      <c r="K579" s="604">
        <v>192424.98</v>
      </c>
      <c r="L579" s="243"/>
      <c r="N579" s="694">
        <f t="shared" si="3"/>
        <v>197718.72909017809</v>
      </c>
      <c r="P579" s="243"/>
      <c r="Q579" s="243"/>
      <c r="R579" s="243"/>
    </row>
    <row r="580" spans="1:18" x14ac:dyDescent="0.2">
      <c r="A580" s="516">
        <v>43178</v>
      </c>
      <c r="B580" s="493">
        <v>279446.55</v>
      </c>
      <c r="C580" s="516"/>
      <c r="D580" s="493"/>
      <c r="F580" s="495">
        <v>44013</v>
      </c>
      <c r="G580" s="496">
        <v>393896.48</v>
      </c>
      <c r="H580" s="604">
        <v>191310.14</v>
      </c>
      <c r="J580" s="495">
        <v>44105</v>
      </c>
      <c r="K580" s="604">
        <v>189044.54</v>
      </c>
      <c r="L580" s="243"/>
      <c r="N580" s="694">
        <f t="shared" si="3"/>
        <v>198707.32273562899</v>
      </c>
      <c r="P580" s="243"/>
      <c r="Q580" s="243"/>
      <c r="R580" s="243"/>
    </row>
    <row r="581" spans="1:18" x14ac:dyDescent="0.2">
      <c r="A581" s="516">
        <v>43179</v>
      </c>
      <c r="B581" s="493">
        <v>272785.62</v>
      </c>
      <c r="C581" s="516"/>
      <c r="D581" s="493"/>
      <c r="F581" s="495">
        <v>44044</v>
      </c>
      <c r="G581" s="496">
        <v>318622.86</v>
      </c>
      <c r="H581" s="604">
        <v>196731.42</v>
      </c>
      <c r="J581" s="495">
        <v>44136</v>
      </c>
      <c r="K581" s="604">
        <v>201253.81</v>
      </c>
      <c r="L581" s="243"/>
      <c r="N581" s="694">
        <f t="shared" si="3"/>
        <v>199700.85934930714</v>
      </c>
      <c r="P581" s="243"/>
      <c r="Q581" s="243"/>
      <c r="R581" s="243"/>
    </row>
    <row r="582" spans="1:18" x14ac:dyDescent="0.2">
      <c r="A582" s="516">
        <v>43180</v>
      </c>
      <c r="B582" s="493">
        <v>288240.15999999997</v>
      </c>
      <c r="C582" s="516"/>
      <c r="D582" s="493"/>
      <c r="F582" s="495">
        <v>44075</v>
      </c>
      <c r="G582" s="496">
        <v>310792.11</v>
      </c>
      <c r="H582" s="604">
        <v>192424.98</v>
      </c>
      <c r="J582" s="495">
        <v>44166</v>
      </c>
      <c r="K582" s="604">
        <v>206549.06</v>
      </c>
      <c r="L582" s="243"/>
      <c r="N582" s="694">
        <f t="shared" si="3"/>
        <v>200699.36364605368</v>
      </c>
      <c r="O582" s="243"/>
      <c r="P582" s="243"/>
      <c r="Q582" s="243"/>
      <c r="R582" s="243"/>
    </row>
    <row r="583" spans="1:18" x14ac:dyDescent="0.2">
      <c r="A583" s="516">
        <v>43181</v>
      </c>
      <c r="B583" s="493">
        <v>278742.74</v>
      </c>
      <c r="C583" s="516"/>
      <c r="D583" s="493"/>
      <c r="F583" s="495">
        <v>44105</v>
      </c>
      <c r="G583" s="496">
        <v>337545.3</v>
      </c>
      <c r="H583" s="604">
        <v>189044.54</v>
      </c>
      <c r="J583" s="495">
        <v>44197</v>
      </c>
      <c r="K583" s="604">
        <v>204163.62</v>
      </c>
      <c r="L583" s="243"/>
      <c r="N583" s="694">
        <f t="shared" si="3"/>
        <v>201702.86046428393</v>
      </c>
      <c r="O583" s="243"/>
      <c r="P583" s="243"/>
      <c r="Q583" s="243"/>
      <c r="R583" s="243"/>
    </row>
    <row r="584" spans="1:18" x14ac:dyDescent="0.2">
      <c r="A584" s="516">
        <v>43182</v>
      </c>
      <c r="B584" s="493">
        <v>278840.24</v>
      </c>
      <c r="C584" s="516"/>
      <c r="D584" s="493"/>
      <c r="F584" s="495">
        <v>44136</v>
      </c>
      <c r="G584" s="496">
        <v>407385.79</v>
      </c>
      <c r="H584" s="604">
        <v>201253.81</v>
      </c>
      <c r="J584" s="495">
        <v>44228</v>
      </c>
      <c r="K584" s="604">
        <v>207045.8</v>
      </c>
      <c r="L584" s="243"/>
      <c r="N584" s="694">
        <f t="shared" si="3"/>
        <v>202711.37476660535</v>
      </c>
      <c r="O584" s="243"/>
      <c r="P584" s="243"/>
      <c r="Q584" s="243"/>
      <c r="R584" s="243"/>
    </row>
    <row r="585" spans="1:18" x14ac:dyDescent="0.2">
      <c r="A585" s="516">
        <v>43185</v>
      </c>
      <c r="B585" s="493">
        <v>278942.24</v>
      </c>
      <c r="C585" s="516"/>
      <c r="D585" s="493"/>
      <c r="F585" s="495">
        <v>44166</v>
      </c>
      <c r="G585" s="496">
        <v>325944.61</v>
      </c>
      <c r="H585" s="604">
        <v>206549.06</v>
      </c>
      <c r="J585" s="495">
        <v>44256</v>
      </c>
      <c r="K585" s="604">
        <v>211866.05</v>
      </c>
      <c r="L585" s="243"/>
      <c r="N585" s="694">
        <f t="shared" si="3"/>
        <v>203724.93164043839</v>
      </c>
      <c r="O585" s="243"/>
      <c r="P585" s="243"/>
      <c r="Q585" s="243"/>
      <c r="R585" s="243"/>
    </row>
    <row r="586" spans="1:18" x14ac:dyDescent="0.2">
      <c r="A586" s="516">
        <v>43186</v>
      </c>
      <c r="B586" s="493">
        <v>257048.49</v>
      </c>
      <c r="C586" s="516"/>
      <c r="D586" s="493"/>
      <c r="F586" s="495">
        <v>44197</v>
      </c>
      <c r="G586" s="496">
        <v>416865.56</v>
      </c>
      <c r="H586" s="604">
        <v>204163.62</v>
      </c>
      <c r="J586" s="495">
        <v>44287</v>
      </c>
      <c r="K586" s="604">
        <v>218448.38</v>
      </c>
      <c r="L586" s="243"/>
      <c r="N586" s="694">
        <f t="shared" si="3"/>
        <v>204743.55629864059</v>
      </c>
      <c r="O586" s="243"/>
      <c r="P586" s="243"/>
      <c r="Q586" s="243"/>
      <c r="R586" s="243"/>
    </row>
    <row r="587" spans="1:18" x14ac:dyDescent="0.2">
      <c r="A587" s="516">
        <v>43187</v>
      </c>
      <c r="B587" s="493">
        <v>252662.47</v>
      </c>
      <c r="C587" s="516"/>
      <c r="D587" s="493"/>
      <c r="F587" s="495">
        <v>44228</v>
      </c>
      <c r="G587" s="496">
        <v>403762.36</v>
      </c>
      <c r="H587" s="604">
        <v>207045.8</v>
      </c>
      <c r="J587" s="495">
        <v>44317</v>
      </c>
      <c r="K587" s="604">
        <f>222185</f>
        <v>222185</v>
      </c>
      <c r="L587" s="243"/>
      <c r="N587" s="694">
        <f t="shared" si="3"/>
        <v>205767.27408013379</v>
      </c>
      <c r="O587" s="243"/>
      <c r="P587" s="243"/>
      <c r="Q587" s="243"/>
      <c r="R587" s="243"/>
    </row>
    <row r="588" spans="1:18" x14ac:dyDescent="0.2">
      <c r="A588" s="516">
        <v>43188</v>
      </c>
      <c r="B588" s="493">
        <v>254708.73</v>
      </c>
      <c r="C588" s="516"/>
      <c r="D588" s="493"/>
      <c r="F588" s="495">
        <v>44256</v>
      </c>
      <c r="G588" s="496">
        <v>218522.99</v>
      </c>
      <c r="H588" s="604">
        <v>211866.05</v>
      </c>
      <c r="J588" s="495">
        <v>44348</v>
      </c>
      <c r="K588" s="604">
        <v>222449.07</v>
      </c>
      <c r="L588" s="243"/>
      <c r="N588" s="694">
        <f t="shared" si="3"/>
        <v>206796.11045053447</v>
      </c>
      <c r="O588" s="243"/>
      <c r="P588" s="243"/>
      <c r="Q588" s="243"/>
      <c r="R588" s="243"/>
    </row>
    <row r="589" spans="1:18" x14ac:dyDescent="0.2">
      <c r="A589" s="516">
        <v>43189</v>
      </c>
      <c r="B589" s="493">
        <v>281702.86</v>
      </c>
      <c r="C589" s="516"/>
      <c r="D589" s="493"/>
      <c r="F589" s="495">
        <v>44287</v>
      </c>
      <c r="G589" s="496">
        <v>281784.46000000002</v>
      </c>
      <c r="H589" s="604">
        <v>218448.38</v>
      </c>
      <c r="J589" s="495">
        <v>44378</v>
      </c>
      <c r="K589" s="604">
        <v>325177.46999999997</v>
      </c>
      <c r="L589" s="243"/>
      <c r="N589" s="694">
        <f>N$525*N588/12 +N588+100000</f>
        <v>307830.09100278711</v>
      </c>
      <c r="O589" s="243"/>
      <c r="P589" s="243"/>
      <c r="Q589" s="243"/>
      <c r="R589" s="243"/>
    </row>
    <row r="590" spans="1:18" x14ac:dyDescent="0.2">
      <c r="A590" s="516">
        <v>43192</v>
      </c>
      <c r="B590" s="493">
        <v>244220.77</v>
      </c>
      <c r="C590" s="516"/>
      <c r="D590" s="493"/>
      <c r="F590" s="495">
        <v>44317</v>
      </c>
      <c r="G590" s="496">
        <v>231705.38</v>
      </c>
      <c r="H590" s="604">
        <v>222184.92</v>
      </c>
      <c r="J590" s="495">
        <v>44409</v>
      </c>
      <c r="K590" s="604">
        <v>329419.45</v>
      </c>
      <c r="L590" s="243"/>
      <c r="N590" s="694">
        <f t="shared" si="3"/>
        <v>309369.24145780102</v>
      </c>
    </row>
    <row r="591" spans="1:18" x14ac:dyDescent="0.2">
      <c r="A591" s="516">
        <v>43193</v>
      </c>
      <c r="B591" s="493">
        <v>244221</v>
      </c>
      <c r="C591" s="516"/>
      <c r="D591" s="493"/>
      <c r="F591" s="495">
        <v>44348</v>
      </c>
      <c r="G591" s="496">
        <v>254786.13</v>
      </c>
      <c r="H591" s="604">
        <v>222449.07</v>
      </c>
      <c r="J591" s="495">
        <v>44440</v>
      </c>
      <c r="K591" s="604">
        <v>318755.06</v>
      </c>
      <c r="L591" s="243"/>
      <c r="N591" s="694">
        <f t="shared" si="3"/>
        <v>310916.08766509005</v>
      </c>
    </row>
    <row r="592" spans="1:18" x14ac:dyDescent="0.2">
      <c r="A592" s="516">
        <v>43194</v>
      </c>
      <c r="B592" s="493">
        <v>244221</v>
      </c>
      <c r="C592" s="516"/>
      <c r="D592" s="493"/>
      <c r="F592" s="495">
        <v>44378</v>
      </c>
      <c r="G592" s="496">
        <v>323671.89</v>
      </c>
      <c r="H592" s="604">
        <v>325177.46999999997</v>
      </c>
      <c r="J592" s="495">
        <v>44470</v>
      </c>
      <c r="K592" s="604">
        <v>329502.62</v>
      </c>
      <c r="L592" s="243"/>
      <c r="N592" s="694">
        <f t="shared" ref="N592:N596" si="4">N$525*N591/12 +N591</f>
        <v>312470.66810341552</v>
      </c>
    </row>
    <row r="593" spans="1:14" x14ac:dyDescent="0.2">
      <c r="A593" s="516">
        <v>43195</v>
      </c>
      <c r="B593" s="493">
        <v>225503.87</v>
      </c>
      <c r="C593" s="516"/>
      <c r="D593" s="493"/>
      <c r="F593" s="495">
        <v>44409</v>
      </c>
      <c r="G593" s="496">
        <v>334383.06</v>
      </c>
      <c r="H593" s="604">
        <v>329419.45</v>
      </c>
      <c r="J593" s="495">
        <v>44501</v>
      </c>
      <c r="K593" s="604">
        <v>323833.99</v>
      </c>
      <c r="L593" s="243"/>
      <c r="N593" s="694">
        <f t="shared" si="4"/>
        <v>314033.02144393261</v>
      </c>
    </row>
    <row r="594" spans="1:14" x14ac:dyDescent="0.2">
      <c r="A594" s="516">
        <v>43196</v>
      </c>
      <c r="B594" s="493">
        <v>225504</v>
      </c>
      <c r="C594" s="516"/>
      <c r="D594" s="493"/>
      <c r="F594" s="495">
        <v>44440</v>
      </c>
      <c r="G594" s="496">
        <v>325598.5</v>
      </c>
      <c r="H594" s="604">
        <v>318755.06</v>
      </c>
      <c r="J594" s="495">
        <v>44531</v>
      </c>
      <c r="K594" s="604">
        <v>334446.53999999998</v>
      </c>
      <c r="L594" s="243"/>
      <c r="N594" s="694">
        <f t="shared" si="4"/>
        <v>315603.18655115226</v>
      </c>
    </row>
    <row r="595" spans="1:14" x14ac:dyDescent="0.2">
      <c r="A595" s="516">
        <v>43199</v>
      </c>
      <c r="B595" s="493">
        <v>225503.8</v>
      </c>
      <c r="C595" s="516"/>
      <c r="D595" s="493"/>
      <c r="F595" s="495">
        <v>44470</v>
      </c>
      <c r="G595" s="496">
        <v>397934.47</v>
      </c>
      <c r="H595" s="604">
        <v>329502.62</v>
      </c>
      <c r="J595" s="495">
        <v>44562</v>
      </c>
      <c r="K595" s="604">
        <v>323933.77</v>
      </c>
      <c r="L595" s="243"/>
      <c r="N595" s="694">
        <f t="shared" si="4"/>
        <v>317181.20248390804</v>
      </c>
    </row>
    <row r="596" spans="1:14" x14ac:dyDescent="0.2">
      <c r="A596" s="516">
        <v>43200</v>
      </c>
      <c r="B596" s="493">
        <v>227389.96</v>
      </c>
      <c r="C596" s="516"/>
      <c r="D596" s="493"/>
      <c r="F596" s="495">
        <v>44501</v>
      </c>
      <c r="G596" s="496">
        <v>304557.78000000003</v>
      </c>
      <c r="H596" s="604">
        <v>323833.99</v>
      </c>
      <c r="J596" s="495">
        <v>44593</v>
      </c>
      <c r="K596" s="604">
        <v>319586.55</v>
      </c>
      <c r="L596" s="243"/>
      <c r="N596" s="694">
        <f t="shared" si="4"/>
        <v>318767.10849632759</v>
      </c>
    </row>
    <row r="597" spans="1:14" x14ac:dyDescent="0.2">
      <c r="A597" s="516">
        <v>43201</v>
      </c>
      <c r="B597" s="493">
        <v>235472.53</v>
      </c>
      <c r="C597" s="516"/>
      <c r="D597" s="493"/>
      <c r="F597" s="495">
        <v>44531</v>
      </c>
      <c r="G597" s="496">
        <v>339829.81</v>
      </c>
      <c r="H597" s="604">
        <v>334446.53999999998</v>
      </c>
      <c r="J597" s="495">
        <v>44621</v>
      </c>
      <c r="K597" s="604">
        <v>422621.04</v>
      </c>
      <c r="L597" s="243"/>
    </row>
    <row r="598" spans="1:14" x14ac:dyDescent="0.2">
      <c r="A598" s="516">
        <v>43202</v>
      </c>
      <c r="B598" s="493">
        <v>222207.84</v>
      </c>
      <c r="C598" s="516"/>
      <c r="D598" s="493"/>
      <c r="F598" s="495">
        <v>44562</v>
      </c>
      <c r="G598" s="496">
        <v>483670.84</v>
      </c>
      <c r="H598" s="604">
        <v>323933.77</v>
      </c>
      <c r="J598" s="495">
        <v>44652</v>
      </c>
      <c r="K598" s="604">
        <v>399826.35</v>
      </c>
      <c r="L598" s="243"/>
    </row>
    <row r="599" spans="1:14" x14ac:dyDescent="0.2">
      <c r="A599" s="516">
        <v>43203</v>
      </c>
      <c r="B599" s="493">
        <v>222287.93</v>
      </c>
      <c r="C599" s="516"/>
      <c r="D599" s="493"/>
      <c r="F599" s="495">
        <v>44593</v>
      </c>
      <c r="G599" s="496">
        <v>403181.63</v>
      </c>
      <c r="H599" s="604">
        <v>319586.55</v>
      </c>
      <c r="J599" s="495">
        <v>44682</v>
      </c>
      <c r="K599" s="604">
        <v>404182.26</v>
      </c>
      <c r="L599" s="243"/>
    </row>
    <row r="600" spans="1:14" x14ac:dyDescent="0.2">
      <c r="A600" s="516">
        <v>43206</v>
      </c>
      <c r="B600" s="493">
        <v>186664.28</v>
      </c>
      <c r="C600" s="516"/>
      <c r="D600" s="493"/>
      <c r="F600" s="495">
        <v>44621</v>
      </c>
      <c r="G600" s="496">
        <v>315833.28999999998</v>
      </c>
      <c r="H600" s="604">
        <v>422621.04</v>
      </c>
      <c r="J600" s="495">
        <v>44713</v>
      </c>
      <c r="K600" s="604">
        <v>378955.05</v>
      </c>
      <c r="L600" s="243"/>
    </row>
    <row r="601" spans="1:14" x14ac:dyDescent="0.2">
      <c r="A601" s="516">
        <v>43207</v>
      </c>
      <c r="B601" s="493">
        <v>188484.95</v>
      </c>
      <c r="C601" s="516"/>
      <c r="D601" s="493"/>
      <c r="F601" s="495">
        <v>44652</v>
      </c>
      <c r="G601" s="496">
        <v>327170</v>
      </c>
      <c r="H601" s="604">
        <v>399826.35</v>
      </c>
      <c r="J601" s="495">
        <v>44743</v>
      </c>
      <c r="K601" s="604">
        <v>395341.91</v>
      </c>
      <c r="L601" s="243"/>
    </row>
    <row r="602" spans="1:14" x14ac:dyDescent="0.2">
      <c r="A602" s="516">
        <v>43208</v>
      </c>
      <c r="B602" s="493">
        <v>188485</v>
      </c>
      <c r="C602" s="516"/>
      <c r="D602" s="493"/>
      <c r="F602" s="495">
        <v>44682</v>
      </c>
      <c r="G602" s="496">
        <v>246847.16</v>
      </c>
      <c r="H602" s="604">
        <v>404182.26</v>
      </c>
      <c r="J602" s="495">
        <v>44774</v>
      </c>
      <c r="K602" s="604">
        <v>382796.02</v>
      </c>
      <c r="L602" s="243"/>
    </row>
    <row r="603" spans="1:14" x14ac:dyDescent="0.2">
      <c r="A603" s="516">
        <v>43209</v>
      </c>
      <c r="B603" s="493">
        <v>180474.73</v>
      </c>
      <c r="C603" s="516"/>
      <c r="D603" s="493"/>
      <c r="F603" s="495">
        <v>44713</v>
      </c>
      <c r="G603" s="496">
        <v>274391.32</v>
      </c>
      <c r="H603" s="604">
        <v>378955.05</v>
      </c>
      <c r="J603" s="495">
        <v>44805</v>
      </c>
      <c r="K603" s="604">
        <v>357259.36</v>
      </c>
      <c r="L603" s="243"/>
    </row>
    <row r="604" spans="1:14" x14ac:dyDescent="0.2">
      <c r="A604" s="516">
        <v>43210</v>
      </c>
      <c r="B604" s="493">
        <v>188207.38</v>
      </c>
      <c r="C604" s="516"/>
      <c r="D604" s="493"/>
      <c r="F604" s="495">
        <v>44743</v>
      </c>
      <c r="G604" s="496">
        <v>311473.07</v>
      </c>
      <c r="H604" s="604">
        <v>395341.91</v>
      </c>
      <c r="J604" s="495">
        <v>44835</v>
      </c>
      <c r="K604" s="604">
        <v>374993.63</v>
      </c>
      <c r="L604" s="243"/>
    </row>
    <row r="605" spans="1:14" x14ac:dyDescent="0.2">
      <c r="A605" s="516">
        <v>43213</v>
      </c>
      <c r="B605" s="493">
        <v>198618.83</v>
      </c>
      <c r="C605" s="516"/>
      <c r="D605" s="493"/>
      <c r="F605" s="495">
        <v>44774</v>
      </c>
      <c r="G605" s="496">
        <v>246923.1</v>
      </c>
      <c r="H605" s="604">
        <v>382796.02</v>
      </c>
      <c r="J605" s="495">
        <v>44866</v>
      </c>
      <c r="K605" s="604">
        <v>396685.21</v>
      </c>
      <c r="L605" s="243"/>
    </row>
    <row r="606" spans="1:14" x14ac:dyDescent="0.2">
      <c r="A606" s="516">
        <v>43214</v>
      </c>
      <c r="B606" s="493">
        <v>198619</v>
      </c>
      <c r="C606" s="516"/>
      <c r="D606" s="493"/>
      <c r="F606" s="495">
        <v>44805</v>
      </c>
      <c r="G606" s="496">
        <v>214783.77</v>
      </c>
      <c r="H606" s="604">
        <v>357259.36</v>
      </c>
      <c r="J606" s="495">
        <v>44896</v>
      </c>
      <c r="K606" s="604">
        <v>385734.14</v>
      </c>
      <c r="L606" s="243"/>
    </row>
    <row r="607" spans="1:14" x14ac:dyDescent="0.2">
      <c r="A607" s="516">
        <v>43215</v>
      </c>
      <c r="B607" s="493">
        <v>198619</v>
      </c>
      <c r="C607" s="516"/>
      <c r="D607" s="493"/>
      <c r="F607" s="495">
        <v>44835</v>
      </c>
      <c r="G607" s="496">
        <v>264786.40999999997</v>
      </c>
      <c r="H607" s="604">
        <v>374993.63</v>
      </c>
      <c r="K607" s="684"/>
      <c r="L607" s="243"/>
    </row>
    <row r="608" spans="1:14" x14ac:dyDescent="0.2">
      <c r="A608" s="516">
        <v>43216</v>
      </c>
      <c r="B608" s="493">
        <v>189089.55</v>
      </c>
      <c r="C608" s="516"/>
      <c r="D608" s="493"/>
      <c r="F608" s="495">
        <v>44866</v>
      </c>
      <c r="G608" s="496">
        <v>290701.14</v>
      </c>
      <c r="H608" s="604">
        <v>396685.21</v>
      </c>
      <c r="K608" s="684"/>
      <c r="L608" s="243"/>
    </row>
    <row r="609" spans="1:12" x14ac:dyDescent="0.2">
      <c r="A609" s="516">
        <v>43217</v>
      </c>
      <c r="B609" s="493">
        <v>216053.77</v>
      </c>
      <c r="C609" s="516"/>
      <c r="D609" s="493"/>
      <c r="F609" s="495">
        <v>44896</v>
      </c>
      <c r="G609" s="496">
        <v>360388.09</v>
      </c>
      <c r="H609" s="604">
        <v>385734.14</v>
      </c>
      <c r="K609" s="684"/>
      <c r="L609" s="243"/>
    </row>
    <row r="610" spans="1:12" x14ac:dyDescent="0.2">
      <c r="A610" s="516">
        <v>43220</v>
      </c>
      <c r="B610" s="493">
        <v>179849.52</v>
      </c>
      <c r="C610" s="516"/>
      <c r="F610" s="495">
        <v>44927</v>
      </c>
      <c r="K610" s="684"/>
      <c r="L610" s="243"/>
    </row>
    <row r="611" spans="1:12" x14ac:dyDescent="0.2">
      <c r="A611" s="516">
        <v>43221</v>
      </c>
      <c r="B611" s="493">
        <v>179850</v>
      </c>
      <c r="C611" s="516"/>
      <c r="K611" s="684"/>
      <c r="L611" s="243"/>
    </row>
    <row r="612" spans="1:12" x14ac:dyDescent="0.2">
      <c r="A612" s="516">
        <v>43222</v>
      </c>
      <c r="B612" s="493">
        <v>173749.01</v>
      </c>
      <c r="C612" s="516"/>
      <c r="K612" s="684"/>
      <c r="L612" s="243"/>
    </row>
    <row r="613" spans="1:12" x14ac:dyDescent="0.2">
      <c r="A613" s="516">
        <v>43223</v>
      </c>
      <c r="B613" s="493">
        <v>200792.85</v>
      </c>
      <c r="C613" s="516"/>
      <c r="K613" s="684"/>
      <c r="L613" s="243"/>
    </row>
    <row r="614" spans="1:12" x14ac:dyDescent="0.2">
      <c r="A614" s="516">
        <v>43224</v>
      </c>
      <c r="B614" s="493">
        <v>202331.91</v>
      </c>
      <c r="C614" s="516"/>
      <c r="K614" s="684"/>
      <c r="L614" s="243"/>
    </row>
    <row r="615" spans="1:12" x14ac:dyDescent="0.2">
      <c r="A615" s="516">
        <v>43227</v>
      </c>
      <c r="B615" s="493">
        <v>203517.87</v>
      </c>
      <c r="C615" s="516"/>
      <c r="K615" s="684"/>
      <c r="L615" s="243"/>
    </row>
    <row r="616" spans="1:12" x14ac:dyDescent="0.2">
      <c r="A616" s="516">
        <v>43228</v>
      </c>
      <c r="B616" s="493">
        <v>203518</v>
      </c>
      <c r="C616" s="516"/>
      <c r="L616" s="243"/>
    </row>
    <row r="617" spans="1:12" x14ac:dyDescent="0.2">
      <c r="A617" s="516">
        <v>43229</v>
      </c>
      <c r="B617" s="493">
        <v>203518</v>
      </c>
      <c r="C617" s="516"/>
      <c r="L617" s="243"/>
    </row>
    <row r="618" spans="1:12" x14ac:dyDescent="0.2">
      <c r="A618" s="516">
        <v>43230</v>
      </c>
      <c r="B618" s="493">
        <v>191114.58</v>
      </c>
      <c r="C618" s="516"/>
      <c r="L618" s="243"/>
    </row>
    <row r="619" spans="1:12" x14ac:dyDescent="0.2">
      <c r="A619" s="516">
        <v>43231</v>
      </c>
      <c r="B619" s="552">
        <v>153114.57999999999</v>
      </c>
      <c r="C619" s="516"/>
      <c r="D619" s="493"/>
      <c r="F619" t="s">
        <v>393</v>
      </c>
      <c r="L619" s="243"/>
    </row>
    <row r="620" spans="1:12" x14ac:dyDescent="0.2">
      <c r="A620" s="516">
        <v>43234</v>
      </c>
      <c r="B620" s="552">
        <v>153115</v>
      </c>
      <c r="C620" s="516"/>
      <c r="D620" s="493"/>
      <c r="F620" t="s">
        <v>358</v>
      </c>
      <c r="G620">
        <v>50000</v>
      </c>
      <c r="L620" s="243"/>
    </row>
    <row r="621" spans="1:12" x14ac:dyDescent="0.2">
      <c r="A621" s="516">
        <v>43235</v>
      </c>
      <c r="B621" s="493">
        <v>182792.08</v>
      </c>
      <c r="C621" s="516"/>
      <c r="D621" s="493"/>
      <c r="F621" t="s">
        <v>70</v>
      </c>
      <c r="G621" s="553">
        <v>158720.91</v>
      </c>
      <c r="H621" t="s">
        <v>351</v>
      </c>
      <c r="L621" s="243"/>
    </row>
    <row r="622" spans="1:12" x14ac:dyDescent="0.2">
      <c r="A622" s="516">
        <v>43236</v>
      </c>
      <c r="B622" s="493">
        <v>182792</v>
      </c>
      <c r="C622" s="516"/>
      <c r="D622" s="493"/>
      <c r="F622" t="s">
        <v>348</v>
      </c>
      <c r="G622" s="553">
        <v>820788.58</v>
      </c>
      <c r="L622" s="243"/>
    </row>
    <row r="623" spans="1:12" x14ac:dyDescent="0.2">
      <c r="A623" s="516">
        <v>43237</v>
      </c>
      <c r="B623" s="493">
        <v>222152.66</v>
      </c>
      <c r="C623" s="516"/>
      <c r="D623" s="493"/>
      <c r="F623" t="s">
        <v>325</v>
      </c>
      <c r="G623" s="553"/>
      <c r="L623" s="243"/>
    </row>
    <row r="624" spans="1:12" x14ac:dyDescent="0.2">
      <c r="A624" s="516">
        <v>43238</v>
      </c>
      <c r="B624" s="493">
        <v>222153</v>
      </c>
      <c r="C624" s="516"/>
      <c r="D624" s="493"/>
      <c r="F624" t="s">
        <v>349</v>
      </c>
      <c r="G624" s="553">
        <v>248821.26</v>
      </c>
      <c r="L624" s="243"/>
    </row>
    <row r="625" spans="1:12" x14ac:dyDescent="0.2">
      <c r="A625" s="516">
        <v>43241</v>
      </c>
      <c r="B625" s="493">
        <v>222153</v>
      </c>
      <c r="C625" s="516"/>
      <c r="D625" s="493"/>
      <c r="F625" t="s">
        <v>350</v>
      </c>
      <c r="G625" s="553">
        <v>2000</v>
      </c>
      <c r="L625" s="243"/>
    </row>
    <row r="626" spans="1:12" x14ac:dyDescent="0.2">
      <c r="A626" s="516">
        <v>43242</v>
      </c>
      <c r="B626" s="493">
        <v>222153</v>
      </c>
      <c r="C626" s="516"/>
      <c r="D626" s="493"/>
      <c r="F626" t="s">
        <v>356</v>
      </c>
      <c r="G626" s="553">
        <f>51000+19000</f>
        <v>70000</v>
      </c>
      <c r="L626" s="243"/>
    </row>
    <row r="627" spans="1:12" x14ac:dyDescent="0.2">
      <c r="A627" s="516">
        <v>43243</v>
      </c>
      <c r="B627" s="493">
        <v>222152</v>
      </c>
      <c r="C627" s="516"/>
      <c r="D627" s="493"/>
      <c r="E627" t="s">
        <v>352</v>
      </c>
      <c r="G627" s="553">
        <f>SUM(G620:G626)</f>
        <v>1350330.75</v>
      </c>
      <c r="L627" s="243"/>
    </row>
    <row r="628" spans="1:12" x14ac:dyDescent="0.2">
      <c r="A628" s="516">
        <v>43244</v>
      </c>
      <c r="B628" s="493">
        <v>211720.43</v>
      </c>
      <c r="C628" s="516"/>
      <c r="D628" s="493"/>
      <c r="G628" s="553"/>
    </row>
    <row r="629" spans="1:12" x14ac:dyDescent="0.2">
      <c r="A629" s="516">
        <v>43245</v>
      </c>
      <c r="B629" s="493">
        <v>211720</v>
      </c>
      <c r="C629" s="516"/>
      <c r="D629" s="493"/>
      <c r="E629" t="s">
        <v>353</v>
      </c>
      <c r="G629" s="553">
        <f>AVERAGE(G561:G573)</f>
        <v>264939.10923076922</v>
      </c>
    </row>
    <row r="630" spans="1:12" x14ac:dyDescent="0.2">
      <c r="A630" s="516">
        <v>43248</v>
      </c>
      <c r="B630" s="493">
        <v>211720</v>
      </c>
      <c r="C630" s="516"/>
      <c r="D630" s="493"/>
      <c r="G630" s="553"/>
    </row>
    <row r="631" spans="1:12" x14ac:dyDescent="0.2">
      <c r="A631" s="516">
        <v>43249</v>
      </c>
      <c r="B631" s="493">
        <v>176327.95</v>
      </c>
      <c r="C631" s="516"/>
      <c r="D631" s="493"/>
      <c r="E631" t="s">
        <v>354</v>
      </c>
      <c r="G631" s="554">
        <f>G627/G629</f>
        <v>5.0967588511963511</v>
      </c>
    </row>
    <row r="632" spans="1:12" x14ac:dyDescent="0.2">
      <c r="A632" s="516">
        <v>43250</v>
      </c>
      <c r="B632" s="493">
        <v>176328</v>
      </c>
      <c r="C632" s="516"/>
      <c r="D632" s="493"/>
      <c r="G632" s="553"/>
    </row>
    <row r="633" spans="1:12" x14ac:dyDescent="0.2">
      <c r="A633" s="516">
        <v>43251</v>
      </c>
      <c r="B633" s="493">
        <v>169004.5</v>
      </c>
      <c r="C633" s="516"/>
      <c r="D633" s="493"/>
      <c r="E633" t="s">
        <v>355</v>
      </c>
      <c r="G633" s="553">
        <v>365</v>
      </c>
    </row>
    <row r="634" spans="1:12" x14ac:dyDescent="0.2">
      <c r="A634" s="516">
        <v>43252</v>
      </c>
      <c r="B634" s="493">
        <v>261992.26</v>
      </c>
      <c r="C634" s="516"/>
      <c r="D634" s="493"/>
      <c r="G634" s="553">
        <f>G633/G631</f>
        <v>71.614139624111189</v>
      </c>
    </row>
    <row r="635" spans="1:12" x14ac:dyDescent="0.2">
      <c r="A635" s="516">
        <v>43255</v>
      </c>
      <c r="B635" s="493">
        <v>270521.09000000003</v>
      </c>
      <c r="C635" s="516"/>
      <c r="D635" s="493"/>
    </row>
    <row r="636" spans="1:12" x14ac:dyDescent="0.2">
      <c r="A636" s="516">
        <v>43256</v>
      </c>
      <c r="B636" s="493">
        <v>285365.09000000003</v>
      </c>
      <c r="C636" s="516"/>
      <c r="D636" s="493"/>
    </row>
    <row r="637" spans="1:12" x14ac:dyDescent="0.2">
      <c r="A637" s="516">
        <v>43257</v>
      </c>
      <c r="B637" s="493">
        <v>285365</v>
      </c>
      <c r="C637" s="516"/>
      <c r="D637" s="493"/>
    </row>
    <row r="638" spans="1:12" x14ac:dyDescent="0.2">
      <c r="A638" s="516">
        <v>43258</v>
      </c>
      <c r="B638" s="493">
        <v>287246.65999999997</v>
      </c>
      <c r="C638" s="516"/>
      <c r="D638" s="493"/>
    </row>
    <row r="639" spans="1:12" x14ac:dyDescent="0.2">
      <c r="A639" s="516">
        <v>43259</v>
      </c>
      <c r="B639" s="493">
        <v>287247</v>
      </c>
      <c r="C639" s="516"/>
      <c r="D639" s="493"/>
    </row>
    <row r="640" spans="1:12" x14ac:dyDescent="0.2">
      <c r="A640" s="516">
        <v>43262</v>
      </c>
      <c r="B640" s="493">
        <v>287247</v>
      </c>
      <c r="C640" s="516"/>
      <c r="D640" s="493"/>
    </row>
    <row r="641" spans="1:4" x14ac:dyDescent="0.2">
      <c r="A641" s="516">
        <v>43263</v>
      </c>
      <c r="B641" s="493">
        <v>253042.79</v>
      </c>
      <c r="C641" s="516"/>
      <c r="D641" s="493"/>
    </row>
    <row r="642" spans="1:4" x14ac:dyDescent="0.2">
      <c r="A642" s="516">
        <v>43264</v>
      </c>
      <c r="B642" s="493">
        <v>253043</v>
      </c>
      <c r="C642" s="516"/>
      <c r="D642" s="493"/>
    </row>
    <row r="643" spans="1:4" x14ac:dyDescent="0.2">
      <c r="A643" s="516">
        <v>43265</v>
      </c>
      <c r="B643" s="493">
        <v>246521.36</v>
      </c>
      <c r="C643" s="516"/>
      <c r="D643" s="493"/>
    </row>
    <row r="644" spans="1:4" x14ac:dyDescent="0.2">
      <c r="A644" s="516">
        <v>43266</v>
      </c>
      <c r="B644" s="493">
        <v>246593.56</v>
      </c>
      <c r="C644" s="516"/>
      <c r="D644" s="493"/>
    </row>
    <row r="645" spans="1:4" x14ac:dyDescent="0.2">
      <c r="A645" s="516">
        <v>43269</v>
      </c>
      <c r="B645" s="493">
        <v>246594</v>
      </c>
      <c r="C645" s="516"/>
      <c r="D645" s="493"/>
    </row>
    <row r="646" spans="1:4" x14ac:dyDescent="0.2">
      <c r="A646" s="516">
        <v>43270</v>
      </c>
      <c r="B646" s="493">
        <v>246594</v>
      </c>
      <c r="C646" s="516"/>
      <c r="D646" s="493"/>
    </row>
    <row r="647" spans="1:4" x14ac:dyDescent="0.2">
      <c r="A647" s="516">
        <v>43271</v>
      </c>
      <c r="B647" s="493">
        <v>246594</v>
      </c>
      <c r="C647" s="516"/>
      <c r="D647" s="493"/>
    </row>
    <row r="648" spans="1:4" x14ac:dyDescent="0.2">
      <c r="A648" s="516">
        <v>43272</v>
      </c>
      <c r="B648" s="493">
        <v>228395.48</v>
      </c>
      <c r="C648" s="516"/>
      <c r="D648" s="493"/>
    </row>
    <row r="649" spans="1:4" x14ac:dyDescent="0.2">
      <c r="A649" s="516">
        <v>43273</v>
      </c>
      <c r="B649" s="493">
        <v>228395</v>
      </c>
      <c r="C649" s="516"/>
      <c r="D649" s="493"/>
    </row>
    <row r="650" spans="1:4" x14ac:dyDescent="0.2">
      <c r="A650" s="516">
        <v>43276</v>
      </c>
      <c r="B650" s="493">
        <v>192627.9</v>
      </c>
      <c r="C650" s="516"/>
      <c r="D650" s="493"/>
    </row>
    <row r="651" spans="1:4" x14ac:dyDescent="0.2">
      <c r="A651" s="516">
        <v>43277</v>
      </c>
      <c r="B651" s="493">
        <v>192628</v>
      </c>
      <c r="C651" s="516"/>
      <c r="D651" s="493"/>
    </row>
    <row r="652" spans="1:4" x14ac:dyDescent="0.2">
      <c r="A652" s="516">
        <v>43278</v>
      </c>
      <c r="B652" s="493">
        <v>192628</v>
      </c>
      <c r="C652" s="516"/>
      <c r="D652" s="493"/>
    </row>
    <row r="653" spans="1:4" x14ac:dyDescent="0.2">
      <c r="A653" s="516">
        <v>43279</v>
      </c>
      <c r="B653" s="493">
        <v>193904.61</v>
      </c>
      <c r="C653" s="516"/>
      <c r="D653" s="493"/>
    </row>
    <row r="654" spans="1:4" x14ac:dyDescent="0.2">
      <c r="A654" s="516">
        <v>43280</v>
      </c>
      <c r="B654" s="493">
        <v>195328.48</v>
      </c>
      <c r="C654" s="516"/>
      <c r="D654" s="493"/>
    </row>
    <row r="655" spans="1:4" x14ac:dyDescent="0.2">
      <c r="A655" s="516">
        <v>43283</v>
      </c>
      <c r="B655" s="493">
        <v>199304.09</v>
      </c>
      <c r="C655" s="516"/>
      <c r="D655" s="493"/>
    </row>
    <row r="656" spans="1:4" x14ac:dyDescent="0.2">
      <c r="A656" s="516">
        <v>43284</v>
      </c>
      <c r="B656" s="493">
        <v>201071.11</v>
      </c>
      <c r="C656" s="516"/>
      <c r="D656" s="493"/>
    </row>
    <row r="657" spans="1:4" x14ac:dyDescent="0.2">
      <c r="A657" s="516">
        <v>43285</v>
      </c>
      <c r="B657" s="493">
        <v>201071</v>
      </c>
      <c r="C657" s="516"/>
      <c r="D657" s="493"/>
    </row>
    <row r="658" spans="1:4" x14ac:dyDescent="0.2">
      <c r="A658" s="516">
        <v>43286</v>
      </c>
      <c r="B658" s="493">
        <v>223298.16</v>
      </c>
      <c r="C658" s="516"/>
      <c r="D658" s="493"/>
    </row>
    <row r="659" spans="1:4" x14ac:dyDescent="0.2">
      <c r="A659" s="516">
        <v>43287</v>
      </c>
      <c r="B659" s="493">
        <v>238962.66</v>
      </c>
      <c r="C659" s="516"/>
      <c r="D659" s="493"/>
    </row>
    <row r="660" spans="1:4" x14ac:dyDescent="0.2">
      <c r="A660" s="516">
        <v>43290</v>
      </c>
      <c r="B660" s="493">
        <v>203086.22</v>
      </c>
      <c r="C660" s="516"/>
      <c r="D660" s="493"/>
    </row>
    <row r="661" spans="1:4" x14ac:dyDescent="0.2">
      <c r="A661" s="516">
        <v>43291</v>
      </c>
      <c r="B661" s="493">
        <v>226930.31</v>
      </c>
      <c r="C661" s="516"/>
      <c r="D661" s="493"/>
    </row>
    <row r="662" spans="1:4" x14ac:dyDescent="0.2">
      <c r="A662" s="516">
        <v>43292</v>
      </c>
      <c r="B662" s="493">
        <v>226930</v>
      </c>
      <c r="C662" s="516"/>
      <c r="D662" s="493"/>
    </row>
    <row r="663" spans="1:4" x14ac:dyDescent="0.2">
      <c r="A663" s="516">
        <v>43293</v>
      </c>
      <c r="B663" s="493">
        <v>220822.05</v>
      </c>
      <c r="C663" s="516"/>
      <c r="D663" s="493"/>
    </row>
    <row r="664" spans="1:4" x14ac:dyDescent="0.2">
      <c r="A664" s="516">
        <v>43294</v>
      </c>
      <c r="B664" s="493">
        <v>220986.35</v>
      </c>
      <c r="C664" s="516"/>
      <c r="D664" s="493"/>
    </row>
    <row r="665" spans="1:4" x14ac:dyDescent="0.2">
      <c r="A665" s="516">
        <v>43297</v>
      </c>
      <c r="B665" s="493">
        <v>220986</v>
      </c>
      <c r="C665" s="516"/>
      <c r="D665" s="493"/>
    </row>
    <row r="666" spans="1:4" x14ac:dyDescent="0.2">
      <c r="A666" s="516">
        <v>43298</v>
      </c>
      <c r="B666" s="493">
        <v>220986</v>
      </c>
      <c r="C666" s="516"/>
      <c r="D666" s="493"/>
    </row>
    <row r="667" spans="1:4" x14ac:dyDescent="0.2">
      <c r="A667" s="516">
        <v>43299</v>
      </c>
      <c r="B667" s="493">
        <v>197995.27</v>
      </c>
      <c r="C667" s="516"/>
      <c r="D667" s="493"/>
    </row>
    <row r="668" spans="1:4" x14ac:dyDescent="0.2">
      <c r="A668" s="516">
        <v>43300</v>
      </c>
      <c r="B668" s="493">
        <v>202931.61</v>
      </c>
      <c r="C668" s="516"/>
      <c r="D668" s="493"/>
    </row>
    <row r="669" spans="1:4" x14ac:dyDescent="0.2">
      <c r="A669" s="516">
        <v>43301</v>
      </c>
      <c r="B669" s="493">
        <v>202932</v>
      </c>
      <c r="C669" s="516"/>
      <c r="D669" s="493"/>
    </row>
    <row r="670" spans="1:4" x14ac:dyDescent="0.2">
      <c r="A670" s="516">
        <v>43304</v>
      </c>
      <c r="B670" s="493">
        <v>167839.6</v>
      </c>
      <c r="C670" s="516"/>
      <c r="D670" s="493"/>
    </row>
    <row r="671" spans="1:4" x14ac:dyDescent="0.2">
      <c r="A671" s="516">
        <v>43305</v>
      </c>
      <c r="B671" s="493">
        <v>167840</v>
      </c>
      <c r="C671" s="516"/>
      <c r="D671" s="493"/>
    </row>
    <row r="672" spans="1:4" x14ac:dyDescent="0.2">
      <c r="A672" s="516">
        <v>43306</v>
      </c>
      <c r="B672" s="493">
        <v>167840</v>
      </c>
      <c r="C672" s="516"/>
      <c r="D672" s="493"/>
    </row>
    <row r="673" spans="1:4" x14ac:dyDescent="0.2">
      <c r="A673" s="516">
        <v>43307</v>
      </c>
      <c r="B673" s="493">
        <v>180485.58</v>
      </c>
      <c r="C673" s="516"/>
      <c r="D673" s="493"/>
    </row>
    <row r="674" spans="1:4" x14ac:dyDescent="0.2">
      <c r="A674" s="516">
        <v>43308</v>
      </c>
      <c r="B674" s="493">
        <v>205676.09</v>
      </c>
      <c r="C674" s="516"/>
      <c r="D674" s="493"/>
    </row>
    <row r="675" spans="1:4" x14ac:dyDescent="0.2">
      <c r="A675" s="516">
        <v>43311</v>
      </c>
      <c r="B675" s="493">
        <v>199229.46</v>
      </c>
      <c r="C675" s="516"/>
      <c r="D675" s="493"/>
    </row>
    <row r="676" spans="1:4" x14ac:dyDescent="0.2">
      <c r="A676" s="516">
        <v>43312</v>
      </c>
      <c r="B676" s="493">
        <v>199612.46</v>
      </c>
      <c r="C676" s="516"/>
      <c r="D676" s="493"/>
    </row>
    <row r="677" spans="1:4" x14ac:dyDescent="0.2">
      <c r="A677" s="516">
        <v>43313</v>
      </c>
      <c r="B677" s="493">
        <v>327321.84000000003</v>
      </c>
      <c r="C677" s="516"/>
      <c r="D677" s="493"/>
    </row>
    <row r="678" spans="1:4" x14ac:dyDescent="0.2">
      <c r="A678" s="516">
        <v>43314</v>
      </c>
      <c r="B678" s="493">
        <v>328551.67</v>
      </c>
      <c r="C678" s="516"/>
      <c r="D678" s="493"/>
    </row>
    <row r="679" spans="1:4" x14ac:dyDescent="0.2">
      <c r="A679" s="516">
        <v>43315</v>
      </c>
      <c r="B679" s="493">
        <v>328552</v>
      </c>
      <c r="C679" s="516"/>
      <c r="D679" s="493"/>
    </row>
    <row r="680" spans="1:4" x14ac:dyDescent="0.2">
      <c r="A680" s="516">
        <v>43318</v>
      </c>
      <c r="B680" s="493">
        <v>293600.95</v>
      </c>
      <c r="C680" s="516"/>
      <c r="D680" s="493"/>
    </row>
    <row r="681" spans="1:4" x14ac:dyDescent="0.2">
      <c r="A681" s="516">
        <v>43319</v>
      </c>
      <c r="B681" s="493">
        <v>298153.56</v>
      </c>
      <c r="C681" s="516"/>
      <c r="D681" s="493"/>
    </row>
    <row r="682" spans="1:4" x14ac:dyDescent="0.2">
      <c r="A682" s="516">
        <v>43320</v>
      </c>
      <c r="B682" s="493">
        <v>298154</v>
      </c>
      <c r="C682" s="516"/>
      <c r="D682" s="493"/>
    </row>
    <row r="683" spans="1:4" x14ac:dyDescent="0.2">
      <c r="A683" s="516">
        <v>43321</v>
      </c>
      <c r="B683" s="493">
        <v>294180.65999999997</v>
      </c>
      <c r="C683" s="516"/>
      <c r="D683" s="493"/>
    </row>
    <row r="684" spans="1:4" x14ac:dyDescent="0.2">
      <c r="A684" s="516">
        <v>43322</v>
      </c>
      <c r="B684" s="493">
        <v>294181</v>
      </c>
      <c r="C684" s="516"/>
      <c r="D684" s="493"/>
    </row>
    <row r="685" spans="1:4" x14ac:dyDescent="0.2">
      <c r="A685" s="516">
        <v>43325</v>
      </c>
      <c r="B685" s="493">
        <v>294679.65999999997</v>
      </c>
      <c r="C685" s="516"/>
      <c r="D685" s="493"/>
    </row>
    <row r="686" spans="1:4" x14ac:dyDescent="0.2">
      <c r="A686" s="516">
        <v>43326</v>
      </c>
      <c r="B686" s="493">
        <v>294680</v>
      </c>
      <c r="C686" s="516"/>
      <c r="D686" s="493"/>
    </row>
    <row r="687" spans="1:4" x14ac:dyDescent="0.2">
      <c r="A687" s="516">
        <v>43327</v>
      </c>
      <c r="B687" s="493">
        <v>294761.65000000002</v>
      </c>
      <c r="C687" s="516"/>
      <c r="D687" s="493"/>
    </row>
    <row r="688" spans="1:4" x14ac:dyDescent="0.2">
      <c r="A688" s="516">
        <v>43328</v>
      </c>
      <c r="B688" s="493">
        <v>290632.52</v>
      </c>
      <c r="C688" s="516"/>
      <c r="D688" s="493"/>
    </row>
    <row r="689" spans="1:4" x14ac:dyDescent="0.2">
      <c r="A689" s="516">
        <v>43329</v>
      </c>
      <c r="B689" s="493">
        <v>290633</v>
      </c>
      <c r="C689" s="516"/>
      <c r="D689" s="493"/>
    </row>
    <row r="690" spans="1:4" x14ac:dyDescent="0.2">
      <c r="A690" s="516">
        <v>43332</v>
      </c>
      <c r="B690" s="493">
        <v>254427.11</v>
      </c>
      <c r="C690" s="516"/>
      <c r="D690" s="493"/>
    </row>
    <row r="691" spans="1:4" x14ac:dyDescent="0.2">
      <c r="A691" s="516">
        <v>43333</v>
      </c>
      <c r="B691" s="493">
        <v>255823.93</v>
      </c>
      <c r="C691" s="516"/>
      <c r="D691" s="493"/>
    </row>
    <row r="692" spans="1:4" x14ac:dyDescent="0.2">
      <c r="A692" s="516">
        <v>43334</v>
      </c>
      <c r="B692" s="493">
        <v>255419.13</v>
      </c>
      <c r="C692" s="516"/>
      <c r="D692" s="493"/>
    </row>
    <row r="693" spans="1:4" x14ac:dyDescent="0.2">
      <c r="A693" s="516">
        <v>43335</v>
      </c>
      <c r="B693" s="493">
        <v>272759.37</v>
      </c>
      <c r="C693" s="516"/>
      <c r="D693" s="493"/>
    </row>
    <row r="694" spans="1:4" x14ac:dyDescent="0.2">
      <c r="A694" s="516">
        <v>43336</v>
      </c>
      <c r="B694" s="493">
        <v>272846.37</v>
      </c>
      <c r="C694" s="516"/>
      <c r="D694" s="493"/>
    </row>
    <row r="695" spans="1:4" x14ac:dyDescent="0.2">
      <c r="A695" s="516">
        <v>43339</v>
      </c>
      <c r="B695" s="493">
        <v>272846</v>
      </c>
      <c r="C695" s="516"/>
      <c r="D695" s="493"/>
    </row>
    <row r="696" spans="1:4" x14ac:dyDescent="0.2">
      <c r="A696" s="516">
        <v>43340</v>
      </c>
      <c r="B696" s="493">
        <v>272846</v>
      </c>
      <c r="C696" s="516"/>
      <c r="D696" s="493"/>
    </row>
    <row r="697" spans="1:4" x14ac:dyDescent="0.2">
      <c r="A697" s="516">
        <v>43341</v>
      </c>
      <c r="B697" s="493">
        <v>276622.58</v>
      </c>
      <c r="C697" s="516"/>
      <c r="D697" s="493"/>
    </row>
    <row r="698" spans="1:4" x14ac:dyDescent="0.2">
      <c r="A698" s="516">
        <v>43342</v>
      </c>
      <c r="B698" s="493">
        <v>276623</v>
      </c>
      <c r="C698" s="516"/>
      <c r="D698" s="493"/>
    </row>
    <row r="699" spans="1:4" x14ac:dyDescent="0.2">
      <c r="A699" s="516">
        <v>43343</v>
      </c>
      <c r="B699" s="493">
        <v>276773.33</v>
      </c>
      <c r="C699" s="516"/>
      <c r="D699" s="493"/>
    </row>
    <row r="700" spans="1:4" x14ac:dyDescent="0.2">
      <c r="A700" s="516">
        <v>43346</v>
      </c>
      <c r="B700" s="493">
        <v>276773</v>
      </c>
      <c r="C700" s="516"/>
      <c r="D700" s="493"/>
    </row>
    <row r="701" spans="1:4" x14ac:dyDescent="0.2">
      <c r="A701" s="516">
        <v>43347</v>
      </c>
      <c r="B701" s="493">
        <v>240090.56</v>
      </c>
      <c r="C701" s="516"/>
      <c r="D701" s="493"/>
    </row>
    <row r="702" spans="1:4" x14ac:dyDescent="0.2">
      <c r="A702" s="516">
        <v>43348</v>
      </c>
      <c r="B702" s="493">
        <v>240091</v>
      </c>
      <c r="C702" s="516"/>
      <c r="D702" s="493"/>
    </row>
    <row r="703" spans="1:4" x14ac:dyDescent="0.2">
      <c r="A703" s="516">
        <v>43349</v>
      </c>
      <c r="B703" s="493">
        <v>237779.31</v>
      </c>
      <c r="C703" s="516"/>
      <c r="D703" s="493"/>
    </row>
    <row r="704" spans="1:4" x14ac:dyDescent="0.2">
      <c r="A704" s="516">
        <v>43350</v>
      </c>
      <c r="B704" s="493">
        <v>237779</v>
      </c>
      <c r="C704" s="516"/>
      <c r="D704" s="493"/>
    </row>
    <row r="705" spans="1:4" x14ac:dyDescent="0.2">
      <c r="A705" s="516">
        <v>43353</v>
      </c>
      <c r="B705" s="493">
        <v>243552.34</v>
      </c>
      <c r="C705" s="516"/>
      <c r="D705" s="493"/>
    </row>
    <row r="706" spans="1:4" x14ac:dyDescent="0.2">
      <c r="A706" s="516">
        <v>43354</v>
      </c>
      <c r="B706" s="493">
        <v>243552</v>
      </c>
      <c r="C706" s="516"/>
      <c r="D706" s="493"/>
    </row>
    <row r="707" spans="1:4" x14ac:dyDescent="0.2">
      <c r="A707" s="516">
        <v>43355</v>
      </c>
      <c r="B707" s="493">
        <v>243552</v>
      </c>
      <c r="C707" s="516"/>
      <c r="D707" s="493"/>
    </row>
    <row r="708" spans="1:4" x14ac:dyDescent="0.2">
      <c r="A708" s="516">
        <v>43356</v>
      </c>
      <c r="B708" s="493">
        <v>266009.96000000002</v>
      </c>
      <c r="C708" s="516"/>
      <c r="D708" s="493"/>
    </row>
    <row r="709" spans="1:4" x14ac:dyDescent="0.2">
      <c r="A709" s="516">
        <v>43357</v>
      </c>
      <c r="B709" s="493">
        <v>266087.59999999998</v>
      </c>
      <c r="C709" s="516"/>
      <c r="D709" s="493"/>
    </row>
    <row r="710" spans="1:4" x14ac:dyDescent="0.2">
      <c r="A710" s="516">
        <v>43360</v>
      </c>
      <c r="B710" s="493">
        <v>229939.6</v>
      </c>
      <c r="C710" s="516"/>
      <c r="D710" s="493"/>
    </row>
    <row r="711" spans="1:4" x14ac:dyDescent="0.2">
      <c r="A711" s="516">
        <v>43361</v>
      </c>
      <c r="B711" s="493">
        <v>229940</v>
      </c>
      <c r="C711" s="516"/>
      <c r="D711" s="493"/>
    </row>
    <row r="712" spans="1:4" x14ac:dyDescent="0.2">
      <c r="A712" s="516">
        <v>43362</v>
      </c>
      <c r="B712" s="493">
        <v>229940</v>
      </c>
      <c r="C712" s="516"/>
      <c r="D712" s="493"/>
    </row>
    <row r="713" spans="1:4" x14ac:dyDescent="0.2">
      <c r="A713" s="516">
        <v>43363</v>
      </c>
      <c r="B713" s="493">
        <v>226983.82</v>
      </c>
      <c r="C713" s="516"/>
      <c r="D713" s="493"/>
    </row>
    <row r="714" spans="1:4" x14ac:dyDescent="0.2">
      <c r="A714" s="516">
        <v>43364</v>
      </c>
      <c r="B714" s="493">
        <v>226983.82</v>
      </c>
      <c r="C714" s="516"/>
      <c r="D714" s="493"/>
    </row>
    <row r="715" spans="1:4" x14ac:dyDescent="0.2">
      <c r="A715" s="516">
        <v>43367</v>
      </c>
      <c r="B715" s="493">
        <v>231167.41</v>
      </c>
      <c r="C715" s="516"/>
      <c r="D715" s="493"/>
    </row>
    <row r="716" spans="1:4" x14ac:dyDescent="0.2">
      <c r="A716" s="516">
        <v>43368</v>
      </c>
      <c r="B716" s="493">
        <v>231298.26</v>
      </c>
      <c r="C716" s="516"/>
      <c r="D716" s="493"/>
    </row>
    <row r="717" spans="1:4" x14ac:dyDescent="0.2">
      <c r="A717" s="516">
        <v>43369</v>
      </c>
      <c r="B717" s="493">
        <v>231298</v>
      </c>
      <c r="C717" s="516"/>
      <c r="D717" s="493"/>
    </row>
    <row r="718" spans="1:4" x14ac:dyDescent="0.2">
      <c r="A718" s="516">
        <v>43370</v>
      </c>
      <c r="B718" s="493">
        <v>218195.44</v>
      </c>
      <c r="C718" s="516"/>
      <c r="D718" s="493"/>
    </row>
    <row r="719" spans="1:4" x14ac:dyDescent="0.2">
      <c r="A719" s="516">
        <v>43371</v>
      </c>
      <c r="B719" s="493">
        <v>218195</v>
      </c>
      <c r="C719" s="516"/>
      <c r="D719" s="493"/>
    </row>
    <row r="720" spans="1:4" x14ac:dyDescent="0.2">
      <c r="A720" s="516">
        <v>43374</v>
      </c>
      <c r="B720" s="493">
        <v>181738.47</v>
      </c>
      <c r="C720" s="516"/>
      <c r="D720" s="493"/>
    </row>
    <row r="721" spans="1:4" x14ac:dyDescent="0.2">
      <c r="A721" s="516">
        <v>43375</v>
      </c>
      <c r="B721" s="493">
        <v>175674.86</v>
      </c>
      <c r="C721" s="516"/>
      <c r="D721" s="493"/>
    </row>
    <row r="722" spans="1:4" x14ac:dyDescent="0.2">
      <c r="A722" s="516">
        <v>43376</v>
      </c>
      <c r="B722" s="493">
        <v>175890.11</v>
      </c>
      <c r="C722" s="516"/>
      <c r="D722" s="493"/>
    </row>
    <row r="723" spans="1:4" x14ac:dyDescent="0.2">
      <c r="A723" s="516">
        <v>43377</v>
      </c>
      <c r="B723" s="493">
        <v>176908.84</v>
      </c>
      <c r="C723" s="516"/>
      <c r="D723" s="493"/>
    </row>
    <row r="724" spans="1:4" x14ac:dyDescent="0.2">
      <c r="A724" s="516">
        <v>43378</v>
      </c>
      <c r="B724" s="493">
        <v>176909</v>
      </c>
      <c r="C724" s="516"/>
      <c r="D724" s="493"/>
    </row>
    <row r="725" spans="1:4" x14ac:dyDescent="0.2">
      <c r="A725" s="516">
        <v>43381</v>
      </c>
      <c r="B725" s="493">
        <v>176909</v>
      </c>
      <c r="C725" s="516"/>
      <c r="D725" s="493"/>
    </row>
    <row r="726" spans="1:4" x14ac:dyDescent="0.2">
      <c r="A726" s="516">
        <v>43382</v>
      </c>
      <c r="B726" s="493">
        <v>226038.22</v>
      </c>
      <c r="C726" s="516"/>
      <c r="D726" s="493"/>
    </row>
    <row r="727" spans="1:4" x14ac:dyDescent="0.2">
      <c r="A727" s="516">
        <v>43383</v>
      </c>
      <c r="B727" s="493">
        <v>226038</v>
      </c>
      <c r="C727" s="516"/>
      <c r="D727" s="493"/>
    </row>
    <row r="728" spans="1:4" x14ac:dyDescent="0.2">
      <c r="A728" s="516">
        <v>43384</v>
      </c>
      <c r="B728" s="493">
        <v>223293.31</v>
      </c>
      <c r="C728" s="516"/>
      <c r="D728" s="493"/>
    </row>
    <row r="729" spans="1:4" x14ac:dyDescent="0.2">
      <c r="A729" s="516">
        <v>43385</v>
      </c>
      <c r="B729" s="493">
        <v>272327.27</v>
      </c>
      <c r="C729" s="516"/>
      <c r="D729" s="493"/>
    </row>
    <row r="730" spans="1:4" x14ac:dyDescent="0.2">
      <c r="A730" s="516">
        <v>43388</v>
      </c>
      <c r="B730" s="493">
        <v>236397.34</v>
      </c>
      <c r="C730" s="516"/>
      <c r="D730" s="493"/>
    </row>
    <row r="731" spans="1:4" x14ac:dyDescent="0.2">
      <c r="A731" s="516">
        <v>43389</v>
      </c>
      <c r="B731" s="493">
        <v>236553.84</v>
      </c>
      <c r="C731" s="516"/>
      <c r="D731" s="493"/>
    </row>
    <row r="732" spans="1:4" x14ac:dyDescent="0.2">
      <c r="A732" s="516">
        <v>43390</v>
      </c>
      <c r="B732" s="493">
        <v>249133.92</v>
      </c>
      <c r="C732" s="516"/>
      <c r="D732" s="493"/>
    </row>
    <row r="733" spans="1:4" x14ac:dyDescent="0.2">
      <c r="A733" s="516">
        <v>43391</v>
      </c>
      <c r="B733" s="493">
        <v>254043.68</v>
      </c>
      <c r="C733" s="516"/>
      <c r="D733" s="493"/>
    </row>
    <row r="734" spans="1:4" x14ac:dyDescent="0.2">
      <c r="A734" s="516">
        <v>43392</v>
      </c>
      <c r="B734" s="493">
        <v>254064.5</v>
      </c>
      <c r="C734" s="516"/>
      <c r="D734" s="493"/>
    </row>
    <row r="735" spans="1:4" x14ac:dyDescent="0.2">
      <c r="A735" s="516">
        <v>43395</v>
      </c>
      <c r="B735" s="493">
        <v>290142.09999999998</v>
      </c>
      <c r="C735" s="516"/>
      <c r="D735" s="493"/>
    </row>
    <row r="736" spans="1:4" x14ac:dyDescent="0.2">
      <c r="A736" s="516">
        <v>43396</v>
      </c>
      <c r="B736" s="493">
        <v>290142</v>
      </c>
      <c r="C736" s="516"/>
      <c r="D736" s="493"/>
    </row>
    <row r="737" spans="1:4" x14ac:dyDescent="0.2">
      <c r="A737" s="516">
        <v>43397</v>
      </c>
      <c r="B737" s="493">
        <v>290034.38</v>
      </c>
      <c r="C737" s="516"/>
      <c r="D737" s="493"/>
    </row>
    <row r="738" spans="1:4" x14ac:dyDescent="0.2">
      <c r="A738" s="516">
        <v>43398</v>
      </c>
      <c r="B738" s="493">
        <v>291747.36</v>
      </c>
      <c r="C738" s="516"/>
      <c r="D738" s="493"/>
    </row>
    <row r="739" spans="1:4" x14ac:dyDescent="0.2">
      <c r="A739" s="516">
        <v>43399</v>
      </c>
      <c r="B739" s="493">
        <v>306637.48</v>
      </c>
      <c r="C739" s="516"/>
      <c r="D739" s="493"/>
    </row>
    <row r="740" spans="1:4" x14ac:dyDescent="0.2">
      <c r="A740" s="516">
        <v>43402</v>
      </c>
      <c r="B740" s="493">
        <v>270401.28999999998</v>
      </c>
      <c r="C740" s="516"/>
      <c r="D740" s="493"/>
    </row>
    <row r="741" spans="1:4" x14ac:dyDescent="0.2">
      <c r="A741" s="516">
        <v>43403</v>
      </c>
      <c r="B741" s="493">
        <v>278028.58</v>
      </c>
      <c r="C741" s="516"/>
      <c r="D741" s="493"/>
    </row>
    <row r="742" spans="1:4" x14ac:dyDescent="0.2">
      <c r="A742" s="516">
        <v>43404</v>
      </c>
      <c r="B742" s="493">
        <v>278029</v>
      </c>
      <c r="C742" s="516"/>
      <c r="D742" s="493"/>
    </row>
    <row r="743" spans="1:4" x14ac:dyDescent="0.2">
      <c r="A743" s="516">
        <v>43405</v>
      </c>
      <c r="B743" s="493">
        <v>279523.53000000003</v>
      </c>
      <c r="C743" s="516"/>
      <c r="D743" s="493"/>
    </row>
    <row r="744" spans="1:4" x14ac:dyDescent="0.2">
      <c r="A744" s="516">
        <v>43406</v>
      </c>
      <c r="B744" s="493">
        <v>303100.06</v>
      </c>
      <c r="C744" s="516"/>
      <c r="D744" s="493"/>
    </row>
    <row r="745" spans="1:4" x14ac:dyDescent="0.2">
      <c r="A745" s="516">
        <v>43409</v>
      </c>
      <c r="B745" s="493">
        <v>303100.06</v>
      </c>
      <c r="C745" s="516"/>
      <c r="D745" s="493"/>
    </row>
    <row r="746" spans="1:4" x14ac:dyDescent="0.2">
      <c r="A746" s="516">
        <v>43410</v>
      </c>
      <c r="B746" s="493">
        <v>303100.06</v>
      </c>
      <c r="C746" s="516"/>
      <c r="D746" s="493"/>
    </row>
    <row r="747" spans="1:4" x14ac:dyDescent="0.2">
      <c r="A747" s="516">
        <v>43411</v>
      </c>
      <c r="B747" s="493">
        <v>303954.14</v>
      </c>
      <c r="C747" s="516"/>
      <c r="D747" s="493"/>
    </row>
    <row r="748" spans="1:4" x14ac:dyDescent="0.2">
      <c r="A748" s="516">
        <v>43412</v>
      </c>
      <c r="B748" s="493">
        <v>294843.14</v>
      </c>
      <c r="C748" s="516"/>
      <c r="D748" s="493"/>
    </row>
    <row r="749" spans="1:4" x14ac:dyDescent="0.2">
      <c r="A749" s="516">
        <v>43413</v>
      </c>
      <c r="B749" s="493">
        <v>294843</v>
      </c>
      <c r="C749" s="516"/>
      <c r="D749" s="493"/>
    </row>
    <row r="750" spans="1:4" x14ac:dyDescent="0.2">
      <c r="A750" s="516">
        <v>43416</v>
      </c>
      <c r="B750" s="493">
        <v>294843</v>
      </c>
      <c r="C750" s="516"/>
      <c r="D750" s="493"/>
    </row>
    <row r="751" spans="1:4" x14ac:dyDescent="0.2">
      <c r="A751" s="516">
        <v>43417</v>
      </c>
      <c r="B751" s="493">
        <v>294843</v>
      </c>
      <c r="C751" s="516"/>
      <c r="D751" s="493"/>
    </row>
    <row r="752" spans="1:4" x14ac:dyDescent="0.2">
      <c r="A752" s="516">
        <v>43418</v>
      </c>
      <c r="B752" s="493">
        <v>259514.47</v>
      </c>
      <c r="C752" s="516"/>
      <c r="D752" s="493"/>
    </row>
    <row r="753" spans="1:4" x14ac:dyDescent="0.2">
      <c r="A753" s="516">
        <v>43419</v>
      </c>
      <c r="B753" s="493">
        <v>255987.45</v>
      </c>
      <c r="C753" s="516"/>
      <c r="D753" s="493"/>
    </row>
    <row r="754" spans="1:4" x14ac:dyDescent="0.2">
      <c r="A754" s="516">
        <v>43420</v>
      </c>
      <c r="B754" s="493">
        <v>255987.45</v>
      </c>
      <c r="C754" s="516"/>
      <c r="D754" s="493"/>
    </row>
    <row r="755" spans="1:4" x14ac:dyDescent="0.2">
      <c r="A755" s="516">
        <v>43423</v>
      </c>
      <c r="B755" s="493">
        <v>255987.45</v>
      </c>
      <c r="C755" s="516"/>
      <c r="D755" s="493"/>
    </row>
    <row r="756" spans="1:4" x14ac:dyDescent="0.2">
      <c r="A756" s="516">
        <v>43424</v>
      </c>
      <c r="B756" s="493">
        <v>254650.75</v>
      </c>
      <c r="C756" s="516"/>
      <c r="D756" s="493"/>
    </row>
    <row r="757" spans="1:4" x14ac:dyDescent="0.2">
      <c r="A757" s="516">
        <v>43425</v>
      </c>
      <c r="B757" s="493">
        <v>298403.21000000002</v>
      </c>
      <c r="C757" s="516"/>
      <c r="D757" s="493"/>
    </row>
    <row r="758" spans="1:4" x14ac:dyDescent="0.2">
      <c r="A758" s="516">
        <v>43426</v>
      </c>
      <c r="B758" s="493">
        <v>300529.64</v>
      </c>
      <c r="C758" s="516"/>
      <c r="D758" s="493"/>
    </row>
    <row r="759" spans="1:4" x14ac:dyDescent="0.2">
      <c r="A759" s="516">
        <v>43427</v>
      </c>
      <c r="B759" s="493">
        <v>300229.64</v>
      </c>
      <c r="C759" s="516"/>
      <c r="D759" s="493"/>
    </row>
    <row r="760" spans="1:4" x14ac:dyDescent="0.2">
      <c r="A760" s="516">
        <v>43430</v>
      </c>
      <c r="B760" s="493">
        <v>300230</v>
      </c>
      <c r="C760" s="516"/>
      <c r="D760" s="493"/>
    </row>
    <row r="761" spans="1:4" x14ac:dyDescent="0.2">
      <c r="A761" s="516">
        <v>43431</v>
      </c>
      <c r="B761" s="493">
        <v>267674.82</v>
      </c>
      <c r="C761" s="516"/>
      <c r="D761" s="493"/>
    </row>
    <row r="762" spans="1:4" x14ac:dyDescent="0.2">
      <c r="A762" s="516">
        <v>43432</v>
      </c>
      <c r="B762" s="493">
        <v>273448.82</v>
      </c>
      <c r="C762" s="516"/>
      <c r="D762" s="493"/>
    </row>
    <row r="763" spans="1:4" x14ac:dyDescent="0.2">
      <c r="A763" s="516">
        <v>43433</v>
      </c>
      <c r="B763" s="493">
        <v>252527.09</v>
      </c>
      <c r="C763" s="516"/>
      <c r="D763" s="493"/>
    </row>
    <row r="764" spans="1:4" x14ac:dyDescent="0.2">
      <c r="A764" s="516">
        <v>43434</v>
      </c>
      <c r="B764" s="493">
        <v>321968.59000000003</v>
      </c>
      <c r="C764" s="516"/>
      <c r="D764" s="493"/>
    </row>
    <row r="765" spans="1:4" x14ac:dyDescent="0.2">
      <c r="A765" s="516">
        <v>43437</v>
      </c>
      <c r="B765" s="493">
        <v>321969</v>
      </c>
      <c r="C765" s="516"/>
      <c r="D765" s="493"/>
    </row>
    <row r="766" spans="1:4" x14ac:dyDescent="0.2">
      <c r="A766" s="516">
        <v>43438</v>
      </c>
      <c r="B766" s="493">
        <v>321969</v>
      </c>
      <c r="C766" s="516"/>
      <c r="D766" s="493"/>
    </row>
    <row r="767" spans="1:4" x14ac:dyDescent="0.2">
      <c r="A767" s="516">
        <v>43439</v>
      </c>
      <c r="B767" s="493">
        <v>321969</v>
      </c>
      <c r="C767" s="516"/>
      <c r="D767" s="493"/>
    </row>
    <row r="768" spans="1:4" x14ac:dyDescent="0.2">
      <c r="A768" s="516">
        <v>43440</v>
      </c>
      <c r="B768" s="493">
        <v>314251.55</v>
      </c>
      <c r="C768" s="516"/>
      <c r="D768" s="493"/>
    </row>
    <row r="769" spans="1:4" x14ac:dyDescent="0.2">
      <c r="A769" s="516">
        <v>43441</v>
      </c>
      <c r="B769" s="493">
        <v>315739.42</v>
      </c>
      <c r="C769" s="516"/>
      <c r="D769" s="493"/>
    </row>
    <row r="770" spans="1:4" x14ac:dyDescent="0.2">
      <c r="A770" s="516">
        <v>43444</v>
      </c>
      <c r="B770" s="493">
        <v>315739</v>
      </c>
      <c r="C770" s="516"/>
      <c r="D770" s="493"/>
    </row>
    <row r="771" spans="1:4" x14ac:dyDescent="0.2">
      <c r="A771" s="516">
        <v>43445</v>
      </c>
      <c r="B771" s="493">
        <v>275506.94</v>
      </c>
      <c r="C771" s="516"/>
      <c r="D771" s="493"/>
    </row>
    <row r="772" spans="1:4" x14ac:dyDescent="0.2">
      <c r="A772" s="516">
        <v>43446</v>
      </c>
      <c r="B772" s="493">
        <v>275507</v>
      </c>
      <c r="C772" s="516"/>
      <c r="D772" s="493"/>
    </row>
    <row r="773" spans="1:4" x14ac:dyDescent="0.2">
      <c r="A773" s="516">
        <v>43447</v>
      </c>
      <c r="B773" s="493">
        <v>289896.89</v>
      </c>
      <c r="C773" s="516"/>
      <c r="D773" s="493"/>
    </row>
    <row r="774" spans="1:4" x14ac:dyDescent="0.2">
      <c r="A774" s="516">
        <v>43448</v>
      </c>
      <c r="B774" s="493">
        <v>313281.34999999998</v>
      </c>
      <c r="C774" s="516"/>
      <c r="D774" s="493"/>
    </row>
    <row r="775" spans="1:4" x14ac:dyDescent="0.2">
      <c r="A775" s="516">
        <v>43451</v>
      </c>
      <c r="B775" s="493">
        <v>313281</v>
      </c>
      <c r="C775" s="516"/>
      <c r="D775" s="493"/>
    </row>
    <row r="776" spans="1:4" x14ac:dyDescent="0.2">
      <c r="A776" s="516">
        <v>43452</v>
      </c>
      <c r="B776" s="493">
        <v>317556.84999999998</v>
      </c>
      <c r="C776" s="516"/>
      <c r="D776" s="493"/>
    </row>
    <row r="777" spans="1:4" x14ac:dyDescent="0.2">
      <c r="A777" s="516">
        <v>43453</v>
      </c>
      <c r="B777" s="493">
        <v>317557</v>
      </c>
      <c r="C777" s="516"/>
      <c r="D777" s="493"/>
    </row>
    <row r="778" spans="1:4" x14ac:dyDescent="0.2">
      <c r="A778" s="516">
        <v>43454</v>
      </c>
      <c r="B778" s="493">
        <v>297159.33</v>
      </c>
      <c r="C778" s="516"/>
      <c r="D778" s="493"/>
    </row>
    <row r="779" spans="1:4" x14ac:dyDescent="0.2">
      <c r="A779" s="516">
        <v>43455</v>
      </c>
      <c r="B779" s="493">
        <v>297159</v>
      </c>
      <c r="C779" s="516"/>
      <c r="D779" s="493"/>
    </row>
    <row r="780" spans="1:4" x14ac:dyDescent="0.2">
      <c r="A780" s="516">
        <v>43458</v>
      </c>
      <c r="B780" s="493">
        <v>260233.37</v>
      </c>
      <c r="C780" s="516"/>
      <c r="D780" s="493"/>
    </row>
    <row r="781" spans="1:4" x14ac:dyDescent="0.2">
      <c r="A781" s="516">
        <v>43459</v>
      </c>
      <c r="B781" s="493">
        <v>260233</v>
      </c>
      <c r="C781" s="516"/>
      <c r="D781" s="493"/>
    </row>
    <row r="782" spans="1:4" x14ac:dyDescent="0.2">
      <c r="A782" s="516">
        <v>43460</v>
      </c>
      <c r="B782" s="493">
        <v>261845.78</v>
      </c>
      <c r="C782" s="516"/>
      <c r="D782" s="493"/>
    </row>
    <row r="783" spans="1:4" x14ac:dyDescent="0.2">
      <c r="A783" s="516">
        <v>43461</v>
      </c>
      <c r="B783" s="493">
        <v>261846</v>
      </c>
      <c r="C783" s="516"/>
      <c r="D783" s="493"/>
    </row>
    <row r="784" spans="1:4" x14ac:dyDescent="0.2">
      <c r="A784" s="516">
        <v>43462</v>
      </c>
      <c r="B784" s="493">
        <v>273805.40000000002</v>
      </c>
      <c r="C784" s="516"/>
      <c r="D784" s="493"/>
    </row>
    <row r="785" spans="1:4" x14ac:dyDescent="0.2">
      <c r="A785" s="516">
        <v>43465</v>
      </c>
      <c r="B785" s="493">
        <v>274101.40000000002</v>
      </c>
      <c r="C785" s="516"/>
      <c r="D785" s="493"/>
    </row>
    <row r="786" spans="1:4" x14ac:dyDescent="0.2">
      <c r="A786" s="516">
        <v>43466</v>
      </c>
      <c r="B786" s="493">
        <v>274101</v>
      </c>
      <c r="C786" s="516"/>
      <c r="D786" s="493"/>
    </row>
    <row r="787" spans="1:4" x14ac:dyDescent="0.2">
      <c r="A787" s="516">
        <v>43467</v>
      </c>
      <c r="B787" s="493">
        <v>299108.40000000002</v>
      </c>
      <c r="C787" s="516"/>
      <c r="D787" s="493"/>
    </row>
    <row r="788" spans="1:4" x14ac:dyDescent="0.2">
      <c r="A788" s="516">
        <v>43468</v>
      </c>
      <c r="B788" s="493">
        <v>298070.78000000003</v>
      </c>
      <c r="C788" s="516"/>
      <c r="D788" s="493"/>
    </row>
    <row r="789" spans="1:4" x14ac:dyDescent="0.2">
      <c r="A789" s="516">
        <v>43469</v>
      </c>
      <c r="B789" s="493">
        <v>298071</v>
      </c>
      <c r="C789" s="516"/>
      <c r="D789" s="493"/>
    </row>
    <row r="790" spans="1:4" x14ac:dyDescent="0.2">
      <c r="A790" s="516">
        <v>43472</v>
      </c>
      <c r="B790" s="493">
        <v>298430.78000000003</v>
      </c>
      <c r="C790" s="516"/>
      <c r="D790" s="493"/>
    </row>
    <row r="791" spans="1:4" x14ac:dyDescent="0.2">
      <c r="A791" s="516">
        <v>43473</v>
      </c>
      <c r="B791" s="493">
        <v>264835.63</v>
      </c>
      <c r="C791" s="516"/>
      <c r="D791" s="493"/>
    </row>
    <row r="792" spans="1:4" x14ac:dyDescent="0.2">
      <c r="A792" s="516">
        <v>43474</v>
      </c>
      <c r="B792" s="493">
        <v>303664.65999999997</v>
      </c>
      <c r="C792" s="516"/>
      <c r="D792" s="493"/>
    </row>
    <row r="793" spans="1:4" x14ac:dyDescent="0.2">
      <c r="A793" s="516">
        <v>43475</v>
      </c>
      <c r="B793" s="493">
        <v>299790.71999999997</v>
      </c>
      <c r="C793" s="516"/>
      <c r="D793" s="493"/>
    </row>
    <row r="794" spans="1:4" x14ac:dyDescent="0.2">
      <c r="A794" s="516">
        <v>43476</v>
      </c>
      <c r="B794" s="552">
        <v>309881.71999999997</v>
      </c>
      <c r="C794" s="516"/>
      <c r="D794" s="493"/>
    </row>
    <row r="795" spans="1:4" x14ac:dyDescent="0.2">
      <c r="A795" s="516">
        <v>43479</v>
      </c>
      <c r="B795" s="493">
        <v>284374.78999999998</v>
      </c>
      <c r="C795" s="516"/>
      <c r="D795" s="493"/>
    </row>
    <row r="796" spans="1:4" x14ac:dyDescent="0.2">
      <c r="A796" s="516">
        <v>43480</v>
      </c>
      <c r="B796" s="493">
        <v>284494.75</v>
      </c>
      <c r="C796" s="516"/>
      <c r="D796" s="493"/>
    </row>
    <row r="797" spans="1:4" x14ac:dyDescent="0.2">
      <c r="A797" s="516">
        <v>43481</v>
      </c>
      <c r="B797" s="493">
        <v>277370.03000000003</v>
      </c>
      <c r="C797" s="516"/>
      <c r="D797" s="493"/>
    </row>
    <row r="798" spans="1:4" x14ac:dyDescent="0.2">
      <c r="A798" s="516">
        <v>43482</v>
      </c>
      <c r="B798" s="493">
        <v>266103.65999999997</v>
      </c>
      <c r="C798" s="516"/>
      <c r="D798" s="493"/>
    </row>
    <row r="799" spans="1:4" x14ac:dyDescent="0.2">
      <c r="A799" s="516">
        <v>43483</v>
      </c>
      <c r="B799" s="493">
        <v>266189.65999999997</v>
      </c>
      <c r="C799" s="516"/>
      <c r="D799" s="493"/>
    </row>
    <row r="800" spans="1:4" x14ac:dyDescent="0.2">
      <c r="A800" s="516">
        <v>43486</v>
      </c>
      <c r="B800" s="493">
        <v>266190</v>
      </c>
      <c r="C800" s="516"/>
      <c r="D800" s="493"/>
    </row>
    <row r="801" spans="1:4" x14ac:dyDescent="0.2">
      <c r="A801" s="516">
        <v>43487</v>
      </c>
      <c r="B801" s="493">
        <v>228832.05</v>
      </c>
      <c r="C801" s="516"/>
      <c r="D801" s="493"/>
    </row>
    <row r="802" spans="1:4" x14ac:dyDescent="0.2">
      <c r="A802" s="516">
        <v>43488</v>
      </c>
      <c r="B802" s="493">
        <v>229285.41</v>
      </c>
      <c r="C802" s="516"/>
      <c r="D802" s="493"/>
    </row>
    <row r="803" spans="1:4" x14ac:dyDescent="0.2">
      <c r="A803" s="516">
        <v>43489</v>
      </c>
      <c r="B803" s="493">
        <v>236709.42</v>
      </c>
      <c r="C803" s="516"/>
      <c r="D803" s="493"/>
    </row>
    <row r="804" spans="1:4" x14ac:dyDescent="0.2">
      <c r="A804" s="516">
        <v>43490</v>
      </c>
      <c r="B804" s="493">
        <v>236709</v>
      </c>
      <c r="C804" s="516"/>
      <c r="D804" s="493"/>
    </row>
    <row r="805" spans="1:4" x14ac:dyDescent="0.2">
      <c r="A805" s="516">
        <v>43493</v>
      </c>
      <c r="B805" s="493">
        <v>236400.88</v>
      </c>
      <c r="C805" s="516"/>
      <c r="D805" s="493"/>
    </row>
    <row r="806" spans="1:4" x14ac:dyDescent="0.2">
      <c r="A806" s="516">
        <v>43494</v>
      </c>
      <c r="B806" s="493">
        <v>236401</v>
      </c>
      <c r="C806" s="516"/>
      <c r="D806" s="493"/>
    </row>
    <row r="807" spans="1:4" x14ac:dyDescent="0.2">
      <c r="A807" s="516">
        <v>43495</v>
      </c>
      <c r="B807" s="493">
        <v>236401</v>
      </c>
      <c r="C807" s="516"/>
      <c r="D807" s="493"/>
    </row>
    <row r="808" spans="1:4" x14ac:dyDescent="0.2">
      <c r="A808" s="516">
        <v>43496</v>
      </c>
      <c r="B808" s="493">
        <v>237605.71</v>
      </c>
      <c r="C808" s="516"/>
      <c r="D808" s="493"/>
    </row>
    <row r="809" spans="1:4" x14ac:dyDescent="0.2">
      <c r="A809" s="516">
        <v>43497</v>
      </c>
      <c r="B809" s="493">
        <v>237728.71</v>
      </c>
      <c r="C809" s="516"/>
      <c r="D809" s="493"/>
    </row>
    <row r="810" spans="1:4" x14ac:dyDescent="0.2">
      <c r="A810" s="516">
        <v>43500</v>
      </c>
      <c r="B810" s="493">
        <v>201980</v>
      </c>
      <c r="C810" s="516"/>
      <c r="D810" s="493"/>
    </row>
    <row r="811" spans="1:4" x14ac:dyDescent="0.2">
      <c r="A811" s="516">
        <v>43501</v>
      </c>
      <c r="B811" s="493">
        <v>225615.34</v>
      </c>
      <c r="C811" s="516"/>
      <c r="D811" s="493"/>
    </row>
    <row r="812" spans="1:4" x14ac:dyDescent="0.2">
      <c r="A812" s="516">
        <v>43502</v>
      </c>
      <c r="B812" s="493">
        <v>225615</v>
      </c>
      <c r="C812" s="516"/>
      <c r="D812" s="493"/>
    </row>
    <row r="813" spans="1:4" x14ac:dyDescent="0.2">
      <c r="A813" s="516">
        <v>43503</v>
      </c>
      <c r="B813" s="493">
        <v>219151.3</v>
      </c>
      <c r="C813" s="516"/>
      <c r="D813" s="493"/>
    </row>
    <row r="814" spans="1:4" x14ac:dyDescent="0.2">
      <c r="A814" s="516">
        <v>43504</v>
      </c>
      <c r="B814" s="493">
        <v>219351.3</v>
      </c>
      <c r="C814" s="516"/>
      <c r="D814" s="493"/>
    </row>
    <row r="815" spans="1:4" x14ac:dyDescent="0.2">
      <c r="A815" s="516">
        <v>43507</v>
      </c>
      <c r="B815" s="493">
        <v>219351</v>
      </c>
      <c r="C815" s="516"/>
      <c r="D815" s="493"/>
    </row>
    <row r="816" spans="1:4" x14ac:dyDescent="0.2">
      <c r="A816" s="516">
        <v>43508</v>
      </c>
      <c r="B816" s="493">
        <v>219351</v>
      </c>
      <c r="C816" s="516"/>
      <c r="D816" s="493"/>
    </row>
    <row r="817" spans="1:4" x14ac:dyDescent="0.2">
      <c r="A817" s="516">
        <v>43509</v>
      </c>
      <c r="B817" s="493">
        <v>219351</v>
      </c>
      <c r="C817" s="516"/>
      <c r="D817" s="493"/>
    </row>
    <row r="818" spans="1:4" x14ac:dyDescent="0.2">
      <c r="A818" s="516">
        <v>43510</v>
      </c>
      <c r="B818" s="493">
        <v>206758.66</v>
      </c>
      <c r="C818" s="516"/>
      <c r="D818" s="493"/>
    </row>
    <row r="819" spans="1:4" x14ac:dyDescent="0.2">
      <c r="A819" s="516">
        <v>43511</v>
      </c>
      <c r="B819" s="493">
        <v>234837.55</v>
      </c>
      <c r="C819" s="516"/>
      <c r="D819" s="493"/>
    </row>
    <row r="820" spans="1:4" x14ac:dyDescent="0.2">
      <c r="A820" s="516">
        <v>43514</v>
      </c>
      <c r="B820" s="493">
        <v>234838</v>
      </c>
      <c r="C820" s="516"/>
      <c r="D820" s="493"/>
    </row>
    <row r="821" spans="1:4" x14ac:dyDescent="0.2">
      <c r="A821" s="516">
        <v>43515</v>
      </c>
      <c r="B821" s="493">
        <v>199113.26</v>
      </c>
      <c r="C821" s="516"/>
      <c r="D821" s="493"/>
    </row>
    <row r="822" spans="1:4" x14ac:dyDescent="0.2">
      <c r="A822" s="516">
        <v>43516</v>
      </c>
      <c r="B822" s="699">
        <v>199113</v>
      </c>
      <c r="C822" s="516"/>
      <c r="D822" s="493"/>
    </row>
    <row r="823" spans="1:4" x14ac:dyDescent="0.2">
      <c r="A823" s="516">
        <v>43517</v>
      </c>
      <c r="B823" s="493">
        <v>205400.17</v>
      </c>
      <c r="C823" s="516"/>
      <c r="D823" s="493"/>
    </row>
    <row r="824" spans="1:4" x14ac:dyDescent="0.2">
      <c r="A824" s="516">
        <v>43518</v>
      </c>
      <c r="B824" s="493">
        <v>220161.91</v>
      </c>
      <c r="C824" s="516"/>
      <c r="D824" s="493"/>
    </row>
    <row r="825" spans="1:4" x14ac:dyDescent="0.2">
      <c r="A825" s="516">
        <v>43521</v>
      </c>
      <c r="B825" s="493">
        <v>220161.91</v>
      </c>
      <c r="C825" s="516"/>
      <c r="D825" s="493"/>
    </row>
    <row r="826" spans="1:4" x14ac:dyDescent="0.2">
      <c r="A826" s="516">
        <v>43522</v>
      </c>
      <c r="B826" s="493">
        <v>220161.91</v>
      </c>
      <c r="C826" s="516"/>
      <c r="D826" s="493"/>
    </row>
    <row r="827" spans="1:4" x14ac:dyDescent="0.2">
      <c r="A827" s="516">
        <v>43523</v>
      </c>
      <c r="B827" s="493">
        <v>220161.91</v>
      </c>
      <c r="C827" s="516"/>
      <c r="D827" s="493"/>
    </row>
    <row r="828" spans="1:4" x14ac:dyDescent="0.2">
      <c r="A828" s="516">
        <v>43524</v>
      </c>
      <c r="B828" s="493">
        <v>224635.26</v>
      </c>
      <c r="C828" s="516"/>
      <c r="D828" s="493"/>
    </row>
    <row r="829" spans="1:4" x14ac:dyDescent="0.2">
      <c r="A829" s="516">
        <v>43525</v>
      </c>
      <c r="B829" s="493">
        <v>298900.61</v>
      </c>
      <c r="C829" s="516"/>
      <c r="D829" s="493"/>
    </row>
    <row r="830" spans="1:4" x14ac:dyDescent="0.2">
      <c r="A830" s="516">
        <v>43528</v>
      </c>
      <c r="B830" s="493">
        <v>262246.8</v>
      </c>
      <c r="C830" s="516"/>
      <c r="D830" s="493"/>
    </row>
    <row r="831" spans="1:4" x14ac:dyDescent="0.2">
      <c r="A831" s="516">
        <v>43529</v>
      </c>
      <c r="B831" s="493">
        <v>262247</v>
      </c>
      <c r="C831" s="516"/>
      <c r="D831" s="493"/>
    </row>
    <row r="832" spans="1:4" x14ac:dyDescent="0.2">
      <c r="A832" s="516">
        <v>43530</v>
      </c>
      <c r="B832" s="493">
        <v>262247</v>
      </c>
      <c r="C832" s="516"/>
      <c r="D832" s="493"/>
    </row>
    <row r="833" spans="1:4" x14ac:dyDescent="0.2">
      <c r="A833" s="516">
        <v>43531</v>
      </c>
      <c r="B833" s="493">
        <v>275395.15000000002</v>
      </c>
      <c r="C833" s="516"/>
      <c r="D833" s="493"/>
    </row>
    <row r="834" spans="1:4" x14ac:dyDescent="0.2">
      <c r="A834" s="516">
        <v>43532</v>
      </c>
      <c r="B834" s="493">
        <v>275395</v>
      </c>
      <c r="C834" s="516"/>
      <c r="D834" s="493"/>
    </row>
    <row r="835" spans="1:4" x14ac:dyDescent="0.2">
      <c r="A835" s="516">
        <v>43535</v>
      </c>
      <c r="B835" s="493">
        <v>275395</v>
      </c>
      <c r="C835" s="516"/>
      <c r="D835" s="493"/>
    </row>
    <row r="836" spans="1:4" x14ac:dyDescent="0.2">
      <c r="A836" s="516">
        <v>43536</v>
      </c>
      <c r="B836" s="493">
        <v>275395</v>
      </c>
      <c r="C836" s="516"/>
      <c r="D836" s="493"/>
    </row>
    <row r="837" spans="1:4" x14ac:dyDescent="0.2">
      <c r="A837" s="516">
        <v>43537</v>
      </c>
      <c r="B837" s="493">
        <v>316802.46999999997</v>
      </c>
      <c r="C837" s="516"/>
      <c r="D837" s="493"/>
    </row>
    <row r="838" spans="1:4" x14ac:dyDescent="0.2">
      <c r="A838" s="516">
        <v>43538</v>
      </c>
      <c r="B838" s="493">
        <v>297067.40000000002</v>
      </c>
      <c r="C838" s="516"/>
      <c r="D838" s="493"/>
    </row>
    <row r="839" spans="1:4" x14ac:dyDescent="0.2">
      <c r="A839" s="516">
        <v>43539</v>
      </c>
      <c r="B839" s="493">
        <v>300574.83</v>
      </c>
      <c r="C839" s="516"/>
      <c r="D839" s="493"/>
    </row>
    <row r="840" spans="1:4" x14ac:dyDescent="0.2">
      <c r="A840" s="516">
        <v>43542</v>
      </c>
      <c r="B840" s="493">
        <v>264695.24</v>
      </c>
      <c r="C840" s="516"/>
      <c r="D840" s="493"/>
    </row>
    <row r="841" spans="1:4" x14ac:dyDescent="0.2">
      <c r="A841" s="516">
        <v>43543</v>
      </c>
      <c r="B841" s="493">
        <v>264695</v>
      </c>
      <c r="C841" s="516"/>
      <c r="D841" s="493"/>
    </row>
    <row r="842" spans="1:4" x14ac:dyDescent="0.2">
      <c r="A842" s="516">
        <v>43544</v>
      </c>
      <c r="B842" s="493">
        <v>264695</v>
      </c>
      <c r="C842" s="516"/>
      <c r="D842" s="493"/>
    </row>
    <row r="843" spans="1:4" x14ac:dyDescent="0.2">
      <c r="A843" s="516">
        <v>43545</v>
      </c>
      <c r="B843" s="493">
        <v>282838.67</v>
      </c>
      <c r="C843" s="516"/>
      <c r="D843" s="493"/>
    </row>
    <row r="844" spans="1:4" x14ac:dyDescent="0.2">
      <c r="A844" s="516">
        <v>43546</v>
      </c>
      <c r="B844" s="493">
        <v>282839</v>
      </c>
      <c r="C844" s="516"/>
      <c r="D844" s="493"/>
    </row>
    <row r="845" spans="1:4" x14ac:dyDescent="0.2">
      <c r="A845" s="516">
        <v>43549</v>
      </c>
      <c r="B845" s="552">
        <v>333807.26</v>
      </c>
      <c r="C845" s="516"/>
      <c r="D845" s="493"/>
    </row>
    <row r="846" spans="1:4" x14ac:dyDescent="0.2">
      <c r="A846" s="516">
        <v>43550</v>
      </c>
      <c r="B846" s="493">
        <v>332295.96000000002</v>
      </c>
      <c r="C846" s="516"/>
      <c r="D846" s="493"/>
    </row>
    <row r="847" spans="1:4" x14ac:dyDescent="0.2">
      <c r="A847" s="516">
        <v>43551</v>
      </c>
      <c r="B847" s="493">
        <v>325401.01</v>
      </c>
      <c r="C847" s="516"/>
      <c r="D847" s="493"/>
    </row>
    <row r="848" spans="1:4" x14ac:dyDescent="0.2">
      <c r="A848" s="516">
        <v>43552</v>
      </c>
      <c r="B848" s="493">
        <v>328793.55</v>
      </c>
      <c r="C848" s="516"/>
      <c r="D848" s="493"/>
    </row>
    <row r="849" spans="1:4" x14ac:dyDescent="0.2">
      <c r="A849" s="516">
        <v>43553</v>
      </c>
      <c r="B849" s="493">
        <v>329088.55</v>
      </c>
      <c r="C849" s="516"/>
      <c r="D849" s="493"/>
    </row>
    <row r="850" spans="1:4" x14ac:dyDescent="0.2">
      <c r="A850" s="516">
        <v>43556</v>
      </c>
      <c r="B850" s="493">
        <v>328488.55</v>
      </c>
      <c r="C850" s="516"/>
      <c r="D850" s="493"/>
    </row>
    <row r="851" spans="1:4" x14ac:dyDescent="0.2">
      <c r="A851" s="516">
        <v>43557</v>
      </c>
      <c r="B851" s="493">
        <v>292528.71999999997</v>
      </c>
      <c r="C851" s="516"/>
      <c r="D851" s="493"/>
    </row>
    <row r="852" spans="1:4" x14ac:dyDescent="0.2">
      <c r="A852" s="516">
        <v>43558</v>
      </c>
      <c r="B852" s="493">
        <v>294672.43</v>
      </c>
      <c r="C852" s="516"/>
      <c r="D852" s="493"/>
    </row>
    <row r="853" spans="1:4" x14ac:dyDescent="0.2">
      <c r="A853" s="516">
        <v>43559</v>
      </c>
      <c r="B853" s="493">
        <v>292850.33</v>
      </c>
      <c r="C853" s="516"/>
      <c r="D853" s="493"/>
    </row>
    <row r="854" spans="1:4" x14ac:dyDescent="0.2">
      <c r="A854" s="516">
        <v>43560</v>
      </c>
      <c r="B854" s="493">
        <v>284702.78999999998</v>
      </c>
      <c r="C854" s="516"/>
      <c r="D854" s="493"/>
    </row>
    <row r="855" spans="1:4" x14ac:dyDescent="0.2">
      <c r="A855" s="516">
        <v>43563</v>
      </c>
      <c r="B855" s="493">
        <v>284703</v>
      </c>
      <c r="C855" s="516"/>
      <c r="D855" s="493"/>
    </row>
    <row r="856" spans="1:4" x14ac:dyDescent="0.2">
      <c r="A856" s="516">
        <v>43564</v>
      </c>
      <c r="B856" s="493">
        <v>284775.52</v>
      </c>
      <c r="C856" s="516"/>
      <c r="D856" s="493"/>
    </row>
    <row r="857" spans="1:4" x14ac:dyDescent="0.2">
      <c r="A857" s="516">
        <v>43565</v>
      </c>
      <c r="B857" s="493">
        <v>284776</v>
      </c>
      <c r="C857" s="516"/>
      <c r="D857" s="493"/>
    </row>
    <row r="858" spans="1:4" x14ac:dyDescent="0.2">
      <c r="A858" s="516">
        <v>43566</v>
      </c>
      <c r="B858" s="493">
        <v>277335.02</v>
      </c>
      <c r="C858" s="516"/>
      <c r="D858" s="493"/>
    </row>
    <row r="859" spans="1:4" x14ac:dyDescent="0.2">
      <c r="A859" s="516">
        <v>43567</v>
      </c>
      <c r="B859" s="493">
        <v>277335</v>
      </c>
      <c r="C859" s="516"/>
      <c r="D859" s="493"/>
    </row>
    <row r="860" spans="1:4" x14ac:dyDescent="0.2">
      <c r="A860" s="516">
        <v>43570</v>
      </c>
      <c r="B860" s="493">
        <v>277462.90999999997</v>
      </c>
      <c r="C860" s="516"/>
      <c r="D860" s="493"/>
    </row>
    <row r="861" spans="1:4" x14ac:dyDescent="0.2">
      <c r="A861" s="516">
        <v>43571</v>
      </c>
      <c r="B861" s="493">
        <v>241180.07</v>
      </c>
      <c r="C861" s="516"/>
      <c r="D861" s="493"/>
    </row>
    <row r="862" spans="1:4" x14ac:dyDescent="0.2">
      <c r="A862" s="516">
        <v>43572</v>
      </c>
      <c r="B862" s="493">
        <v>257634.61</v>
      </c>
      <c r="C862" s="516"/>
      <c r="D862" s="493"/>
    </row>
    <row r="863" spans="1:4" x14ac:dyDescent="0.2">
      <c r="A863" s="516">
        <v>43573</v>
      </c>
      <c r="B863" s="493">
        <v>241154.55</v>
      </c>
      <c r="C863" s="516"/>
      <c r="D863" s="493"/>
    </row>
    <row r="864" spans="1:4" x14ac:dyDescent="0.2">
      <c r="A864" s="516">
        <v>43574</v>
      </c>
      <c r="B864" s="493">
        <v>243162.78</v>
      </c>
      <c r="C864" s="516"/>
      <c r="D864" s="493"/>
    </row>
    <row r="865" spans="1:4" x14ac:dyDescent="0.2">
      <c r="A865" s="516">
        <v>43577</v>
      </c>
      <c r="B865" s="493">
        <v>243003.93</v>
      </c>
      <c r="C865" s="516"/>
      <c r="D865" s="493"/>
    </row>
    <row r="866" spans="1:4" x14ac:dyDescent="0.2">
      <c r="A866" s="516">
        <v>43578</v>
      </c>
      <c r="B866" s="493">
        <v>243004</v>
      </c>
      <c r="C866" s="516"/>
      <c r="D866" s="493"/>
    </row>
    <row r="867" spans="1:4" x14ac:dyDescent="0.2">
      <c r="A867" s="516">
        <v>43579</v>
      </c>
      <c r="B867" s="493">
        <v>243060.55</v>
      </c>
      <c r="C867" s="516"/>
      <c r="D867" s="493"/>
    </row>
    <row r="868" spans="1:4" x14ac:dyDescent="0.2">
      <c r="A868" s="516">
        <v>43580</v>
      </c>
      <c r="B868" s="493">
        <v>245074.5</v>
      </c>
      <c r="C868" s="516"/>
      <c r="D868" s="493"/>
    </row>
    <row r="869" spans="1:4" x14ac:dyDescent="0.2">
      <c r="A869" s="516">
        <v>43581</v>
      </c>
      <c r="B869" s="493">
        <v>274493.84000000003</v>
      </c>
      <c r="C869" s="516"/>
      <c r="D869" s="493"/>
    </row>
    <row r="870" spans="1:4" x14ac:dyDescent="0.2">
      <c r="A870" s="516">
        <v>43584</v>
      </c>
      <c r="B870" s="493">
        <v>274494</v>
      </c>
      <c r="C870" s="516"/>
      <c r="D870" s="493"/>
    </row>
    <row r="871" spans="1:4" x14ac:dyDescent="0.2">
      <c r="A871" s="516">
        <v>43585</v>
      </c>
      <c r="B871" s="493">
        <v>268536.75</v>
      </c>
      <c r="C871" s="516"/>
      <c r="D871" s="493"/>
    </row>
    <row r="872" spans="1:4" x14ac:dyDescent="0.2">
      <c r="A872" s="516">
        <v>43586</v>
      </c>
      <c r="B872" s="493">
        <v>249086.1</v>
      </c>
      <c r="C872" s="516"/>
      <c r="D872" s="493"/>
    </row>
    <row r="873" spans="1:4" x14ac:dyDescent="0.2">
      <c r="A873" s="516">
        <v>43587</v>
      </c>
      <c r="B873" s="493">
        <v>253347.36</v>
      </c>
      <c r="C873" s="516"/>
      <c r="D873" s="493"/>
    </row>
    <row r="874" spans="1:4" x14ac:dyDescent="0.2">
      <c r="A874" s="516">
        <v>43588</v>
      </c>
      <c r="B874" s="493">
        <v>253347</v>
      </c>
      <c r="C874" s="516"/>
      <c r="D874" s="493"/>
    </row>
    <row r="875" spans="1:4" x14ac:dyDescent="0.2">
      <c r="A875" s="516">
        <v>43591</v>
      </c>
      <c r="B875" s="493">
        <v>253347</v>
      </c>
      <c r="C875" s="516"/>
      <c r="D875" s="493"/>
    </row>
    <row r="876" spans="1:4" x14ac:dyDescent="0.2">
      <c r="A876" s="516">
        <v>43592</v>
      </c>
      <c r="B876" s="493">
        <v>253347</v>
      </c>
      <c r="C876" s="516"/>
      <c r="D876" s="493"/>
    </row>
    <row r="877" spans="1:4" x14ac:dyDescent="0.2">
      <c r="A877" s="516">
        <v>43593</v>
      </c>
      <c r="B877" s="493">
        <v>253347</v>
      </c>
      <c r="C877" s="516"/>
      <c r="D877" s="493"/>
    </row>
    <row r="878" spans="1:4" x14ac:dyDescent="0.2">
      <c r="A878" s="516">
        <v>43594</v>
      </c>
      <c r="B878" s="493">
        <v>256363.47</v>
      </c>
      <c r="C878" s="516"/>
      <c r="D878" s="493"/>
    </row>
    <row r="879" spans="1:4" x14ac:dyDescent="0.2">
      <c r="A879" s="516">
        <v>43595</v>
      </c>
      <c r="B879" s="493">
        <v>256363</v>
      </c>
      <c r="C879" s="516"/>
      <c r="D879" s="493"/>
    </row>
    <row r="880" spans="1:4" x14ac:dyDescent="0.2">
      <c r="A880" s="516">
        <v>43598</v>
      </c>
      <c r="B880" s="493">
        <v>256363</v>
      </c>
      <c r="C880" s="516"/>
      <c r="D880" s="493"/>
    </row>
    <row r="881" spans="1:4" x14ac:dyDescent="0.2">
      <c r="A881" s="516">
        <v>43599</v>
      </c>
      <c r="B881" s="493">
        <v>220671.47</v>
      </c>
      <c r="C881" s="516"/>
      <c r="D881" s="493"/>
    </row>
    <row r="882" spans="1:4" x14ac:dyDescent="0.2">
      <c r="A882" s="516">
        <v>43600</v>
      </c>
      <c r="B882" s="493">
        <v>248680.89</v>
      </c>
      <c r="C882" s="516"/>
      <c r="D882" s="493"/>
    </row>
    <row r="883" spans="1:4" x14ac:dyDescent="0.2">
      <c r="A883" s="516">
        <v>43601</v>
      </c>
      <c r="B883" s="493">
        <v>254567.98</v>
      </c>
      <c r="C883" s="516"/>
      <c r="D883" s="493"/>
    </row>
    <row r="884" spans="1:4" x14ac:dyDescent="0.2">
      <c r="A884" s="516">
        <v>43602</v>
      </c>
      <c r="B884" s="493">
        <v>310563.12</v>
      </c>
      <c r="C884" s="516"/>
      <c r="D884" s="493"/>
    </row>
    <row r="885" spans="1:4" x14ac:dyDescent="0.2">
      <c r="A885" s="516">
        <v>43605</v>
      </c>
      <c r="B885" s="493">
        <v>310000.12</v>
      </c>
      <c r="C885" s="516"/>
      <c r="D885" s="493"/>
    </row>
    <row r="886" spans="1:4" x14ac:dyDescent="0.2">
      <c r="A886" s="516">
        <v>43606</v>
      </c>
      <c r="B886" s="493">
        <v>310000.12</v>
      </c>
      <c r="C886" s="516"/>
      <c r="D886" s="493"/>
    </row>
    <row r="887" spans="1:4" x14ac:dyDescent="0.2">
      <c r="A887" s="516">
        <v>43607</v>
      </c>
      <c r="B887" s="493">
        <v>310000.12</v>
      </c>
      <c r="C887" s="516"/>
      <c r="D887" s="493"/>
    </row>
    <row r="888" spans="1:4" x14ac:dyDescent="0.2">
      <c r="A888" s="516">
        <v>43608</v>
      </c>
      <c r="B888" s="493">
        <v>300109.28999999998</v>
      </c>
      <c r="C888" s="516"/>
      <c r="D888" s="493"/>
    </row>
    <row r="889" spans="1:4" x14ac:dyDescent="0.2">
      <c r="A889" s="516">
        <v>43609</v>
      </c>
      <c r="B889" s="493">
        <v>297396.90999999997</v>
      </c>
      <c r="C889" s="516"/>
      <c r="D889" s="493"/>
    </row>
    <row r="890" spans="1:4" x14ac:dyDescent="0.2">
      <c r="A890" s="516">
        <v>43612</v>
      </c>
      <c r="B890" s="493">
        <v>297397</v>
      </c>
      <c r="C890" s="516"/>
      <c r="D890" s="493"/>
    </row>
    <row r="891" spans="1:4" x14ac:dyDescent="0.2">
      <c r="A891" s="516">
        <v>43613</v>
      </c>
      <c r="B891" s="493">
        <v>309520.18</v>
      </c>
      <c r="C891" s="516"/>
      <c r="D891" s="493"/>
    </row>
    <row r="892" spans="1:4" x14ac:dyDescent="0.2">
      <c r="A892" s="516">
        <v>43614</v>
      </c>
      <c r="B892" s="493">
        <v>309520</v>
      </c>
      <c r="C892" s="516"/>
      <c r="D892" s="493"/>
    </row>
    <row r="893" spans="1:4" x14ac:dyDescent="0.2">
      <c r="A893" s="516">
        <v>43615</v>
      </c>
      <c r="B893" s="493">
        <v>306153.90000000002</v>
      </c>
      <c r="C893" s="516"/>
      <c r="D893" s="493"/>
    </row>
    <row r="894" spans="1:4" x14ac:dyDescent="0.2">
      <c r="A894" s="516">
        <v>43616</v>
      </c>
      <c r="B894" s="493">
        <v>307621.78000000003</v>
      </c>
      <c r="C894" s="516"/>
      <c r="D894" s="493"/>
    </row>
    <row r="895" spans="1:4" x14ac:dyDescent="0.2">
      <c r="A895" s="516">
        <v>43619</v>
      </c>
      <c r="B895" s="493">
        <v>307288.12</v>
      </c>
      <c r="C895" s="516"/>
      <c r="D895" s="493"/>
    </row>
    <row r="896" spans="1:4" x14ac:dyDescent="0.2">
      <c r="A896" s="516">
        <v>43620</v>
      </c>
      <c r="B896" s="493">
        <v>307288</v>
      </c>
      <c r="C896" s="516"/>
      <c r="D896" s="493"/>
    </row>
    <row r="897" spans="1:4" x14ac:dyDescent="0.2">
      <c r="A897" s="516">
        <v>43621</v>
      </c>
      <c r="B897" s="493">
        <v>307288</v>
      </c>
      <c r="C897" s="516"/>
      <c r="D897" s="493"/>
    </row>
    <row r="898" spans="1:4" x14ac:dyDescent="0.2">
      <c r="A898" s="516">
        <v>43622</v>
      </c>
      <c r="B898" s="493">
        <v>296580.19</v>
      </c>
      <c r="C898" s="516"/>
      <c r="D898" s="493"/>
    </row>
    <row r="899" spans="1:4" x14ac:dyDescent="0.2">
      <c r="A899" s="516">
        <v>43623</v>
      </c>
      <c r="B899" s="493">
        <v>295981.95</v>
      </c>
      <c r="C899" s="516"/>
      <c r="D899" s="493"/>
    </row>
    <row r="900" spans="1:4" x14ac:dyDescent="0.2">
      <c r="A900" s="516">
        <v>43626</v>
      </c>
      <c r="B900" s="493">
        <v>260513.06</v>
      </c>
      <c r="C900" s="516"/>
      <c r="D900" s="493"/>
    </row>
    <row r="901" spans="1:4" x14ac:dyDescent="0.2">
      <c r="A901" s="516">
        <v>43627</v>
      </c>
      <c r="B901" s="493">
        <v>260513</v>
      </c>
      <c r="C901" s="516"/>
      <c r="D901" s="493"/>
    </row>
    <row r="902" spans="1:4" x14ac:dyDescent="0.2">
      <c r="A902" s="516">
        <v>43628</v>
      </c>
      <c r="B902" s="493">
        <v>260513</v>
      </c>
      <c r="C902" s="516"/>
      <c r="D902" s="493"/>
    </row>
    <row r="903" spans="1:4" x14ac:dyDescent="0.2">
      <c r="A903" s="516">
        <v>43629</v>
      </c>
      <c r="B903" s="493">
        <v>255966.98</v>
      </c>
      <c r="C903" s="516"/>
      <c r="D903" s="493"/>
    </row>
    <row r="904" spans="1:4" x14ac:dyDescent="0.2">
      <c r="A904" s="516">
        <v>43630</v>
      </c>
      <c r="B904" s="493">
        <v>257507.94</v>
      </c>
      <c r="C904" s="516"/>
      <c r="D904" s="493"/>
    </row>
    <row r="905" spans="1:4" x14ac:dyDescent="0.2">
      <c r="A905" s="516">
        <v>43633</v>
      </c>
      <c r="B905" s="493">
        <v>257508</v>
      </c>
      <c r="C905" s="516"/>
      <c r="D905" s="493"/>
    </row>
    <row r="906" spans="1:4" x14ac:dyDescent="0.2">
      <c r="A906" s="516">
        <v>43634</v>
      </c>
      <c r="B906" s="493">
        <v>257508</v>
      </c>
      <c r="C906" s="516"/>
      <c r="D906" s="493"/>
    </row>
    <row r="907" spans="1:4" x14ac:dyDescent="0.2">
      <c r="A907" s="516">
        <v>43635</v>
      </c>
      <c r="B907" s="493">
        <v>257508</v>
      </c>
      <c r="C907" s="516"/>
      <c r="D907" s="493"/>
    </row>
    <row r="908" spans="1:4" x14ac:dyDescent="0.2">
      <c r="A908" s="516">
        <v>43636</v>
      </c>
      <c r="B908" s="493">
        <v>245601.94</v>
      </c>
      <c r="C908" s="516"/>
      <c r="D908" s="493"/>
    </row>
    <row r="909" spans="1:4" x14ac:dyDescent="0.2">
      <c r="A909" s="516">
        <v>43637</v>
      </c>
      <c r="B909" s="493">
        <v>245768.94</v>
      </c>
      <c r="C909" s="516"/>
      <c r="D909" s="493"/>
    </row>
    <row r="910" spans="1:4" x14ac:dyDescent="0.2">
      <c r="A910" s="516">
        <v>43640</v>
      </c>
      <c r="B910" s="493">
        <v>245769</v>
      </c>
      <c r="C910" s="516"/>
      <c r="D910" s="493"/>
    </row>
    <row r="911" spans="1:4" x14ac:dyDescent="0.2">
      <c r="A911" s="516">
        <v>43641</v>
      </c>
      <c r="B911" s="493">
        <v>209143.06</v>
      </c>
      <c r="C911" s="516"/>
      <c r="D911" s="493"/>
    </row>
    <row r="912" spans="1:4" x14ac:dyDescent="0.2">
      <c r="A912" s="516">
        <v>43642</v>
      </c>
      <c r="B912" s="493">
        <v>216087.16</v>
      </c>
      <c r="C912" s="516"/>
      <c r="D912" s="493"/>
    </row>
    <row r="913" spans="1:4" x14ac:dyDescent="0.2">
      <c r="A913" s="516">
        <v>43643</v>
      </c>
      <c r="B913" s="493">
        <v>218399.34</v>
      </c>
      <c r="C913" s="516"/>
      <c r="D913" s="493"/>
    </row>
    <row r="914" spans="1:4" x14ac:dyDescent="0.2">
      <c r="A914" s="516">
        <v>43644</v>
      </c>
      <c r="B914" s="493">
        <v>246675.15</v>
      </c>
      <c r="C914" s="516"/>
      <c r="D914" s="493"/>
    </row>
    <row r="915" spans="1:4" x14ac:dyDescent="0.2">
      <c r="A915" s="516">
        <v>43647</v>
      </c>
      <c r="B915" s="493">
        <v>246675</v>
      </c>
      <c r="C915" s="516"/>
      <c r="D915" s="493"/>
    </row>
    <row r="916" spans="1:4" x14ac:dyDescent="0.2">
      <c r="A916" s="516">
        <v>43648</v>
      </c>
      <c r="B916" s="493">
        <v>248377.32</v>
      </c>
      <c r="C916" s="516"/>
      <c r="D916" s="493"/>
    </row>
    <row r="917" spans="1:4" x14ac:dyDescent="0.2">
      <c r="A917" s="516">
        <v>43649</v>
      </c>
      <c r="B917" s="493">
        <v>277944.71000000002</v>
      </c>
      <c r="C917" s="516"/>
      <c r="D917" s="493"/>
    </row>
    <row r="918" spans="1:4" x14ac:dyDescent="0.2">
      <c r="A918" s="516">
        <v>43650</v>
      </c>
      <c r="B918" s="493">
        <v>277945</v>
      </c>
      <c r="C918" s="516"/>
      <c r="D918" s="493"/>
    </row>
    <row r="919" spans="1:4" x14ac:dyDescent="0.2">
      <c r="A919" s="516">
        <v>43651</v>
      </c>
      <c r="B919" s="493">
        <v>278046.71000000002</v>
      </c>
      <c r="C919" s="516"/>
      <c r="D919" s="493"/>
    </row>
    <row r="920" spans="1:4" x14ac:dyDescent="0.2">
      <c r="A920" s="516">
        <v>43654</v>
      </c>
      <c r="B920" s="493">
        <v>282590.19</v>
      </c>
      <c r="C920" s="516"/>
      <c r="D920" s="493"/>
    </row>
    <row r="921" spans="1:4" x14ac:dyDescent="0.2">
      <c r="A921" s="516">
        <v>43655</v>
      </c>
      <c r="B921" s="493">
        <v>247195.73</v>
      </c>
      <c r="C921" s="516"/>
      <c r="D921" s="493"/>
    </row>
    <row r="922" spans="1:4" x14ac:dyDescent="0.2">
      <c r="A922" s="516">
        <v>43656</v>
      </c>
      <c r="B922" s="493">
        <v>247195.73</v>
      </c>
      <c r="C922" s="516"/>
      <c r="D922" s="493"/>
    </row>
    <row r="923" spans="1:4" x14ac:dyDescent="0.2">
      <c r="A923" s="516">
        <v>43657</v>
      </c>
      <c r="B923" s="493">
        <v>235813.1</v>
      </c>
      <c r="C923" s="516"/>
      <c r="D923" s="493"/>
    </row>
    <row r="924" spans="1:4" x14ac:dyDescent="0.2">
      <c r="A924" s="516">
        <v>43658</v>
      </c>
      <c r="B924" s="493">
        <v>237210.07</v>
      </c>
      <c r="C924" s="516"/>
      <c r="D924" s="493"/>
    </row>
    <row r="925" spans="1:4" x14ac:dyDescent="0.2">
      <c r="A925" s="516">
        <v>43661</v>
      </c>
      <c r="B925" s="493">
        <v>237490.39</v>
      </c>
      <c r="C925" s="516"/>
      <c r="D925" s="493"/>
    </row>
    <row r="926" spans="1:4" x14ac:dyDescent="0.2">
      <c r="A926" s="516">
        <v>43662</v>
      </c>
      <c r="B926" s="493">
        <v>237490</v>
      </c>
      <c r="C926" s="516"/>
      <c r="D926" s="493"/>
    </row>
    <row r="927" spans="1:4" x14ac:dyDescent="0.2">
      <c r="A927" s="516">
        <v>43663</v>
      </c>
      <c r="B927" s="493">
        <v>237490.39</v>
      </c>
      <c r="C927" s="516"/>
      <c r="D927" s="493"/>
    </row>
    <row r="928" spans="1:4" x14ac:dyDescent="0.2">
      <c r="A928" s="516">
        <v>43664</v>
      </c>
      <c r="B928" s="493">
        <v>232593.57</v>
      </c>
      <c r="C928" s="516"/>
      <c r="D928" s="493"/>
    </row>
    <row r="929" spans="1:4" x14ac:dyDescent="0.2">
      <c r="A929" s="516">
        <v>43665</v>
      </c>
      <c r="B929" s="493">
        <v>232923.06</v>
      </c>
      <c r="C929" s="516"/>
      <c r="D929" s="493"/>
    </row>
    <row r="930" spans="1:4" x14ac:dyDescent="0.2">
      <c r="A930" s="516">
        <v>43668</v>
      </c>
      <c r="B930" s="493">
        <v>196798.51</v>
      </c>
      <c r="C930" s="516"/>
      <c r="D930" s="493"/>
    </row>
    <row r="931" spans="1:4" x14ac:dyDescent="0.2">
      <c r="A931" s="516">
        <v>43669</v>
      </c>
      <c r="B931" s="493">
        <v>199629.38</v>
      </c>
      <c r="C931" s="516"/>
      <c r="D931" s="493"/>
    </row>
    <row r="932" spans="1:4" x14ac:dyDescent="0.2">
      <c r="A932" s="516">
        <v>43670</v>
      </c>
      <c r="B932" s="493">
        <v>199629</v>
      </c>
      <c r="C932" s="516"/>
      <c r="D932" s="493"/>
    </row>
    <row r="933" spans="1:4" x14ac:dyDescent="0.2">
      <c r="A933" s="516">
        <v>43671</v>
      </c>
      <c r="B933" s="493">
        <v>195151.45</v>
      </c>
      <c r="C933" s="516"/>
      <c r="D933" s="493"/>
    </row>
    <row r="934" spans="1:4" x14ac:dyDescent="0.2">
      <c r="A934" s="516">
        <v>43672</v>
      </c>
      <c r="B934" s="493">
        <v>228843.78</v>
      </c>
      <c r="C934" s="516"/>
      <c r="D934" s="493"/>
    </row>
    <row r="935" spans="1:4" x14ac:dyDescent="0.2">
      <c r="A935" s="516">
        <v>43675</v>
      </c>
      <c r="B935" s="493">
        <v>228844</v>
      </c>
      <c r="C935" s="516"/>
      <c r="D935" s="493"/>
    </row>
    <row r="936" spans="1:4" x14ac:dyDescent="0.2">
      <c r="A936" s="516">
        <v>43676</v>
      </c>
      <c r="B936" s="493">
        <v>228844</v>
      </c>
      <c r="C936" s="516"/>
      <c r="D936" s="493"/>
    </row>
    <row r="937" spans="1:4" x14ac:dyDescent="0.2">
      <c r="A937" s="516">
        <v>43677</v>
      </c>
      <c r="B937" s="493">
        <v>229051.78</v>
      </c>
      <c r="C937" s="516"/>
      <c r="D937" s="493"/>
    </row>
    <row r="938" spans="1:4" x14ac:dyDescent="0.2">
      <c r="A938" s="516">
        <v>43678</v>
      </c>
      <c r="B938" s="493">
        <v>234767.17</v>
      </c>
      <c r="C938" s="516"/>
      <c r="D938" s="493"/>
    </row>
    <row r="939" spans="1:4" x14ac:dyDescent="0.2">
      <c r="A939" s="516">
        <v>43679</v>
      </c>
      <c r="B939" s="493">
        <v>236117.76000000001</v>
      </c>
      <c r="C939" s="516"/>
      <c r="D939" s="493"/>
    </row>
    <row r="940" spans="1:4" x14ac:dyDescent="0.2">
      <c r="A940" s="516">
        <v>43682</v>
      </c>
      <c r="B940" s="493">
        <v>236118</v>
      </c>
      <c r="C940" s="516"/>
      <c r="D940" s="493"/>
    </row>
    <row r="941" spans="1:4" x14ac:dyDescent="0.2">
      <c r="A941" s="516">
        <v>43683</v>
      </c>
      <c r="B941" s="493">
        <v>208888.5</v>
      </c>
      <c r="C941" s="516"/>
      <c r="D941" s="493"/>
    </row>
    <row r="942" spans="1:4" x14ac:dyDescent="0.2">
      <c r="A942" s="516">
        <v>43684</v>
      </c>
      <c r="B942" s="493">
        <v>208792.5</v>
      </c>
      <c r="C942" s="516"/>
      <c r="D942" s="493"/>
    </row>
    <row r="943" spans="1:4" x14ac:dyDescent="0.2">
      <c r="A943" s="516">
        <v>43685</v>
      </c>
      <c r="B943" s="493">
        <v>203219.37</v>
      </c>
      <c r="C943" s="516"/>
      <c r="D943" s="493"/>
    </row>
    <row r="944" spans="1:4" x14ac:dyDescent="0.2">
      <c r="A944" s="516">
        <v>43686</v>
      </c>
      <c r="B944" s="493">
        <v>205639.37</v>
      </c>
      <c r="C944" s="516"/>
      <c r="D944" s="493"/>
    </row>
    <row r="945" spans="1:4" x14ac:dyDescent="0.2">
      <c r="A945" s="516">
        <v>43689</v>
      </c>
      <c r="B945" s="493">
        <v>205639.37</v>
      </c>
      <c r="C945" s="516"/>
      <c r="D945" s="493"/>
    </row>
    <row r="946" spans="1:4" x14ac:dyDescent="0.2">
      <c r="A946" s="516">
        <v>43690</v>
      </c>
      <c r="B946" s="493">
        <v>232145.73</v>
      </c>
      <c r="C946" s="516"/>
      <c r="D946" s="493"/>
    </row>
    <row r="947" spans="1:4" x14ac:dyDescent="0.2">
      <c r="A947" s="516">
        <v>43691</v>
      </c>
      <c r="B947" s="493">
        <v>233325.32</v>
      </c>
      <c r="C947" s="516"/>
      <c r="D947" s="493"/>
    </row>
    <row r="948" spans="1:4" x14ac:dyDescent="0.2">
      <c r="A948" s="516">
        <v>43692</v>
      </c>
      <c r="B948" s="493">
        <v>225375.98</v>
      </c>
      <c r="C948" s="516"/>
      <c r="D948" s="493"/>
    </row>
    <row r="949" spans="1:4" x14ac:dyDescent="0.2">
      <c r="A949" s="516">
        <v>43693</v>
      </c>
      <c r="B949" s="493">
        <v>225424.1</v>
      </c>
      <c r="C949" s="516"/>
      <c r="D949" s="493"/>
    </row>
    <row r="950" spans="1:4" x14ac:dyDescent="0.2">
      <c r="A950" s="516">
        <v>43696</v>
      </c>
      <c r="B950" s="493">
        <v>187365.06</v>
      </c>
      <c r="C950" s="516"/>
      <c r="D950" s="493"/>
    </row>
    <row r="951" spans="1:4" x14ac:dyDescent="0.2">
      <c r="A951" s="516">
        <v>43697</v>
      </c>
      <c r="B951" s="493">
        <v>187365</v>
      </c>
      <c r="C951" s="516"/>
      <c r="D951" s="493"/>
    </row>
    <row r="952" spans="1:4" x14ac:dyDescent="0.2">
      <c r="A952" s="516">
        <v>43698</v>
      </c>
      <c r="B952" s="493">
        <v>187365</v>
      </c>
      <c r="C952" s="516"/>
      <c r="D952" s="493"/>
    </row>
    <row r="953" spans="1:4" x14ac:dyDescent="0.2">
      <c r="A953" s="516">
        <v>43699</v>
      </c>
      <c r="B953" s="552">
        <v>172667.6</v>
      </c>
      <c r="C953" s="516"/>
      <c r="D953" s="493"/>
    </row>
    <row r="954" spans="1:4" x14ac:dyDescent="0.2">
      <c r="A954" s="516">
        <v>43700</v>
      </c>
      <c r="B954" s="493">
        <v>172668</v>
      </c>
      <c r="C954" s="516"/>
      <c r="D954" s="493"/>
    </row>
    <row r="955" spans="1:4" x14ac:dyDescent="0.2">
      <c r="A955" s="516">
        <v>43703</v>
      </c>
      <c r="B955" s="493">
        <v>236616.35</v>
      </c>
      <c r="C955" s="516"/>
      <c r="D955" s="493"/>
    </row>
    <row r="956" spans="1:4" x14ac:dyDescent="0.2">
      <c r="A956" s="516">
        <v>43704</v>
      </c>
      <c r="B956" s="493">
        <v>237913.62</v>
      </c>
      <c r="C956" s="516"/>
      <c r="D956" s="493"/>
    </row>
    <row r="957" spans="1:4" x14ac:dyDescent="0.2">
      <c r="A957" s="516">
        <v>43705</v>
      </c>
      <c r="B957" s="493">
        <v>237914</v>
      </c>
      <c r="C957" s="516"/>
      <c r="D957" s="493"/>
    </row>
    <row r="958" spans="1:4" x14ac:dyDescent="0.2">
      <c r="A958" s="516">
        <v>43706</v>
      </c>
      <c r="B958" s="493">
        <v>244708.19</v>
      </c>
      <c r="C958" s="516"/>
      <c r="D958" s="493"/>
    </row>
    <row r="959" spans="1:4" x14ac:dyDescent="0.2">
      <c r="A959" s="516">
        <v>43707</v>
      </c>
      <c r="B959" s="493">
        <v>249899.19</v>
      </c>
      <c r="C959" s="516"/>
      <c r="D959" s="493"/>
    </row>
    <row r="960" spans="1:4" x14ac:dyDescent="0.2">
      <c r="A960" s="516">
        <v>43710</v>
      </c>
      <c r="B960" s="493">
        <v>249899</v>
      </c>
      <c r="C960" s="516"/>
      <c r="D960" s="493"/>
    </row>
    <row r="961" spans="1:4" x14ac:dyDescent="0.2">
      <c r="A961" s="516">
        <v>43711</v>
      </c>
      <c r="B961" s="493">
        <v>215930.73</v>
      </c>
      <c r="C961" s="516"/>
      <c r="D961" s="493"/>
    </row>
    <row r="962" spans="1:4" x14ac:dyDescent="0.2">
      <c r="A962" s="516">
        <v>43712</v>
      </c>
      <c r="B962" s="493">
        <v>215931</v>
      </c>
      <c r="C962" s="516"/>
      <c r="D962" s="493"/>
    </row>
    <row r="963" spans="1:4" x14ac:dyDescent="0.2">
      <c r="A963" s="516">
        <v>43713</v>
      </c>
      <c r="B963" s="493">
        <v>205664.34</v>
      </c>
      <c r="C963" s="516"/>
      <c r="D963" s="493"/>
    </row>
    <row r="964" spans="1:4" x14ac:dyDescent="0.2">
      <c r="A964" s="516">
        <v>43714</v>
      </c>
      <c r="B964" s="493">
        <v>205830.34</v>
      </c>
      <c r="C964" s="516"/>
      <c r="D964" s="493"/>
    </row>
    <row r="965" spans="1:4" x14ac:dyDescent="0.2">
      <c r="A965" s="516">
        <v>43717</v>
      </c>
      <c r="B965" s="493">
        <v>205830</v>
      </c>
      <c r="C965" s="516"/>
      <c r="D965" s="493"/>
    </row>
    <row r="966" spans="1:4" x14ac:dyDescent="0.2">
      <c r="A966" s="516">
        <v>43718</v>
      </c>
      <c r="B966" s="493">
        <v>205830</v>
      </c>
      <c r="C966" s="516"/>
      <c r="D966" s="493"/>
    </row>
    <row r="967" spans="1:4" x14ac:dyDescent="0.2">
      <c r="A967" s="516">
        <v>43719</v>
      </c>
      <c r="B967" s="493">
        <v>205830</v>
      </c>
      <c r="C967" s="516"/>
      <c r="D967" s="493"/>
    </row>
    <row r="968" spans="1:4" x14ac:dyDescent="0.2">
      <c r="A968" s="516">
        <v>43720</v>
      </c>
      <c r="B968" s="493">
        <v>207654.61</v>
      </c>
      <c r="C968" s="516"/>
      <c r="D968" s="493"/>
    </row>
    <row r="969" spans="1:4" x14ac:dyDescent="0.2">
      <c r="A969" s="516">
        <v>43721</v>
      </c>
      <c r="B969" s="493">
        <v>207743.24</v>
      </c>
      <c r="C969" s="516"/>
      <c r="D969" s="493"/>
    </row>
    <row r="970" spans="1:4" x14ac:dyDescent="0.2">
      <c r="A970" s="516">
        <v>43724</v>
      </c>
      <c r="B970" s="493">
        <v>207845.42</v>
      </c>
      <c r="C970" s="516"/>
      <c r="D970" s="493"/>
    </row>
    <row r="971" spans="1:4" x14ac:dyDescent="0.2">
      <c r="A971" s="516">
        <v>43725</v>
      </c>
      <c r="B971" s="493">
        <v>173840.8</v>
      </c>
      <c r="C971" s="516"/>
      <c r="D971" s="493"/>
    </row>
    <row r="972" spans="1:4" x14ac:dyDescent="0.2">
      <c r="A972" s="516">
        <v>43726</v>
      </c>
      <c r="B972" s="493">
        <v>212383.95</v>
      </c>
      <c r="C972" s="516"/>
      <c r="D972" s="493"/>
    </row>
    <row r="973" spans="1:4" x14ac:dyDescent="0.2">
      <c r="A973" s="516">
        <v>43727</v>
      </c>
      <c r="B973" s="493">
        <v>205191.98</v>
      </c>
      <c r="C973" s="516"/>
      <c r="D973" s="493"/>
    </row>
    <row r="974" spans="1:4" x14ac:dyDescent="0.2">
      <c r="A974" s="516">
        <v>43728</v>
      </c>
      <c r="B974" s="493">
        <v>205884.98</v>
      </c>
      <c r="C974" s="516"/>
      <c r="D974" s="493"/>
    </row>
    <row r="975" spans="1:4" x14ac:dyDescent="0.2">
      <c r="A975" s="516">
        <v>43731</v>
      </c>
      <c r="B975" s="493">
        <v>205884.98</v>
      </c>
      <c r="C975" s="516"/>
      <c r="D975" s="493"/>
    </row>
    <row r="976" spans="1:4" x14ac:dyDescent="0.2">
      <c r="A976" s="516">
        <v>43732</v>
      </c>
      <c r="B976" s="493">
        <v>205884.98</v>
      </c>
      <c r="C976" s="516"/>
      <c r="D976" s="493"/>
    </row>
    <row r="977" spans="1:4" x14ac:dyDescent="0.2">
      <c r="A977" s="516">
        <v>43733</v>
      </c>
      <c r="B977" s="493">
        <v>231641.34</v>
      </c>
      <c r="C977" s="516"/>
      <c r="D977" s="493"/>
    </row>
    <row r="978" spans="1:4" x14ac:dyDescent="0.2">
      <c r="A978" s="516">
        <v>43734</v>
      </c>
      <c r="B978" s="493">
        <v>236338.62</v>
      </c>
      <c r="C978" s="516"/>
      <c r="D978" s="493"/>
    </row>
    <row r="979" spans="1:4" x14ac:dyDescent="0.2">
      <c r="A979" s="516">
        <v>43735</v>
      </c>
      <c r="B979" s="493">
        <v>269514.5</v>
      </c>
      <c r="C979" s="516"/>
      <c r="D979" s="493"/>
    </row>
    <row r="980" spans="1:4" x14ac:dyDescent="0.2">
      <c r="A980" s="516">
        <v>43738</v>
      </c>
      <c r="B980" s="493">
        <v>287654.26</v>
      </c>
      <c r="C980" s="516"/>
      <c r="D980" s="493"/>
    </row>
    <row r="981" spans="1:4" x14ac:dyDescent="0.2">
      <c r="A981" s="516">
        <v>43739</v>
      </c>
      <c r="B981" s="493">
        <v>254047.41</v>
      </c>
      <c r="C981" s="516"/>
      <c r="D981" s="493"/>
    </row>
    <row r="982" spans="1:4" x14ac:dyDescent="0.2">
      <c r="A982" s="516">
        <v>43740</v>
      </c>
      <c r="B982" s="493">
        <v>254047</v>
      </c>
      <c r="C982" s="516"/>
      <c r="D982" s="493"/>
    </row>
    <row r="983" spans="1:4" x14ac:dyDescent="0.2">
      <c r="A983" s="516">
        <v>43741</v>
      </c>
      <c r="B983" s="493">
        <v>244596.04</v>
      </c>
      <c r="C983" s="516"/>
      <c r="D983" s="493"/>
    </row>
    <row r="984" spans="1:4" x14ac:dyDescent="0.2">
      <c r="A984" s="516">
        <v>43742</v>
      </c>
      <c r="B984" s="493">
        <v>244881.04</v>
      </c>
      <c r="C984" s="516"/>
      <c r="D984" s="493"/>
    </row>
    <row r="985" spans="1:4" x14ac:dyDescent="0.2">
      <c r="A985" s="516">
        <v>43745</v>
      </c>
      <c r="B985" s="493">
        <v>244881</v>
      </c>
      <c r="C985" s="516"/>
      <c r="D985" s="493"/>
    </row>
    <row r="986" spans="1:4" x14ac:dyDescent="0.2">
      <c r="A986" s="516">
        <v>43746</v>
      </c>
      <c r="B986" s="493">
        <v>244881</v>
      </c>
      <c r="C986" s="516"/>
      <c r="D986" s="493"/>
    </row>
    <row r="987" spans="1:4" x14ac:dyDescent="0.2">
      <c r="A987" s="516">
        <v>43747</v>
      </c>
      <c r="B987" s="493">
        <v>244881</v>
      </c>
      <c r="C987" s="516"/>
      <c r="D987" s="493"/>
    </row>
    <row r="988" spans="1:4" x14ac:dyDescent="0.2">
      <c r="A988" s="516">
        <v>43748</v>
      </c>
      <c r="B988" s="493">
        <v>247845.59</v>
      </c>
      <c r="C988" s="516"/>
      <c r="D988" s="493"/>
    </row>
    <row r="989" spans="1:4" x14ac:dyDescent="0.2">
      <c r="A989" s="516">
        <v>43749</v>
      </c>
      <c r="B989" s="493">
        <v>247846</v>
      </c>
      <c r="C989" s="516"/>
      <c r="D989" s="493"/>
    </row>
    <row r="990" spans="1:4" x14ac:dyDescent="0.2">
      <c r="A990" s="516">
        <v>43752</v>
      </c>
      <c r="B990" s="493">
        <v>247846</v>
      </c>
      <c r="C990" s="516"/>
      <c r="D990" s="493"/>
    </row>
    <row r="991" spans="1:4" x14ac:dyDescent="0.2">
      <c r="A991" s="516">
        <v>43753</v>
      </c>
      <c r="B991" s="493">
        <v>183161.53</v>
      </c>
      <c r="C991" s="516"/>
      <c r="D991" s="493"/>
    </row>
    <row r="992" spans="1:4" x14ac:dyDescent="0.2">
      <c r="A992" s="516">
        <v>43754</v>
      </c>
      <c r="B992" s="493">
        <v>185786.19</v>
      </c>
      <c r="C992" s="516"/>
      <c r="D992" s="493"/>
    </row>
    <row r="993" spans="1:4" x14ac:dyDescent="0.2">
      <c r="A993" s="516">
        <v>43755</v>
      </c>
      <c r="B993" s="493">
        <v>160581.73000000001</v>
      </c>
      <c r="C993" s="516"/>
      <c r="D993" s="493"/>
    </row>
    <row r="994" spans="1:4" x14ac:dyDescent="0.2">
      <c r="A994" s="516">
        <v>43756</v>
      </c>
      <c r="B994" s="493">
        <v>160581.73000000001</v>
      </c>
      <c r="C994" s="516"/>
      <c r="D994" s="493"/>
    </row>
    <row r="995" spans="1:4" x14ac:dyDescent="0.2">
      <c r="A995" s="516">
        <v>43759</v>
      </c>
      <c r="B995" s="493">
        <v>160581.73000000001</v>
      </c>
      <c r="C995" s="516"/>
      <c r="D995" s="493"/>
    </row>
    <row r="996" spans="1:4" x14ac:dyDescent="0.2">
      <c r="A996" s="516">
        <v>43760</v>
      </c>
      <c r="B996" s="493">
        <v>160581.73000000001</v>
      </c>
      <c r="C996" s="516"/>
      <c r="D996" s="493"/>
    </row>
    <row r="997" spans="1:4" x14ac:dyDescent="0.2">
      <c r="A997" s="516">
        <v>43761</v>
      </c>
      <c r="B997" s="493">
        <v>171996.42</v>
      </c>
      <c r="C997" s="516"/>
      <c r="D997" s="493"/>
    </row>
    <row r="998" spans="1:4" x14ac:dyDescent="0.2">
      <c r="A998" s="516">
        <v>43762</v>
      </c>
      <c r="B998" s="493">
        <v>167352.24</v>
      </c>
      <c r="C998" s="516"/>
      <c r="D998" s="493"/>
    </row>
    <row r="999" spans="1:4" x14ac:dyDescent="0.2">
      <c r="A999" s="516">
        <v>43763</v>
      </c>
      <c r="B999" s="493">
        <v>166766.24</v>
      </c>
      <c r="C999" s="516"/>
      <c r="D999" s="493"/>
    </row>
    <row r="1000" spans="1:4" x14ac:dyDescent="0.2">
      <c r="A1000" s="516">
        <v>43766</v>
      </c>
      <c r="B1000" s="552">
        <v>129051.26</v>
      </c>
      <c r="C1000" s="516"/>
      <c r="D1000" s="493"/>
    </row>
    <row r="1001" spans="1:4" x14ac:dyDescent="0.2">
      <c r="A1001" s="516">
        <v>43767</v>
      </c>
      <c r="B1001" s="493">
        <v>132306.64000000001</v>
      </c>
      <c r="C1001" s="516"/>
      <c r="D1001" s="493"/>
    </row>
    <row r="1002" spans="1:4" x14ac:dyDescent="0.2">
      <c r="A1002" s="516">
        <v>43768</v>
      </c>
      <c r="B1002" s="493">
        <v>181475.08</v>
      </c>
      <c r="C1002" s="516"/>
      <c r="D1002" s="493"/>
    </row>
    <row r="1003" spans="1:4" x14ac:dyDescent="0.2">
      <c r="A1003" s="516">
        <v>43769</v>
      </c>
      <c r="B1003" s="493">
        <v>169335.94</v>
      </c>
      <c r="C1003" s="516"/>
      <c r="D1003" s="493"/>
    </row>
    <row r="1004" spans="1:4" x14ac:dyDescent="0.2">
      <c r="A1004" s="516">
        <v>43770</v>
      </c>
      <c r="B1004" s="493">
        <v>171521.13</v>
      </c>
      <c r="C1004" s="516"/>
      <c r="D1004" s="493"/>
    </row>
    <row r="1005" spans="1:4" x14ac:dyDescent="0.2">
      <c r="A1005" s="516">
        <v>43773</v>
      </c>
      <c r="B1005" s="493">
        <v>171521</v>
      </c>
      <c r="C1005" s="516"/>
      <c r="D1005" s="493"/>
    </row>
    <row r="1006" spans="1:4" x14ac:dyDescent="0.2">
      <c r="A1006" s="516">
        <v>43774</v>
      </c>
      <c r="B1006" s="493">
        <v>171521</v>
      </c>
      <c r="C1006" s="516"/>
      <c r="D1006" s="493"/>
    </row>
    <row r="1007" spans="1:4" x14ac:dyDescent="0.2">
      <c r="A1007" s="516">
        <v>43775</v>
      </c>
      <c r="B1007" s="493">
        <v>201934.13</v>
      </c>
      <c r="C1007" s="516"/>
      <c r="D1007" s="493"/>
    </row>
    <row r="1008" spans="1:4" x14ac:dyDescent="0.2">
      <c r="A1008" s="516">
        <v>43776</v>
      </c>
      <c r="B1008" s="493">
        <v>198457.3</v>
      </c>
      <c r="C1008" s="516"/>
      <c r="D1008" s="493"/>
    </row>
    <row r="1009" spans="1:4" x14ac:dyDescent="0.2">
      <c r="A1009" s="516">
        <v>43777</v>
      </c>
      <c r="B1009" s="493">
        <v>198457</v>
      </c>
      <c r="C1009" s="516"/>
      <c r="D1009" s="493"/>
    </row>
    <row r="1010" spans="1:4" x14ac:dyDescent="0.2">
      <c r="A1010" s="516">
        <v>43780</v>
      </c>
      <c r="B1010" s="493">
        <v>164046.53</v>
      </c>
      <c r="C1010" s="516"/>
      <c r="D1010" s="493"/>
    </row>
    <row r="1011" spans="1:4" x14ac:dyDescent="0.2">
      <c r="A1011" s="516">
        <v>43781</v>
      </c>
      <c r="B1011" s="493">
        <v>164047</v>
      </c>
      <c r="C1011" s="516"/>
      <c r="D1011" s="493"/>
    </row>
    <row r="1012" spans="1:4" x14ac:dyDescent="0.2">
      <c r="A1012" s="516">
        <v>43782</v>
      </c>
      <c r="B1012" s="493">
        <v>198779.19</v>
      </c>
      <c r="C1012" s="516"/>
      <c r="D1012" s="493"/>
    </row>
    <row r="1013" spans="1:4" x14ac:dyDescent="0.2">
      <c r="A1013" s="516">
        <v>43783</v>
      </c>
      <c r="B1013" s="493">
        <v>188221.13</v>
      </c>
      <c r="C1013" s="516"/>
      <c r="D1013" s="493"/>
    </row>
    <row r="1014" spans="1:4" x14ac:dyDescent="0.2">
      <c r="A1014" s="516">
        <v>43784</v>
      </c>
      <c r="B1014" s="493">
        <v>190279.89</v>
      </c>
      <c r="C1014" s="516"/>
      <c r="D1014" s="493"/>
    </row>
    <row r="1015" spans="1:4" x14ac:dyDescent="0.2">
      <c r="A1015" s="516">
        <v>43787</v>
      </c>
      <c r="B1015" s="493">
        <v>190179.89</v>
      </c>
      <c r="C1015" s="516"/>
      <c r="D1015" s="493"/>
    </row>
    <row r="1016" spans="1:4" x14ac:dyDescent="0.2">
      <c r="A1016" s="516">
        <v>43788</v>
      </c>
      <c r="B1016" s="493">
        <v>190180</v>
      </c>
      <c r="C1016" s="516"/>
      <c r="D1016" s="493"/>
    </row>
    <row r="1017" spans="1:4" x14ac:dyDescent="0.2">
      <c r="A1017" s="516">
        <v>43789</v>
      </c>
      <c r="B1017" s="493">
        <v>190180</v>
      </c>
      <c r="C1017" s="516"/>
      <c r="D1017" s="493"/>
    </row>
    <row r="1018" spans="1:4" x14ac:dyDescent="0.2">
      <c r="A1018" s="516">
        <v>43790</v>
      </c>
      <c r="B1018" s="493">
        <v>188919.3</v>
      </c>
      <c r="C1018" s="516"/>
      <c r="D1018" s="493"/>
    </row>
    <row r="1019" spans="1:4" x14ac:dyDescent="0.2">
      <c r="A1019" s="516">
        <v>43791</v>
      </c>
      <c r="B1019" s="493">
        <v>188919</v>
      </c>
      <c r="C1019" s="516"/>
      <c r="D1019" s="493"/>
    </row>
    <row r="1020" spans="1:4" x14ac:dyDescent="0.2">
      <c r="A1020" s="516">
        <v>43794</v>
      </c>
      <c r="B1020" s="493">
        <v>153349.64000000001</v>
      </c>
      <c r="C1020" s="516"/>
      <c r="D1020" s="493"/>
    </row>
    <row r="1021" spans="1:4" x14ac:dyDescent="0.2">
      <c r="A1021" s="516">
        <v>43795</v>
      </c>
      <c r="B1021" s="493">
        <v>153226.64000000001</v>
      </c>
      <c r="C1021" s="516"/>
      <c r="D1021" s="493"/>
    </row>
    <row r="1022" spans="1:4" x14ac:dyDescent="0.2">
      <c r="A1022" s="516">
        <v>43796</v>
      </c>
      <c r="B1022" s="493">
        <v>154369.64000000001</v>
      </c>
      <c r="C1022" s="516"/>
      <c r="D1022" s="493"/>
    </row>
    <row r="1023" spans="1:4" x14ac:dyDescent="0.2">
      <c r="A1023" s="516">
        <v>43797</v>
      </c>
      <c r="B1023" s="493">
        <v>154370</v>
      </c>
      <c r="C1023" s="516"/>
      <c r="D1023" s="493"/>
    </row>
    <row r="1024" spans="1:4" x14ac:dyDescent="0.2">
      <c r="A1024" s="516">
        <v>43798</v>
      </c>
      <c r="B1024" s="493">
        <v>237011.17</v>
      </c>
      <c r="C1024" s="516"/>
      <c r="D1024" s="493"/>
    </row>
    <row r="1025" spans="1:4" x14ac:dyDescent="0.2">
      <c r="A1025" s="516">
        <v>43801</v>
      </c>
      <c r="B1025" s="493">
        <v>237011</v>
      </c>
      <c r="C1025" s="516"/>
      <c r="D1025" s="493"/>
    </row>
    <row r="1026" spans="1:4" x14ac:dyDescent="0.2">
      <c r="A1026" s="516">
        <v>43802</v>
      </c>
      <c r="B1026" s="493">
        <v>237011</v>
      </c>
      <c r="C1026" s="516"/>
      <c r="D1026" s="493"/>
    </row>
    <row r="1027" spans="1:4" x14ac:dyDescent="0.2">
      <c r="A1027" s="516">
        <v>43803</v>
      </c>
      <c r="B1027" s="493">
        <v>237011</v>
      </c>
      <c r="C1027" s="516"/>
      <c r="D1027" s="493"/>
    </row>
    <row r="1028" spans="1:4" x14ac:dyDescent="0.2">
      <c r="A1028" s="516">
        <v>43804</v>
      </c>
      <c r="B1028" s="493">
        <v>229967.75</v>
      </c>
      <c r="C1028" s="516"/>
      <c r="D1028" s="493"/>
    </row>
    <row r="1029" spans="1:4" x14ac:dyDescent="0.2">
      <c r="A1029" s="516">
        <v>43805</v>
      </c>
      <c r="B1029" s="493">
        <v>229968</v>
      </c>
      <c r="C1029" s="516"/>
      <c r="D1029" s="493"/>
    </row>
    <row r="1030" spans="1:4" x14ac:dyDescent="0.2">
      <c r="A1030" s="516">
        <v>43808</v>
      </c>
      <c r="B1030" s="493">
        <v>193352.99</v>
      </c>
      <c r="C1030" s="516"/>
      <c r="D1030" s="493"/>
    </row>
    <row r="1031" spans="1:4" x14ac:dyDescent="0.2">
      <c r="A1031" s="516">
        <v>43809</v>
      </c>
      <c r="B1031" s="493">
        <v>193629.99</v>
      </c>
      <c r="C1031" s="516"/>
      <c r="D1031" s="493"/>
    </row>
    <row r="1032" spans="1:4" x14ac:dyDescent="0.2">
      <c r="A1032" s="516">
        <v>43810</v>
      </c>
      <c r="B1032" s="493">
        <v>193630</v>
      </c>
      <c r="C1032" s="516"/>
      <c r="D1032" s="493"/>
    </row>
    <row r="1033" spans="1:4" x14ac:dyDescent="0.2">
      <c r="A1033" s="516">
        <v>43811</v>
      </c>
      <c r="B1033" s="493">
        <v>193945</v>
      </c>
      <c r="C1033" s="516"/>
      <c r="D1033" s="493"/>
    </row>
    <row r="1034" spans="1:4" x14ac:dyDescent="0.2">
      <c r="A1034" s="516">
        <v>43812</v>
      </c>
      <c r="B1034" s="493">
        <v>196370.92</v>
      </c>
      <c r="C1034" s="516"/>
      <c r="D1034" s="493"/>
    </row>
    <row r="1035" spans="1:4" x14ac:dyDescent="0.2">
      <c r="A1035" s="516">
        <v>43815</v>
      </c>
      <c r="B1035" s="493">
        <v>196370.92</v>
      </c>
      <c r="C1035" s="516"/>
      <c r="D1035" s="493"/>
    </row>
    <row r="1036" spans="1:4" x14ac:dyDescent="0.2">
      <c r="A1036" s="516">
        <v>43816</v>
      </c>
      <c r="B1036" s="493">
        <v>196370.92</v>
      </c>
      <c r="C1036" s="516"/>
      <c r="D1036" s="493"/>
    </row>
    <row r="1037" spans="1:4" x14ac:dyDescent="0.2">
      <c r="A1037" s="516">
        <v>43817</v>
      </c>
      <c r="B1037" s="493">
        <v>196370.92</v>
      </c>
      <c r="C1037" s="516"/>
      <c r="D1037" s="493"/>
    </row>
    <row r="1038" spans="1:4" x14ac:dyDescent="0.2">
      <c r="A1038" s="516">
        <v>43818</v>
      </c>
      <c r="B1038" s="493">
        <v>194997.56</v>
      </c>
      <c r="C1038" s="516"/>
      <c r="D1038" s="493"/>
    </row>
    <row r="1039" spans="1:4" x14ac:dyDescent="0.2">
      <c r="A1039" s="516">
        <v>43819</v>
      </c>
      <c r="B1039" s="493">
        <v>194998</v>
      </c>
      <c r="C1039" s="516"/>
      <c r="D1039" s="493"/>
    </row>
    <row r="1040" spans="1:4" x14ac:dyDescent="0.2">
      <c r="A1040" s="516">
        <v>43822</v>
      </c>
      <c r="B1040" s="493">
        <v>158280.26999999999</v>
      </c>
      <c r="C1040" s="516"/>
      <c r="D1040" s="493"/>
    </row>
    <row r="1041" spans="1:4" x14ac:dyDescent="0.2">
      <c r="A1041" s="516">
        <v>43823</v>
      </c>
      <c r="B1041" s="493">
        <v>163840.26999999999</v>
      </c>
      <c r="C1041" s="516"/>
      <c r="D1041" s="493"/>
    </row>
    <row r="1042" spans="1:4" x14ac:dyDescent="0.2">
      <c r="A1042" s="516">
        <v>43824</v>
      </c>
      <c r="B1042" s="493">
        <v>163840</v>
      </c>
      <c r="C1042" s="516"/>
      <c r="D1042" s="493"/>
    </row>
    <row r="1043" spans="1:4" x14ac:dyDescent="0.2">
      <c r="A1043" s="516">
        <v>43825</v>
      </c>
      <c r="B1043" s="493">
        <v>213174.46</v>
      </c>
      <c r="C1043" s="516"/>
      <c r="D1043" s="493"/>
    </row>
    <row r="1044" spans="1:4" x14ac:dyDescent="0.2">
      <c r="A1044" s="516">
        <v>43826</v>
      </c>
      <c r="B1044" s="493">
        <v>212851.46</v>
      </c>
      <c r="C1044" s="516"/>
      <c r="D1044" s="493"/>
    </row>
    <row r="1045" spans="1:4" x14ac:dyDescent="0.2">
      <c r="A1045" s="516">
        <v>43829</v>
      </c>
      <c r="B1045" s="493">
        <v>212221.74</v>
      </c>
      <c r="C1045" s="516"/>
      <c r="D1045" s="493"/>
    </row>
    <row r="1046" spans="1:4" x14ac:dyDescent="0.2">
      <c r="A1046" s="516">
        <v>43830</v>
      </c>
      <c r="B1046" s="493">
        <v>189055.83</v>
      </c>
      <c r="C1046" s="516"/>
      <c r="D1046" s="493"/>
    </row>
    <row r="1047" spans="1:4" ht="15" x14ac:dyDescent="0.25">
      <c r="A1047" s="747">
        <v>43831</v>
      </c>
      <c r="B1047" s="493">
        <v>189056</v>
      </c>
      <c r="C1047" s="516"/>
      <c r="D1047" s="493"/>
    </row>
    <row r="1048" spans="1:4" ht="15" x14ac:dyDescent="0.25">
      <c r="A1048" s="747">
        <v>43832</v>
      </c>
      <c r="B1048" s="493">
        <v>206403.28</v>
      </c>
      <c r="C1048" s="516"/>
      <c r="D1048" s="493"/>
    </row>
    <row r="1049" spans="1:4" ht="15" x14ac:dyDescent="0.25">
      <c r="A1049" s="747">
        <v>43833</v>
      </c>
      <c r="B1049" s="493">
        <v>206217.28</v>
      </c>
      <c r="C1049" s="516"/>
      <c r="D1049" s="493"/>
    </row>
    <row r="1050" spans="1:4" ht="15" x14ac:dyDescent="0.25">
      <c r="A1050" s="747">
        <v>43836</v>
      </c>
      <c r="B1050" s="493">
        <v>206129.28</v>
      </c>
      <c r="C1050" s="516"/>
      <c r="D1050" s="493"/>
    </row>
    <row r="1051" spans="1:4" ht="15" x14ac:dyDescent="0.25">
      <c r="A1051" s="747">
        <v>43837</v>
      </c>
      <c r="B1051" s="493">
        <v>172858.39</v>
      </c>
      <c r="C1051" s="516"/>
      <c r="D1051" s="493"/>
    </row>
    <row r="1052" spans="1:4" ht="15" x14ac:dyDescent="0.25">
      <c r="A1052" s="747">
        <v>43838</v>
      </c>
      <c r="B1052" s="493">
        <v>172585</v>
      </c>
      <c r="C1052" s="516"/>
      <c r="D1052" s="493"/>
    </row>
    <row r="1053" spans="1:4" ht="15" x14ac:dyDescent="0.25">
      <c r="A1053" s="747">
        <v>43839</v>
      </c>
      <c r="B1053" s="493">
        <v>184752.38</v>
      </c>
      <c r="C1053" s="516"/>
      <c r="D1053" s="493"/>
    </row>
    <row r="1054" spans="1:4" ht="15" x14ac:dyDescent="0.25">
      <c r="A1054" s="747">
        <v>43840</v>
      </c>
      <c r="B1054" s="493">
        <v>199849.93</v>
      </c>
      <c r="C1054" s="516"/>
      <c r="D1054" s="493"/>
    </row>
    <row r="1055" spans="1:4" ht="15" x14ac:dyDescent="0.25">
      <c r="A1055" s="747">
        <v>43843</v>
      </c>
      <c r="B1055" s="493">
        <v>199850</v>
      </c>
      <c r="C1055" s="516"/>
      <c r="D1055" s="493"/>
    </row>
    <row r="1056" spans="1:4" ht="15" x14ac:dyDescent="0.25">
      <c r="A1056" s="747">
        <v>43844</v>
      </c>
      <c r="B1056" s="493">
        <v>199850</v>
      </c>
      <c r="C1056" s="516"/>
      <c r="D1056" s="493"/>
    </row>
    <row r="1057" spans="1:4" ht="15" x14ac:dyDescent="0.25">
      <c r="A1057" s="747">
        <v>43845</v>
      </c>
      <c r="B1057" s="493">
        <v>199942.09</v>
      </c>
      <c r="C1057" s="516"/>
      <c r="D1057" s="493"/>
    </row>
    <row r="1058" spans="1:4" ht="15" x14ac:dyDescent="0.25">
      <c r="A1058" s="747">
        <v>43846</v>
      </c>
      <c r="B1058" s="493">
        <v>197586.14</v>
      </c>
      <c r="C1058" s="516"/>
      <c r="D1058" s="493"/>
    </row>
    <row r="1059" spans="1:4" ht="15" x14ac:dyDescent="0.25">
      <c r="A1059" s="747">
        <v>43847</v>
      </c>
      <c r="B1059" s="493">
        <v>197586</v>
      </c>
      <c r="C1059" s="516"/>
      <c r="D1059" s="493"/>
    </row>
    <row r="1060" spans="1:4" ht="15" x14ac:dyDescent="0.25">
      <c r="A1060" s="747">
        <v>43850</v>
      </c>
      <c r="B1060" s="493">
        <v>197586</v>
      </c>
      <c r="C1060" s="516"/>
      <c r="D1060" s="493"/>
    </row>
    <row r="1061" spans="1:4" ht="15" x14ac:dyDescent="0.25">
      <c r="A1061" s="747">
        <v>43851</v>
      </c>
      <c r="B1061" s="493">
        <v>160213.23000000001</v>
      </c>
      <c r="C1061" s="516"/>
      <c r="D1061" s="699"/>
    </row>
    <row r="1062" spans="1:4" ht="15" x14ac:dyDescent="0.25">
      <c r="A1062" s="747">
        <v>43852</v>
      </c>
      <c r="B1062" s="493">
        <v>160213</v>
      </c>
      <c r="C1062" s="516"/>
      <c r="D1062" s="493"/>
    </row>
    <row r="1063" spans="1:4" ht="15" x14ac:dyDescent="0.25">
      <c r="A1063" s="747">
        <v>43853</v>
      </c>
      <c r="B1063" s="493">
        <v>178835.97</v>
      </c>
      <c r="C1063" s="516"/>
      <c r="D1063" s="493"/>
    </row>
    <row r="1064" spans="1:4" ht="15" x14ac:dyDescent="0.25">
      <c r="A1064" s="747">
        <v>43854</v>
      </c>
      <c r="B1064" s="493">
        <v>177774.06</v>
      </c>
      <c r="C1064" s="516"/>
      <c r="D1064" s="493"/>
    </row>
    <row r="1065" spans="1:4" ht="15" x14ac:dyDescent="0.25">
      <c r="A1065" s="747">
        <v>43857</v>
      </c>
      <c r="B1065" s="493">
        <v>177774</v>
      </c>
      <c r="C1065" s="516"/>
      <c r="D1065" s="493"/>
    </row>
    <row r="1066" spans="1:4" ht="15" x14ac:dyDescent="0.25">
      <c r="A1066" s="747">
        <v>43858</v>
      </c>
      <c r="B1066" s="493">
        <v>177774</v>
      </c>
      <c r="C1066" s="516"/>
      <c r="D1066" s="493"/>
    </row>
    <row r="1067" spans="1:4" ht="15" x14ac:dyDescent="0.25">
      <c r="A1067" s="747">
        <v>43859</v>
      </c>
      <c r="B1067" s="493">
        <v>253459.84</v>
      </c>
      <c r="C1067" s="516"/>
      <c r="D1067" s="493"/>
    </row>
    <row r="1068" spans="1:4" ht="15" x14ac:dyDescent="0.25">
      <c r="A1068" s="747">
        <v>43860</v>
      </c>
      <c r="B1068" s="493">
        <v>235320.22</v>
      </c>
      <c r="C1068" s="516"/>
      <c r="D1068" s="493"/>
    </row>
    <row r="1069" spans="1:4" ht="15" x14ac:dyDescent="0.25">
      <c r="A1069" s="747">
        <v>43861</v>
      </c>
      <c r="B1069" s="493">
        <v>235320</v>
      </c>
      <c r="C1069" s="516"/>
      <c r="D1069" s="493"/>
    </row>
    <row r="1070" spans="1:4" ht="15" x14ac:dyDescent="0.25">
      <c r="A1070" s="747">
        <v>43864</v>
      </c>
      <c r="B1070" s="493">
        <v>198483.96</v>
      </c>
      <c r="C1070" s="516"/>
      <c r="D1070" s="493"/>
    </row>
    <row r="1071" spans="1:4" ht="15" x14ac:dyDescent="0.25">
      <c r="A1071" s="747">
        <v>43865</v>
      </c>
      <c r="B1071" s="493">
        <v>212819.68</v>
      </c>
      <c r="C1071" s="516"/>
      <c r="D1071" s="493"/>
    </row>
    <row r="1072" spans="1:4" ht="15" x14ac:dyDescent="0.25">
      <c r="A1072" s="747">
        <v>43866</v>
      </c>
      <c r="B1072" s="493">
        <v>212820</v>
      </c>
      <c r="C1072" s="516"/>
      <c r="D1072" s="493"/>
    </row>
    <row r="1073" spans="1:4" ht="15" x14ac:dyDescent="0.25">
      <c r="A1073" s="747">
        <v>43867</v>
      </c>
      <c r="B1073" s="493">
        <v>212584.24</v>
      </c>
      <c r="C1073" s="516"/>
      <c r="D1073" s="493"/>
    </row>
    <row r="1074" spans="1:4" ht="15" x14ac:dyDescent="0.25">
      <c r="A1074" s="747">
        <v>43868</v>
      </c>
      <c r="B1074" s="493">
        <v>270092.23</v>
      </c>
      <c r="C1074" s="516"/>
      <c r="D1074" s="493"/>
    </row>
    <row r="1075" spans="1:4" ht="15" x14ac:dyDescent="0.25">
      <c r="A1075" s="747">
        <v>43871</v>
      </c>
      <c r="B1075" s="493">
        <v>270092</v>
      </c>
      <c r="C1075" s="516"/>
      <c r="D1075" s="493"/>
    </row>
    <row r="1076" spans="1:4" ht="15" x14ac:dyDescent="0.25">
      <c r="A1076" s="747">
        <v>43872</v>
      </c>
      <c r="B1076" s="493">
        <v>273133.13</v>
      </c>
      <c r="C1076" s="516"/>
      <c r="D1076" s="493"/>
    </row>
    <row r="1077" spans="1:4" ht="15" x14ac:dyDescent="0.25">
      <c r="A1077" s="747">
        <v>43873</v>
      </c>
      <c r="B1077" s="493">
        <v>273133</v>
      </c>
      <c r="C1077" s="516"/>
      <c r="D1077" s="493"/>
    </row>
    <row r="1078" spans="1:4" ht="15" x14ac:dyDescent="0.25">
      <c r="A1078" s="747">
        <v>43874</v>
      </c>
      <c r="B1078" s="493">
        <v>280484.09000000003</v>
      </c>
      <c r="C1078" s="516"/>
      <c r="D1078" s="493"/>
    </row>
    <row r="1079" spans="1:4" ht="15" x14ac:dyDescent="0.25">
      <c r="A1079" s="747">
        <v>43875</v>
      </c>
      <c r="B1079" s="493">
        <v>279225.67</v>
      </c>
      <c r="C1079" s="516"/>
      <c r="D1079" s="493"/>
    </row>
    <row r="1080" spans="1:4" ht="15" x14ac:dyDescent="0.25">
      <c r="A1080" s="747">
        <v>43878</v>
      </c>
      <c r="B1080" s="493">
        <v>279226</v>
      </c>
      <c r="C1080" s="516"/>
      <c r="D1080" s="493"/>
    </row>
    <row r="1081" spans="1:4" ht="15" x14ac:dyDescent="0.25">
      <c r="A1081" s="747">
        <v>43879</v>
      </c>
      <c r="B1081" s="493">
        <v>241740.68</v>
      </c>
      <c r="C1081" s="516"/>
      <c r="D1081" s="493"/>
    </row>
    <row r="1082" spans="1:4" ht="15" x14ac:dyDescent="0.25">
      <c r="A1082" s="747">
        <v>43880</v>
      </c>
      <c r="B1082" s="493">
        <v>268478</v>
      </c>
      <c r="C1082" s="516"/>
      <c r="D1082" s="493"/>
    </row>
    <row r="1083" spans="1:4" ht="15" x14ac:dyDescent="0.25">
      <c r="A1083" s="747">
        <v>43881</v>
      </c>
      <c r="B1083" s="493">
        <v>258524.93</v>
      </c>
      <c r="C1083" s="516"/>
      <c r="D1083" s="493"/>
    </row>
    <row r="1084" spans="1:4" ht="15" x14ac:dyDescent="0.25">
      <c r="A1084" s="747">
        <v>43882</v>
      </c>
      <c r="B1084" s="493">
        <v>277316.53000000003</v>
      </c>
      <c r="C1084" s="516"/>
      <c r="D1084" s="493"/>
    </row>
    <row r="1085" spans="1:4" ht="15" x14ac:dyDescent="0.25">
      <c r="A1085" s="747">
        <v>43885</v>
      </c>
      <c r="B1085" s="493">
        <v>277317</v>
      </c>
      <c r="C1085" s="516"/>
      <c r="D1085" s="493"/>
    </row>
    <row r="1086" spans="1:4" ht="15" x14ac:dyDescent="0.25">
      <c r="A1086" s="747">
        <v>43886</v>
      </c>
      <c r="B1086" s="493">
        <v>279881.78999999998</v>
      </c>
      <c r="C1086" s="516"/>
      <c r="D1086" s="493"/>
    </row>
    <row r="1087" spans="1:4" ht="15" x14ac:dyDescent="0.25">
      <c r="A1087" s="747">
        <v>43887</v>
      </c>
      <c r="B1087" s="493">
        <v>279882</v>
      </c>
      <c r="C1087" s="516"/>
      <c r="D1087" s="493"/>
    </row>
    <row r="1088" spans="1:4" ht="15" x14ac:dyDescent="0.25">
      <c r="A1088" s="747">
        <v>43888</v>
      </c>
      <c r="B1088" s="493">
        <v>270773.33</v>
      </c>
      <c r="C1088" s="516"/>
      <c r="D1088" s="493"/>
    </row>
    <row r="1089" spans="1:4" ht="15" x14ac:dyDescent="0.25">
      <c r="A1089" s="747">
        <v>43889</v>
      </c>
      <c r="B1089" s="493">
        <v>306133.57</v>
      </c>
      <c r="C1089" s="516"/>
      <c r="D1089" s="699"/>
    </row>
    <row r="1090" spans="1:4" ht="15" x14ac:dyDescent="0.25">
      <c r="A1090" s="747">
        <v>43892</v>
      </c>
      <c r="B1090" s="493">
        <v>267343.68</v>
      </c>
      <c r="C1090" s="516"/>
      <c r="D1090" s="699"/>
    </row>
    <row r="1091" spans="1:4" ht="15" x14ac:dyDescent="0.25">
      <c r="A1091" s="747">
        <v>43893</v>
      </c>
      <c r="B1091" s="493">
        <v>267157.68</v>
      </c>
      <c r="C1091" s="516"/>
      <c r="D1091" s="699"/>
    </row>
    <row r="1092" spans="1:4" ht="15" x14ac:dyDescent="0.25">
      <c r="A1092" s="747">
        <v>43894</v>
      </c>
      <c r="B1092" s="493">
        <v>267157.68</v>
      </c>
      <c r="C1092" s="516"/>
      <c r="D1092" s="699"/>
    </row>
    <row r="1093" spans="1:4" ht="15" x14ac:dyDescent="0.25">
      <c r="A1093" s="747">
        <v>43895</v>
      </c>
      <c r="B1093" s="493">
        <v>264690.95</v>
      </c>
      <c r="C1093" s="516"/>
      <c r="D1093" s="699"/>
    </row>
    <row r="1094" spans="1:4" ht="15" x14ac:dyDescent="0.25">
      <c r="A1094" s="747">
        <v>43896</v>
      </c>
      <c r="B1094" s="493">
        <v>264495.03999999998</v>
      </c>
      <c r="C1094" s="516"/>
      <c r="D1094" s="699"/>
    </row>
    <row r="1095" spans="1:4" ht="15" x14ac:dyDescent="0.25">
      <c r="A1095" s="747">
        <v>43899</v>
      </c>
      <c r="B1095" s="493">
        <v>264495.03999999998</v>
      </c>
      <c r="C1095" s="516"/>
      <c r="D1095" s="699"/>
    </row>
    <row r="1096" spans="1:4" ht="15" x14ac:dyDescent="0.25">
      <c r="A1096" s="747">
        <v>43900</v>
      </c>
      <c r="B1096" s="493">
        <v>267283.63</v>
      </c>
      <c r="C1096" s="516"/>
      <c r="D1096" s="699"/>
    </row>
    <row r="1097" spans="1:4" ht="15" x14ac:dyDescent="0.25">
      <c r="A1097" s="747">
        <v>43901</v>
      </c>
      <c r="B1097" s="493">
        <v>267283.63</v>
      </c>
      <c r="C1097" s="516"/>
      <c r="D1097" s="699"/>
    </row>
    <row r="1098" spans="1:4" ht="15" x14ac:dyDescent="0.25">
      <c r="A1098" s="747">
        <v>43902</v>
      </c>
      <c r="B1098" s="493">
        <v>259537.69</v>
      </c>
      <c r="C1098" s="516"/>
      <c r="D1098" s="699"/>
    </row>
    <row r="1099" spans="1:4" ht="15" x14ac:dyDescent="0.25">
      <c r="A1099" s="747">
        <v>43903</v>
      </c>
      <c r="B1099" s="493">
        <v>259645.65</v>
      </c>
      <c r="C1099" s="516"/>
      <c r="D1099" s="699"/>
    </row>
    <row r="1100" spans="1:4" ht="15" x14ac:dyDescent="0.25">
      <c r="A1100" s="747">
        <v>43906</v>
      </c>
      <c r="B1100" s="493">
        <v>279221.03000000003</v>
      </c>
      <c r="C1100" s="516"/>
      <c r="D1100" s="699"/>
    </row>
    <row r="1101" spans="1:4" ht="15" x14ac:dyDescent="0.25">
      <c r="A1101" s="747">
        <v>43907</v>
      </c>
      <c r="B1101" s="493">
        <v>232150.36</v>
      </c>
      <c r="C1101" s="516"/>
      <c r="D1101" s="699"/>
    </row>
    <row r="1102" spans="1:4" ht="15" x14ac:dyDescent="0.25">
      <c r="A1102" s="747">
        <v>43908</v>
      </c>
      <c r="B1102" s="493">
        <v>274274.51</v>
      </c>
      <c r="C1102" s="516"/>
      <c r="D1102" s="699"/>
    </row>
    <row r="1103" spans="1:4" ht="15" x14ac:dyDescent="0.25">
      <c r="A1103" s="747">
        <v>43909</v>
      </c>
      <c r="B1103" s="493">
        <v>276629.48</v>
      </c>
      <c r="C1103" s="516"/>
      <c r="D1103" s="699"/>
    </row>
    <row r="1104" spans="1:4" ht="15" x14ac:dyDescent="0.25">
      <c r="A1104" s="747">
        <v>43910</v>
      </c>
      <c r="B1104" s="493">
        <v>276629.48</v>
      </c>
      <c r="C1104" s="516"/>
      <c r="D1104" s="699"/>
    </row>
    <row r="1105" spans="1:4" ht="15" x14ac:dyDescent="0.25">
      <c r="A1105" s="747">
        <v>43913</v>
      </c>
      <c r="B1105" s="493">
        <v>292626.55</v>
      </c>
      <c r="C1105" s="516"/>
      <c r="D1105" s="699"/>
    </row>
    <row r="1106" spans="1:4" ht="15" x14ac:dyDescent="0.25">
      <c r="A1106" s="747">
        <v>43914</v>
      </c>
      <c r="B1106" s="493">
        <v>292626.55</v>
      </c>
      <c r="C1106" s="516"/>
      <c r="D1106" s="699"/>
    </row>
    <row r="1107" spans="1:4" ht="15" x14ac:dyDescent="0.25">
      <c r="A1107" s="747">
        <v>43915</v>
      </c>
      <c r="B1107" s="493">
        <v>292626.55</v>
      </c>
      <c r="C1107" s="516"/>
      <c r="D1107" s="699"/>
    </row>
    <row r="1108" spans="1:4" ht="15" x14ac:dyDescent="0.25">
      <c r="A1108" s="747">
        <v>43916</v>
      </c>
      <c r="B1108" s="493">
        <v>292626.55</v>
      </c>
      <c r="C1108" s="516"/>
      <c r="D1108" s="699"/>
    </row>
    <row r="1109" spans="1:4" ht="15" x14ac:dyDescent="0.25">
      <c r="A1109" s="747">
        <v>43917</v>
      </c>
      <c r="B1109" s="493">
        <v>292582.55</v>
      </c>
      <c r="C1109" s="516"/>
      <c r="D1109" s="699"/>
    </row>
    <row r="1110" spans="1:4" ht="15" x14ac:dyDescent="0.25">
      <c r="A1110" s="747">
        <v>43920</v>
      </c>
      <c r="B1110" s="493">
        <v>292582.55</v>
      </c>
      <c r="C1110" s="516"/>
      <c r="D1110" s="699"/>
    </row>
    <row r="1111" spans="1:4" ht="15" x14ac:dyDescent="0.25">
      <c r="A1111" s="747">
        <v>43921</v>
      </c>
      <c r="B1111" s="493">
        <v>292582.55</v>
      </c>
      <c r="C1111" s="516"/>
      <c r="D1111" s="699"/>
    </row>
    <row r="1112" spans="1:4" ht="15" x14ac:dyDescent="0.25">
      <c r="A1112" s="747">
        <v>43922</v>
      </c>
      <c r="B1112" s="493">
        <v>256343.91</v>
      </c>
      <c r="C1112" s="516"/>
      <c r="D1112" s="699"/>
    </row>
    <row r="1113" spans="1:4" ht="15" x14ac:dyDescent="0.25">
      <c r="A1113" s="747">
        <v>43923</v>
      </c>
      <c r="B1113" s="493">
        <v>260066.55</v>
      </c>
      <c r="C1113" s="516"/>
      <c r="D1113" s="699"/>
    </row>
    <row r="1114" spans="1:4" ht="15" x14ac:dyDescent="0.25">
      <c r="A1114" s="747">
        <v>43924</v>
      </c>
      <c r="B1114" s="493">
        <v>259418.64</v>
      </c>
      <c r="C1114" s="516"/>
      <c r="D1114" s="699"/>
    </row>
    <row r="1115" spans="1:4" ht="15" x14ac:dyDescent="0.25">
      <c r="A1115" s="747">
        <v>43927</v>
      </c>
      <c r="B1115" s="493">
        <v>259418.64</v>
      </c>
      <c r="C1115" s="516"/>
      <c r="D1115" s="699"/>
    </row>
    <row r="1116" spans="1:4" ht="15" x14ac:dyDescent="0.25">
      <c r="A1116" s="747">
        <v>43928</v>
      </c>
      <c r="B1116" s="493">
        <v>259418.64</v>
      </c>
      <c r="C1116" s="516"/>
      <c r="D1116" s="699"/>
    </row>
    <row r="1117" spans="1:4" ht="15" x14ac:dyDescent="0.25">
      <c r="A1117" s="747">
        <v>43929</v>
      </c>
      <c r="B1117" s="493">
        <v>259418.64</v>
      </c>
      <c r="C1117" s="516"/>
      <c r="D1117" s="699"/>
    </row>
    <row r="1118" spans="1:4" ht="15" x14ac:dyDescent="0.25">
      <c r="A1118" s="747">
        <v>43930</v>
      </c>
      <c r="B1118" s="493">
        <v>256056.32000000001</v>
      </c>
      <c r="C1118" s="516"/>
      <c r="D1118" s="699"/>
    </row>
    <row r="1119" spans="1:4" ht="15" x14ac:dyDescent="0.25">
      <c r="A1119" s="747">
        <v>43931</v>
      </c>
      <c r="B1119" s="493">
        <v>256056.32000000001</v>
      </c>
      <c r="C1119" s="516"/>
      <c r="D1119" s="699"/>
    </row>
    <row r="1120" spans="1:4" ht="15" x14ac:dyDescent="0.25">
      <c r="A1120" s="747">
        <v>43934</v>
      </c>
      <c r="B1120" s="493">
        <v>256056.32000000001</v>
      </c>
      <c r="C1120" s="516"/>
      <c r="D1120" s="699"/>
    </row>
    <row r="1121" spans="1:4" ht="15" x14ac:dyDescent="0.25">
      <c r="A1121" s="747">
        <v>43935</v>
      </c>
      <c r="B1121" s="493">
        <v>256056.32000000001</v>
      </c>
      <c r="C1121" s="516"/>
      <c r="D1121" s="699"/>
    </row>
    <row r="1122" spans="1:4" ht="15" x14ac:dyDescent="0.25">
      <c r="A1122" s="747">
        <v>43936</v>
      </c>
      <c r="B1122" s="493">
        <v>222877.12</v>
      </c>
      <c r="C1122" s="516"/>
      <c r="D1122" s="699"/>
    </row>
    <row r="1123" spans="1:4" ht="15" x14ac:dyDescent="0.25">
      <c r="A1123" s="747">
        <v>43937</v>
      </c>
      <c r="B1123" s="493">
        <v>222877.12</v>
      </c>
      <c r="C1123" s="516"/>
      <c r="D1123" s="699"/>
    </row>
    <row r="1124" spans="1:4" ht="15" x14ac:dyDescent="0.25">
      <c r="A1124" s="747">
        <v>43938</v>
      </c>
      <c r="B1124" s="493">
        <v>222415.21</v>
      </c>
      <c r="C1124" s="516"/>
      <c r="D1124" s="699"/>
    </row>
    <row r="1125" spans="1:4" ht="15" x14ac:dyDescent="0.25">
      <c r="A1125" s="747">
        <v>43941</v>
      </c>
      <c r="B1125" s="493">
        <v>222415.21</v>
      </c>
      <c r="C1125" s="516"/>
      <c r="D1125" s="699"/>
    </row>
    <row r="1126" spans="1:4" ht="15" x14ac:dyDescent="0.25">
      <c r="A1126" s="747">
        <v>43942</v>
      </c>
      <c r="B1126" s="493">
        <v>222415.21</v>
      </c>
      <c r="C1126" s="516"/>
      <c r="D1126" s="699"/>
    </row>
    <row r="1127" spans="1:4" ht="15" x14ac:dyDescent="0.25">
      <c r="A1127" s="747">
        <v>43943</v>
      </c>
      <c r="B1127" s="493">
        <v>222415.21</v>
      </c>
      <c r="C1127" s="516"/>
      <c r="D1127" s="699"/>
    </row>
    <row r="1128" spans="1:4" ht="15" x14ac:dyDescent="0.25">
      <c r="A1128" s="747">
        <v>43944</v>
      </c>
      <c r="B1128" s="493">
        <v>185658.71</v>
      </c>
      <c r="C1128" s="516"/>
      <c r="D1128" s="699"/>
    </row>
    <row r="1129" spans="1:4" ht="15" x14ac:dyDescent="0.25">
      <c r="A1129" s="747">
        <v>43945</v>
      </c>
      <c r="B1129" s="493">
        <v>185658.71</v>
      </c>
      <c r="C1129" s="516"/>
      <c r="D1129" s="699"/>
    </row>
    <row r="1130" spans="1:4" ht="15" x14ac:dyDescent="0.25">
      <c r="A1130" s="747">
        <v>43948</v>
      </c>
      <c r="B1130" s="493">
        <v>185614.71</v>
      </c>
      <c r="C1130" s="516"/>
      <c r="D1130" s="699"/>
    </row>
    <row r="1131" spans="1:4" ht="15" x14ac:dyDescent="0.25">
      <c r="A1131" s="747">
        <v>43949</v>
      </c>
      <c r="B1131" s="552">
        <v>152434.01999999999</v>
      </c>
      <c r="C1131" s="516"/>
      <c r="D1131" s="552"/>
    </row>
    <row r="1132" spans="1:4" ht="15" x14ac:dyDescent="0.25">
      <c r="A1132" s="747">
        <v>43950</v>
      </c>
      <c r="B1132" s="493">
        <v>152434.01999999999</v>
      </c>
      <c r="C1132" s="516"/>
      <c r="D1132" s="699"/>
    </row>
    <row r="1133" spans="1:4" ht="15" x14ac:dyDescent="0.25">
      <c r="A1133" s="747">
        <v>43951</v>
      </c>
      <c r="B1133" s="493">
        <v>173230.55</v>
      </c>
      <c r="C1133" s="516"/>
      <c r="D1133" s="699"/>
    </row>
    <row r="1134" spans="1:4" ht="15" x14ac:dyDescent="0.25">
      <c r="A1134" s="747">
        <v>43952</v>
      </c>
      <c r="B1134" s="493">
        <f>C1134+D1134</f>
        <v>173492.71000000002</v>
      </c>
      <c r="C1134" s="750">
        <v>172768.64000000001</v>
      </c>
      <c r="D1134" s="751">
        <v>724.07</v>
      </c>
    </row>
    <row r="1135" spans="1:4" ht="15" x14ac:dyDescent="0.25">
      <c r="A1135" s="747">
        <v>43955</v>
      </c>
      <c r="B1135" s="493">
        <f t="shared" ref="B1135:B1198" si="5">C1135+D1135</f>
        <v>173306.64</v>
      </c>
      <c r="C1135" s="750">
        <v>172582.64</v>
      </c>
      <c r="D1135" s="751">
        <v>724</v>
      </c>
    </row>
    <row r="1136" spans="1:4" ht="15" x14ac:dyDescent="0.25">
      <c r="A1136" s="747">
        <v>43956</v>
      </c>
      <c r="B1136" s="493">
        <f t="shared" si="5"/>
        <v>173307</v>
      </c>
      <c r="C1136" s="750">
        <v>172583</v>
      </c>
      <c r="D1136" s="751">
        <f>D1135</f>
        <v>724</v>
      </c>
    </row>
    <row r="1137" spans="1:4" ht="15" x14ac:dyDescent="0.25">
      <c r="A1137" s="747">
        <v>43957</v>
      </c>
      <c r="B1137" s="493">
        <f t="shared" si="5"/>
        <v>173307</v>
      </c>
      <c r="C1137" s="750">
        <v>172583</v>
      </c>
      <c r="D1137" s="751">
        <f t="shared" ref="D1137:D1179" si="6">D1136</f>
        <v>724</v>
      </c>
    </row>
    <row r="1138" spans="1:4" ht="15" x14ac:dyDescent="0.25">
      <c r="A1138" s="747">
        <v>43958</v>
      </c>
      <c r="B1138" s="493">
        <f t="shared" si="5"/>
        <v>173307</v>
      </c>
      <c r="C1138" s="750">
        <v>172583</v>
      </c>
      <c r="D1138" s="751">
        <f t="shared" si="6"/>
        <v>724</v>
      </c>
    </row>
    <row r="1139" spans="1:4" ht="15" x14ac:dyDescent="0.25">
      <c r="A1139" s="747">
        <v>43959</v>
      </c>
      <c r="B1139" s="493">
        <f t="shared" si="5"/>
        <v>385709.68000000005</v>
      </c>
      <c r="C1139" s="750">
        <v>187582.64</v>
      </c>
      <c r="D1139" s="751">
        <v>198127.04</v>
      </c>
    </row>
    <row r="1140" spans="1:4" ht="15" x14ac:dyDescent="0.25">
      <c r="A1140" s="747">
        <v>43962</v>
      </c>
      <c r="B1140" s="493">
        <f t="shared" si="5"/>
        <v>385710.04000000004</v>
      </c>
      <c r="C1140" s="750">
        <v>187583</v>
      </c>
      <c r="D1140" s="751">
        <f t="shared" si="6"/>
        <v>198127.04</v>
      </c>
    </row>
    <row r="1141" spans="1:4" ht="15" x14ac:dyDescent="0.25">
      <c r="A1141" s="747">
        <v>43963</v>
      </c>
      <c r="B1141" s="552">
        <f t="shared" si="5"/>
        <v>385904.98</v>
      </c>
      <c r="C1141" s="750">
        <v>187777.94</v>
      </c>
      <c r="D1141" s="751">
        <f t="shared" si="6"/>
        <v>198127.04</v>
      </c>
    </row>
    <row r="1142" spans="1:4" ht="15" x14ac:dyDescent="0.25">
      <c r="A1142" s="747">
        <v>43964</v>
      </c>
      <c r="B1142" s="493">
        <f t="shared" si="5"/>
        <v>362979.35</v>
      </c>
      <c r="C1142" s="750">
        <v>187778</v>
      </c>
      <c r="D1142" s="751">
        <v>175201.35</v>
      </c>
    </row>
    <row r="1143" spans="1:4" ht="15" x14ac:dyDescent="0.25">
      <c r="A1143" s="747">
        <v>43965</v>
      </c>
      <c r="B1143" s="493">
        <f t="shared" si="5"/>
        <v>362979.35</v>
      </c>
      <c r="C1143" s="750">
        <v>187778</v>
      </c>
      <c r="D1143" s="751">
        <f t="shared" si="6"/>
        <v>175201.35</v>
      </c>
    </row>
    <row r="1144" spans="1:4" ht="15" x14ac:dyDescent="0.25">
      <c r="A1144" s="747">
        <v>43966</v>
      </c>
      <c r="B1144" s="493">
        <f t="shared" si="5"/>
        <v>362624.73</v>
      </c>
      <c r="C1144" s="750">
        <v>187400</v>
      </c>
      <c r="D1144" s="751">
        <v>175224.73</v>
      </c>
    </row>
    <row r="1145" spans="1:4" ht="15" x14ac:dyDescent="0.25">
      <c r="A1145" s="747">
        <v>43969</v>
      </c>
      <c r="B1145" s="493">
        <f t="shared" si="5"/>
        <v>362070.03</v>
      </c>
      <c r="C1145" s="750">
        <v>187400</v>
      </c>
      <c r="D1145" s="751">
        <v>174670.03</v>
      </c>
    </row>
    <row r="1146" spans="1:4" ht="15" x14ac:dyDescent="0.25">
      <c r="A1146" s="747">
        <v>43970</v>
      </c>
      <c r="B1146" s="493">
        <f t="shared" si="5"/>
        <v>352214.86</v>
      </c>
      <c r="C1146" s="750">
        <v>187400</v>
      </c>
      <c r="D1146" s="751">
        <v>164814.85999999999</v>
      </c>
    </row>
    <row r="1147" spans="1:4" ht="15" x14ac:dyDescent="0.25">
      <c r="A1147" s="747">
        <v>43971</v>
      </c>
      <c r="B1147" s="493">
        <f t="shared" si="5"/>
        <v>352214.86</v>
      </c>
      <c r="C1147" s="750">
        <v>187400</v>
      </c>
      <c r="D1147" s="751">
        <f t="shared" si="6"/>
        <v>164814.85999999999</v>
      </c>
    </row>
    <row r="1148" spans="1:4" ht="15" x14ac:dyDescent="0.25">
      <c r="A1148" s="747">
        <v>43972</v>
      </c>
      <c r="B1148" s="493">
        <f t="shared" si="5"/>
        <v>337570.28</v>
      </c>
      <c r="C1148" s="750">
        <v>178152.54</v>
      </c>
      <c r="D1148" s="751">
        <v>159417.74</v>
      </c>
    </row>
    <row r="1149" spans="1:4" ht="15" x14ac:dyDescent="0.25">
      <c r="A1149" s="747">
        <v>43973</v>
      </c>
      <c r="B1149" s="493">
        <f t="shared" si="5"/>
        <v>337570.28</v>
      </c>
      <c r="C1149" s="750">
        <v>178152.54</v>
      </c>
      <c r="D1149" s="751">
        <f t="shared" si="6"/>
        <v>159417.74</v>
      </c>
    </row>
    <row r="1150" spans="1:4" x14ac:dyDescent="0.2">
      <c r="A1150" s="516">
        <v>43976</v>
      </c>
      <c r="B1150" s="493">
        <f t="shared" si="5"/>
        <v>337570.28</v>
      </c>
      <c r="C1150" s="750">
        <v>178152.54</v>
      </c>
      <c r="D1150" s="751">
        <f t="shared" si="6"/>
        <v>159417.74</v>
      </c>
    </row>
    <row r="1151" spans="1:4" x14ac:dyDescent="0.2">
      <c r="A1151" s="516">
        <v>43977</v>
      </c>
      <c r="B1151" s="493">
        <f t="shared" si="5"/>
        <v>337570.28</v>
      </c>
      <c r="C1151" s="750">
        <v>178152.54</v>
      </c>
      <c r="D1151" s="751">
        <f t="shared" si="6"/>
        <v>159417.74</v>
      </c>
    </row>
    <row r="1152" spans="1:4" x14ac:dyDescent="0.2">
      <c r="A1152" s="516">
        <v>43978</v>
      </c>
      <c r="B1152" s="493">
        <f t="shared" si="5"/>
        <v>314828.33999999997</v>
      </c>
      <c r="C1152" s="750">
        <v>178108.54</v>
      </c>
      <c r="D1152" s="751">
        <v>136719.79999999999</v>
      </c>
    </row>
    <row r="1153" spans="1:4" x14ac:dyDescent="0.2">
      <c r="A1153" s="516">
        <v>43979</v>
      </c>
      <c r="B1153" s="493">
        <f t="shared" si="5"/>
        <v>314642.31</v>
      </c>
      <c r="C1153" s="750">
        <v>177922.51</v>
      </c>
      <c r="D1153" s="751">
        <f t="shared" si="6"/>
        <v>136719.79999999999</v>
      </c>
    </row>
    <row r="1154" spans="1:4" x14ac:dyDescent="0.2">
      <c r="A1154" s="516">
        <v>43980</v>
      </c>
      <c r="B1154" s="493">
        <f t="shared" si="5"/>
        <v>314180.40000000002</v>
      </c>
      <c r="C1154" s="750">
        <v>177460.6</v>
      </c>
      <c r="D1154" s="751">
        <f t="shared" si="6"/>
        <v>136719.79999999999</v>
      </c>
    </row>
    <row r="1155" spans="1:4" x14ac:dyDescent="0.2">
      <c r="A1155" s="516">
        <v>43983</v>
      </c>
      <c r="B1155" s="493">
        <f t="shared" si="5"/>
        <v>336211.19</v>
      </c>
      <c r="C1155" s="750">
        <v>201698.93</v>
      </c>
      <c r="D1155" s="751">
        <v>134512.26</v>
      </c>
    </row>
    <row r="1156" spans="1:4" x14ac:dyDescent="0.2">
      <c r="A1156" s="516">
        <v>43984</v>
      </c>
      <c r="B1156" s="493">
        <f t="shared" si="5"/>
        <v>327639.93</v>
      </c>
      <c r="C1156" s="750">
        <v>201512.93</v>
      </c>
      <c r="D1156" s="751">
        <v>126127</v>
      </c>
    </row>
    <row r="1157" spans="1:4" x14ac:dyDescent="0.2">
      <c r="A1157" s="516">
        <v>43985</v>
      </c>
      <c r="B1157" s="493">
        <f t="shared" si="5"/>
        <v>327640</v>
      </c>
      <c r="C1157" s="750">
        <v>201513</v>
      </c>
      <c r="D1157" s="751">
        <f t="shared" si="6"/>
        <v>126127</v>
      </c>
    </row>
    <row r="1158" spans="1:4" x14ac:dyDescent="0.2">
      <c r="A1158" s="516">
        <v>43986</v>
      </c>
      <c r="B1158" s="493">
        <f t="shared" si="5"/>
        <v>332166.29000000004</v>
      </c>
      <c r="C1158" s="750">
        <v>206039.29</v>
      </c>
      <c r="D1158" s="751">
        <f t="shared" si="6"/>
        <v>126127</v>
      </c>
    </row>
    <row r="1159" spans="1:4" x14ac:dyDescent="0.2">
      <c r="A1159" s="516">
        <v>43987</v>
      </c>
      <c r="B1159" s="493">
        <f t="shared" si="5"/>
        <v>332166.29000000004</v>
      </c>
      <c r="C1159" s="750">
        <f>C1158</f>
        <v>206039.29</v>
      </c>
      <c r="D1159" s="751">
        <f t="shared" si="6"/>
        <v>126127</v>
      </c>
    </row>
    <row r="1160" spans="1:4" x14ac:dyDescent="0.2">
      <c r="A1160" s="516">
        <v>43990</v>
      </c>
      <c r="B1160" s="493">
        <f t="shared" si="5"/>
        <v>378580.41000000003</v>
      </c>
      <c r="C1160" s="750">
        <v>252453.41</v>
      </c>
      <c r="D1160" s="751">
        <f t="shared" si="6"/>
        <v>126127</v>
      </c>
    </row>
    <row r="1161" spans="1:4" x14ac:dyDescent="0.2">
      <c r="A1161" s="516">
        <v>43991</v>
      </c>
      <c r="B1161" s="493">
        <f t="shared" si="5"/>
        <v>378580.41000000003</v>
      </c>
      <c r="C1161" s="750">
        <f t="shared" ref="C1161:C1175" si="7">C1160</f>
        <v>252453.41</v>
      </c>
      <c r="D1161" s="751">
        <f t="shared" si="6"/>
        <v>126127</v>
      </c>
    </row>
    <row r="1162" spans="1:4" x14ac:dyDescent="0.2">
      <c r="A1162" s="516">
        <v>43992</v>
      </c>
      <c r="B1162" s="493">
        <f t="shared" si="5"/>
        <v>355599.42</v>
      </c>
      <c r="C1162" s="750">
        <f t="shared" si="7"/>
        <v>252453.41</v>
      </c>
      <c r="D1162" s="751">
        <v>103146.01</v>
      </c>
    </row>
    <row r="1163" spans="1:4" x14ac:dyDescent="0.2">
      <c r="A1163" s="516">
        <v>43993</v>
      </c>
      <c r="B1163" s="493">
        <f t="shared" si="5"/>
        <v>348512.49</v>
      </c>
      <c r="C1163" s="750">
        <v>255461.07</v>
      </c>
      <c r="D1163" s="751">
        <v>93051.42</v>
      </c>
    </row>
    <row r="1164" spans="1:4" x14ac:dyDescent="0.2">
      <c r="A1164" s="516">
        <v>43994</v>
      </c>
      <c r="B1164" s="493">
        <f t="shared" si="5"/>
        <v>351663.19</v>
      </c>
      <c r="C1164" s="750">
        <v>258611.77</v>
      </c>
      <c r="D1164" s="751">
        <f t="shared" si="6"/>
        <v>93051.42</v>
      </c>
    </row>
    <row r="1165" spans="1:4" x14ac:dyDescent="0.2">
      <c r="A1165" s="516">
        <v>43997</v>
      </c>
      <c r="B1165" s="493">
        <f t="shared" si="5"/>
        <v>351097.70999999996</v>
      </c>
      <c r="C1165" s="750">
        <f t="shared" si="7"/>
        <v>258611.77</v>
      </c>
      <c r="D1165" s="751">
        <v>92485.94</v>
      </c>
    </row>
    <row r="1166" spans="1:4" x14ac:dyDescent="0.2">
      <c r="A1166" s="516">
        <v>43998</v>
      </c>
      <c r="B1166" s="493">
        <f t="shared" si="5"/>
        <v>351097.70999999996</v>
      </c>
      <c r="C1166" s="750">
        <f t="shared" si="7"/>
        <v>258611.77</v>
      </c>
      <c r="D1166" s="751">
        <f t="shared" si="6"/>
        <v>92485.94</v>
      </c>
    </row>
    <row r="1167" spans="1:4" x14ac:dyDescent="0.2">
      <c r="A1167" s="516">
        <v>43999</v>
      </c>
      <c r="B1167" s="493">
        <f t="shared" si="5"/>
        <v>342735.58</v>
      </c>
      <c r="C1167" s="750">
        <v>250249.64</v>
      </c>
      <c r="D1167" s="751">
        <f t="shared" si="6"/>
        <v>92485.94</v>
      </c>
    </row>
    <row r="1168" spans="1:4" x14ac:dyDescent="0.2">
      <c r="A1168" s="516">
        <v>44000</v>
      </c>
      <c r="B1168" s="493">
        <f t="shared" si="5"/>
        <v>344495.52</v>
      </c>
      <c r="C1168" s="750">
        <v>252009.58</v>
      </c>
      <c r="D1168" s="751">
        <f t="shared" si="6"/>
        <v>92485.94</v>
      </c>
    </row>
    <row r="1169" spans="1:4" x14ac:dyDescent="0.2">
      <c r="A1169" s="516">
        <v>44001</v>
      </c>
      <c r="B1169" s="493">
        <f t="shared" si="5"/>
        <v>344495.52</v>
      </c>
      <c r="C1169" s="750">
        <f t="shared" si="7"/>
        <v>252009.58</v>
      </c>
      <c r="D1169" s="751">
        <f t="shared" si="6"/>
        <v>92485.94</v>
      </c>
    </row>
    <row r="1170" spans="1:4" x14ac:dyDescent="0.2">
      <c r="A1170" s="516">
        <v>44004</v>
      </c>
      <c r="B1170" s="493">
        <f t="shared" si="5"/>
        <v>344495.52</v>
      </c>
      <c r="C1170" s="750">
        <f t="shared" si="7"/>
        <v>252009.58</v>
      </c>
      <c r="D1170" s="751">
        <f t="shared" si="6"/>
        <v>92485.94</v>
      </c>
    </row>
    <row r="1171" spans="1:4" x14ac:dyDescent="0.2">
      <c r="A1171" s="516">
        <v>44005</v>
      </c>
      <c r="B1171" s="493">
        <f t="shared" si="5"/>
        <v>334324.15000000002</v>
      </c>
      <c r="C1171" s="750">
        <v>241838.21</v>
      </c>
      <c r="D1171" s="751">
        <f t="shared" si="6"/>
        <v>92485.94</v>
      </c>
    </row>
    <row r="1172" spans="1:4" x14ac:dyDescent="0.2">
      <c r="A1172" s="516">
        <v>44006</v>
      </c>
      <c r="B1172" s="493">
        <f t="shared" si="5"/>
        <v>342928.85</v>
      </c>
      <c r="C1172" s="750">
        <v>275398.59999999998</v>
      </c>
      <c r="D1172" s="751">
        <v>67530.25</v>
      </c>
    </row>
    <row r="1173" spans="1:4" x14ac:dyDescent="0.2">
      <c r="A1173" s="516">
        <v>44007</v>
      </c>
      <c r="B1173" s="493">
        <f t="shared" si="5"/>
        <v>325375.87</v>
      </c>
      <c r="C1173" s="750">
        <v>268709.96999999997</v>
      </c>
      <c r="D1173" s="751">
        <v>56665.9</v>
      </c>
    </row>
    <row r="1174" spans="1:4" x14ac:dyDescent="0.2">
      <c r="A1174" s="516">
        <v>44008</v>
      </c>
      <c r="B1174" s="493">
        <f t="shared" si="5"/>
        <v>324225.81</v>
      </c>
      <c r="C1174" s="750">
        <v>268257.68</v>
      </c>
      <c r="D1174" s="751">
        <v>55968.13</v>
      </c>
    </row>
    <row r="1175" spans="1:4" x14ac:dyDescent="0.2">
      <c r="A1175" s="516">
        <v>44011</v>
      </c>
      <c r="B1175" s="493">
        <f t="shared" si="5"/>
        <v>324225.81</v>
      </c>
      <c r="C1175" s="750">
        <f t="shared" si="7"/>
        <v>268257.68</v>
      </c>
      <c r="D1175" s="751">
        <f t="shared" si="6"/>
        <v>55968.13</v>
      </c>
    </row>
    <row r="1176" spans="1:4" x14ac:dyDescent="0.2">
      <c r="A1176" s="516">
        <v>44012</v>
      </c>
      <c r="B1176" s="493">
        <f t="shared" si="5"/>
        <v>332737.41000000003</v>
      </c>
      <c r="C1176" s="750">
        <v>276769.28000000003</v>
      </c>
      <c r="D1176" s="751">
        <f t="shared" si="6"/>
        <v>55968.13</v>
      </c>
    </row>
    <row r="1177" spans="1:4" x14ac:dyDescent="0.2">
      <c r="A1177" s="516">
        <v>44013</v>
      </c>
      <c r="B1177" s="493">
        <f t="shared" si="5"/>
        <v>348287.12</v>
      </c>
      <c r="C1177" s="750">
        <v>292318.99</v>
      </c>
      <c r="D1177" s="751">
        <f t="shared" si="6"/>
        <v>55968.13</v>
      </c>
    </row>
    <row r="1178" spans="1:4" x14ac:dyDescent="0.2">
      <c r="A1178" s="516">
        <v>44014</v>
      </c>
      <c r="B1178" s="493">
        <f t="shared" si="5"/>
        <v>351754.67</v>
      </c>
      <c r="C1178" s="750">
        <v>295786.53999999998</v>
      </c>
      <c r="D1178" s="751">
        <f t="shared" si="6"/>
        <v>55968.13</v>
      </c>
    </row>
    <row r="1179" spans="1:4" x14ac:dyDescent="0.2">
      <c r="A1179" s="516">
        <v>44015</v>
      </c>
      <c r="B1179" s="493">
        <f t="shared" si="5"/>
        <v>352041.67</v>
      </c>
      <c r="C1179" s="750">
        <v>296073.53999999998</v>
      </c>
      <c r="D1179" s="751">
        <f t="shared" si="6"/>
        <v>55968.13</v>
      </c>
    </row>
    <row r="1180" spans="1:4" x14ac:dyDescent="0.2">
      <c r="A1180" s="516">
        <v>44018</v>
      </c>
      <c r="B1180" s="493">
        <f t="shared" si="5"/>
        <v>352042</v>
      </c>
      <c r="C1180" s="750">
        <v>296074</v>
      </c>
      <c r="D1180" s="751">
        <v>55968</v>
      </c>
    </row>
    <row r="1181" spans="1:4" x14ac:dyDescent="0.2">
      <c r="A1181" s="516">
        <v>44019</v>
      </c>
      <c r="B1181" s="493">
        <f t="shared" si="5"/>
        <v>352042</v>
      </c>
      <c r="C1181" s="750">
        <v>296074</v>
      </c>
      <c r="D1181" s="751">
        <v>55968</v>
      </c>
    </row>
    <row r="1182" spans="1:4" x14ac:dyDescent="0.2">
      <c r="A1182" s="516">
        <v>44020</v>
      </c>
      <c r="B1182" s="493">
        <f t="shared" si="5"/>
        <v>326415.09999999998</v>
      </c>
      <c r="C1182" s="750">
        <v>296074</v>
      </c>
      <c r="D1182" s="751">
        <v>30341.1</v>
      </c>
    </row>
    <row r="1183" spans="1:4" x14ac:dyDescent="0.2">
      <c r="A1183" s="516">
        <v>44021</v>
      </c>
      <c r="B1183" s="493">
        <f t="shared" si="5"/>
        <v>312231.88999999996</v>
      </c>
      <c r="C1183" s="750">
        <v>293240.15999999997</v>
      </c>
      <c r="D1183" s="751">
        <v>18991.73</v>
      </c>
    </row>
    <row r="1184" spans="1:4" x14ac:dyDescent="0.2">
      <c r="A1184" s="516">
        <v>44022</v>
      </c>
      <c r="B1184" s="493">
        <f t="shared" si="5"/>
        <v>311779.87</v>
      </c>
      <c r="C1184" s="750">
        <v>292787.87</v>
      </c>
      <c r="D1184" s="751">
        <v>18992</v>
      </c>
    </row>
    <row r="1185" spans="1:4" x14ac:dyDescent="0.2">
      <c r="A1185" s="516">
        <v>44025</v>
      </c>
      <c r="B1185" s="493">
        <f t="shared" si="5"/>
        <v>311474.96999999997</v>
      </c>
      <c r="C1185" s="750">
        <v>293190.87</v>
      </c>
      <c r="D1185" s="751">
        <v>18284.099999999999</v>
      </c>
    </row>
    <row r="1186" spans="1:4" x14ac:dyDescent="0.2">
      <c r="A1186" s="516">
        <v>44026</v>
      </c>
      <c r="B1186" s="493">
        <f t="shared" si="5"/>
        <v>315477.69</v>
      </c>
      <c r="C1186" s="750">
        <v>297193.59000000003</v>
      </c>
      <c r="D1186" s="751">
        <v>18284.099999999999</v>
      </c>
    </row>
    <row r="1187" spans="1:4" x14ac:dyDescent="0.2">
      <c r="A1187" s="516">
        <v>44027</v>
      </c>
      <c r="B1187" s="493">
        <f t="shared" si="5"/>
        <v>315594.98</v>
      </c>
      <c r="C1187" s="750">
        <v>297310.88</v>
      </c>
      <c r="D1187" s="751">
        <v>18284.099999999999</v>
      </c>
    </row>
    <row r="1188" spans="1:4" x14ac:dyDescent="0.2">
      <c r="A1188" s="516">
        <v>44028</v>
      </c>
      <c r="B1188" s="493">
        <f t="shared" si="5"/>
        <v>318211.11</v>
      </c>
      <c r="C1188" s="750">
        <v>299927.01</v>
      </c>
      <c r="D1188" s="751">
        <v>18284.099999999999</v>
      </c>
    </row>
    <row r="1189" spans="1:4" x14ac:dyDescent="0.2">
      <c r="A1189" s="516">
        <v>44029</v>
      </c>
      <c r="B1189" s="493">
        <f t="shared" si="5"/>
        <v>318211.09999999998</v>
      </c>
      <c r="C1189" s="750">
        <v>299927</v>
      </c>
      <c r="D1189" s="751">
        <v>18284.099999999999</v>
      </c>
    </row>
    <row r="1190" spans="1:4" x14ac:dyDescent="0.2">
      <c r="A1190" s="516">
        <v>44032</v>
      </c>
      <c r="B1190" s="493">
        <f t="shared" si="5"/>
        <v>339655.69</v>
      </c>
      <c r="C1190" s="750">
        <v>304374.55</v>
      </c>
      <c r="D1190" s="751">
        <v>35281.14</v>
      </c>
    </row>
    <row r="1191" spans="1:4" x14ac:dyDescent="0.2">
      <c r="A1191" s="516">
        <v>44033</v>
      </c>
      <c r="B1191" s="493">
        <f t="shared" si="5"/>
        <v>328838.90999999997</v>
      </c>
      <c r="C1191" s="750">
        <v>293557.90999999997</v>
      </c>
      <c r="D1191" s="751">
        <v>35281</v>
      </c>
    </row>
    <row r="1192" spans="1:4" x14ac:dyDescent="0.2">
      <c r="A1192" s="516">
        <v>44034</v>
      </c>
      <c r="B1192" s="493">
        <f t="shared" si="5"/>
        <v>315049.81</v>
      </c>
      <c r="C1192" s="750">
        <v>305336.09999999998</v>
      </c>
      <c r="D1192" s="751">
        <v>9713.7099999999991</v>
      </c>
    </row>
    <row r="1193" spans="1:4" x14ac:dyDescent="0.2">
      <c r="A1193" s="516">
        <v>44035</v>
      </c>
      <c r="B1193" s="493">
        <f t="shared" si="5"/>
        <v>308750.14999999997</v>
      </c>
      <c r="C1193" s="750">
        <v>307782.98</v>
      </c>
      <c r="D1193" s="751">
        <v>967.17</v>
      </c>
    </row>
    <row r="1194" spans="1:4" x14ac:dyDescent="0.2">
      <c r="A1194" s="516">
        <v>44036</v>
      </c>
      <c r="B1194" s="493">
        <f t="shared" si="5"/>
        <v>309653.73</v>
      </c>
      <c r="C1194" s="750">
        <v>309453.73</v>
      </c>
      <c r="D1194" s="751">
        <v>200</v>
      </c>
    </row>
    <row r="1195" spans="1:4" x14ac:dyDescent="0.2">
      <c r="A1195" s="516">
        <v>44039</v>
      </c>
      <c r="B1195" s="493">
        <f t="shared" si="5"/>
        <v>300292.32</v>
      </c>
      <c r="C1195" s="750">
        <v>300092.32</v>
      </c>
      <c r="D1195" s="751">
        <v>200</v>
      </c>
    </row>
    <row r="1196" spans="1:4" x14ac:dyDescent="0.2">
      <c r="A1196" s="516">
        <v>44040</v>
      </c>
      <c r="B1196" s="493">
        <f t="shared" si="5"/>
        <v>300248.32000000001</v>
      </c>
      <c r="C1196" s="750">
        <v>300048.32</v>
      </c>
      <c r="D1196" s="751">
        <v>200</v>
      </c>
    </row>
    <row r="1197" spans="1:4" x14ac:dyDescent="0.2">
      <c r="A1197" s="516">
        <v>44041</v>
      </c>
      <c r="B1197" s="493">
        <f t="shared" si="5"/>
        <v>298885.23</v>
      </c>
      <c r="C1197" s="750">
        <v>298685.23</v>
      </c>
      <c r="D1197" s="751">
        <v>200</v>
      </c>
    </row>
    <row r="1198" spans="1:4" x14ac:dyDescent="0.2">
      <c r="A1198" s="516">
        <v>44042</v>
      </c>
      <c r="B1198" s="493">
        <f t="shared" si="5"/>
        <v>298918.89</v>
      </c>
      <c r="C1198" s="750">
        <v>298718.89</v>
      </c>
      <c r="D1198" s="751">
        <v>200</v>
      </c>
    </row>
    <row r="1199" spans="1:4" x14ac:dyDescent="0.2">
      <c r="A1199" s="516">
        <v>44043</v>
      </c>
      <c r="B1199" s="493">
        <f t="shared" ref="B1199:B1262" si="8">C1199+D1199</f>
        <v>298919</v>
      </c>
      <c r="C1199" s="750">
        <v>298719</v>
      </c>
      <c r="D1199" s="751">
        <v>200</v>
      </c>
    </row>
    <row r="1200" spans="1:4" x14ac:dyDescent="0.2">
      <c r="A1200" s="516">
        <v>44046</v>
      </c>
      <c r="B1200" s="493">
        <f t="shared" si="8"/>
        <v>262470.13</v>
      </c>
      <c r="C1200" s="750">
        <v>262270.13</v>
      </c>
      <c r="D1200" s="751">
        <v>200</v>
      </c>
    </row>
    <row r="1201" spans="1:4" x14ac:dyDescent="0.2">
      <c r="A1201" s="516">
        <v>44047</v>
      </c>
      <c r="B1201" s="493">
        <f t="shared" si="8"/>
        <v>254560.85</v>
      </c>
      <c r="C1201" s="750">
        <v>254360.85</v>
      </c>
      <c r="D1201" s="751">
        <v>200</v>
      </c>
    </row>
    <row r="1202" spans="1:4" x14ac:dyDescent="0.2">
      <c r="A1202" s="516">
        <v>44048</v>
      </c>
      <c r="B1202" s="493">
        <f t="shared" si="8"/>
        <v>254561</v>
      </c>
      <c r="C1202" s="750">
        <v>254361</v>
      </c>
      <c r="D1202" s="751">
        <v>200</v>
      </c>
    </row>
    <row r="1203" spans="1:4" x14ac:dyDescent="0.2">
      <c r="A1203" s="516">
        <v>44049</v>
      </c>
      <c r="B1203" s="493">
        <f t="shared" si="8"/>
        <v>256783.26</v>
      </c>
      <c r="C1203" s="750">
        <v>256583.26</v>
      </c>
      <c r="D1203" s="751">
        <v>200</v>
      </c>
    </row>
    <row r="1204" spans="1:4" x14ac:dyDescent="0.2">
      <c r="A1204" s="516">
        <v>44050</v>
      </c>
      <c r="B1204" s="493">
        <f t="shared" si="8"/>
        <v>256330.97</v>
      </c>
      <c r="C1204" s="750">
        <v>256130.97</v>
      </c>
      <c r="D1204" s="751">
        <v>200</v>
      </c>
    </row>
    <row r="1205" spans="1:4" x14ac:dyDescent="0.2">
      <c r="A1205" s="516">
        <v>44053</v>
      </c>
      <c r="B1205" s="493">
        <f t="shared" si="8"/>
        <v>256331</v>
      </c>
      <c r="C1205" s="750">
        <v>256131</v>
      </c>
      <c r="D1205" s="751">
        <v>200</v>
      </c>
    </row>
    <row r="1206" spans="1:4" x14ac:dyDescent="0.2">
      <c r="A1206" s="516">
        <v>44054</v>
      </c>
      <c r="B1206" s="493">
        <f t="shared" si="8"/>
        <v>256331</v>
      </c>
      <c r="C1206" s="750">
        <v>256131</v>
      </c>
      <c r="D1206" s="751">
        <v>200</v>
      </c>
    </row>
    <row r="1207" spans="1:4" x14ac:dyDescent="0.2">
      <c r="A1207" s="516">
        <v>44055</v>
      </c>
      <c r="B1207" s="493">
        <f t="shared" si="8"/>
        <v>256420.97</v>
      </c>
      <c r="C1207" s="750">
        <v>256220.97</v>
      </c>
      <c r="D1207" s="751">
        <v>200</v>
      </c>
    </row>
    <row r="1208" spans="1:4" x14ac:dyDescent="0.2">
      <c r="A1208" s="516">
        <v>44056</v>
      </c>
      <c r="B1208" s="493">
        <f t="shared" si="8"/>
        <v>256421</v>
      </c>
      <c r="C1208" s="750">
        <v>256221</v>
      </c>
      <c r="D1208" s="751">
        <v>200</v>
      </c>
    </row>
    <row r="1209" spans="1:4" x14ac:dyDescent="0.2">
      <c r="A1209" s="516">
        <v>44057</v>
      </c>
      <c r="B1209" s="493">
        <f t="shared" si="8"/>
        <v>296838.09999999998</v>
      </c>
      <c r="C1209" s="750">
        <v>296638.09999999998</v>
      </c>
      <c r="D1209" s="751">
        <v>200</v>
      </c>
    </row>
    <row r="1210" spans="1:4" x14ac:dyDescent="0.2">
      <c r="A1210" s="516">
        <v>44060</v>
      </c>
      <c r="B1210" s="493">
        <f t="shared" si="8"/>
        <v>261012.14</v>
      </c>
      <c r="C1210" s="750">
        <v>260812.14</v>
      </c>
      <c r="D1210" s="751">
        <v>200</v>
      </c>
    </row>
    <row r="1211" spans="1:4" x14ac:dyDescent="0.2">
      <c r="A1211" s="516">
        <v>44061</v>
      </c>
      <c r="B1211" s="493">
        <f t="shared" si="8"/>
        <v>345553.24</v>
      </c>
      <c r="C1211" s="750">
        <v>345353.24</v>
      </c>
      <c r="D1211" s="751">
        <v>200</v>
      </c>
    </row>
    <row r="1212" spans="1:4" x14ac:dyDescent="0.2">
      <c r="A1212" s="516">
        <v>44062</v>
      </c>
      <c r="B1212" s="493">
        <f t="shared" si="8"/>
        <v>345720.24</v>
      </c>
      <c r="C1212" s="750">
        <v>345520.24</v>
      </c>
      <c r="D1212" s="751">
        <v>200</v>
      </c>
    </row>
    <row r="1213" spans="1:4" x14ac:dyDescent="0.2">
      <c r="A1213" s="516">
        <v>44063</v>
      </c>
      <c r="B1213" s="493">
        <f t="shared" si="8"/>
        <v>343380.65</v>
      </c>
      <c r="C1213" s="750">
        <v>343180.65</v>
      </c>
      <c r="D1213" s="751">
        <v>200</v>
      </c>
    </row>
    <row r="1214" spans="1:4" x14ac:dyDescent="0.2">
      <c r="A1214" s="516">
        <v>44064</v>
      </c>
      <c r="B1214" s="493">
        <f t="shared" si="8"/>
        <v>342938.36</v>
      </c>
      <c r="C1214" s="750">
        <v>342738.36</v>
      </c>
      <c r="D1214" s="751">
        <v>200</v>
      </c>
    </row>
    <row r="1215" spans="1:4" x14ac:dyDescent="0.2">
      <c r="A1215" s="516">
        <v>44067</v>
      </c>
      <c r="B1215" s="493">
        <f t="shared" si="8"/>
        <v>342938</v>
      </c>
      <c r="C1215" s="750">
        <v>342738</v>
      </c>
      <c r="D1215" s="751">
        <v>200</v>
      </c>
    </row>
    <row r="1216" spans="1:4" x14ac:dyDescent="0.2">
      <c r="A1216" s="516">
        <v>44068</v>
      </c>
      <c r="B1216" s="493">
        <f t="shared" si="8"/>
        <v>340515.33</v>
      </c>
      <c r="C1216" s="750">
        <v>340315.33</v>
      </c>
      <c r="D1216" s="751">
        <v>200</v>
      </c>
    </row>
    <row r="1217" spans="1:4" x14ac:dyDescent="0.2">
      <c r="A1217" s="516">
        <v>44069</v>
      </c>
      <c r="B1217" s="493">
        <f t="shared" si="8"/>
        <v>359946.57</v>
      </c>
      <c r="C1217" s="750">
        <v>359746.57</v>
      </c>
      <c r="D1217" s="751">
        <v>200</v>
      </c>
    </row>
    <row r="1218" spans="1:4" x14ac:dyDescent="0.2">
      <c r="A1218" s="516">
        <v>44070</v>
      </c>
      <c r="B1218" s="493">
        <f t="shared" si="8"/>
        <v>359946.57</v>
      </c>
      <c r="C1218" s="750">
        <v>359746.57</v>
      </c>
      <c r="D1218" s="751">
        <v>200</v>
      </c>
    </row>
    <row r="1219" spans="1:4" x14ac:dyDescent="0.2">
      <c r="A1219" s="516">
        <v>44071</v>
      </c>
      <c r="B1219" s="493">
        <f t="shared" si="8"/>
        <v>359946.57</v>
      </c>
      <c r="C1219" s="750">
        <v>359746.57</v>
      </c>
      <c r="D1219" s="751">
        <v>200</v>
      </c>
    </row>
    <row r="1220" spans="1:4" x14ac:dyDescent="0.2">
      <c r="A1220" s="516">
        <v>44074</v>
      </c>
      <c r="B1220" s="493">
        <f t="shared" si="8"/>
        <v>359946.57</v>
      </c>
      <c r="C1220" s="750">
        <v>359746.57</v>
      </c>
      <c r="D1220" s="751">
        <v>200</v>
      </c>
    </row>
    <row r="1221" spans="1:4" x14ac:dyDescent="0.2">
      <c r="A1221" s="516">
        <v>44075</v>
      </c>
      <c r="B1221" s="493">
        <f t="shared" si="8"/>
        <v>347126.06</v>
      </c>
      <c r="C1221" s="750">
        <v>346926.06</v>
      </c>
      <c r="D1221" s="751">
        <v>200</v>
      </c>
    </row>
    <row r="1222" spans="1:4" x14ac:dyDescent="0.2">
      <c r="A1222" s="516">
        <v>44076</v>
      </c>
      <c r="B1222" s="493">
        <f t="shared" si="8"/>
        <v>347075.06</v>
      </c>
      <c r="C1222" s="750">
        <v>346875.06</v>
      </c>
      <c r="D1222" s="751">
        <v>200</v>
      </c>
    </row>
    <row r="1223" spans="1:4" x14ac:dyDescent="0.2">
      <c r="A1223" s="516">
        <v>44077</v>
      </c>
      <c r="B1223" s="493">
        <f t="shared" si="8"/>
        <v>350416.44</v>
      </c>
      <c r="C1223" s="750">
        <v>350216.44</v>
      </c>
      <c r="D1223" s="751">
        <v>200</v>
      </c>
    </row>
    <row r="1224" spans="1:4" x14ac:dyDescent="0.2">
      <c r="A1224" s="516">
        <v>44078</v>
      </c>
      <c r="B1224" s="493">
        <f t="shared" si="8"/>
        <v>343258.81</v>
      </c>
      <c r="C1224" s="750">
        <v>343058.81</v>
      </c>
      <c r="D1224" s="751">
        <v>200</v>
      </c>
    </row>
    <row r="1225" spans="1:4" x14ac:dyDescent="0.2">
      <c r="A1225" s="516">
        <v>44081</v>
      </c>
      <c r="B1225" s="493">
        <f t="shared" si="8"/>
        <v>343258.81</v>
      </c>
      <c r="C1225" s="750">
        <v>343058.81</v>
      </c>
      <c r="D1225" s="751">
        <v>200</v>
      </c>
    </row>
    <row r="1226" spans="1:4" x14ac:dyDescent="0.2">
      <c r="A1226" s="516">
        <v>44082</v>
      </c>
      <c r="B1226" s="493">
        <f t="shared" si="8"/>
        <v>343258.81</v>
      </c>
      <c r="C1226" s="750">
        <v>343058.81</v>
      </c>
      <c r="D1226" s="751">
        <v>200</v>
      </c>
    </row>
    <row r="1227" spans="1:4" x14ac:dyDescent="0.2">
      <c r="A1227" s="516">
        <v>44083</v>
      </c>
      <c r="B1227" s="493">
        <f t="shared" si="8"/>
        <v>343258.81</v>
      </c>
      <c r="C1227" s="750">
        <v>343058.81</v>
      </c>
      <c r="D1227" s="751">
        <v>200</v>
      </c>
    </row>
    <row r="1228" spans="1:4" x14ac:dyDescent="0.2">
      <c r="A1228" s="516">
        <v>44084</v>
      </c>
      <c r="B1228" s="493">
        <f t="shared" si="8"/>
        <v>351420.85</v>
      </c>
      <c r="C1228" s="750">
        <v>351220.85</v>
      </c>
      <c r="D1228" s="751">
        <v>200</v>
      </c>
    </row>
    <row r="1229" spans="1:4" x14ac:dyDescent="0.2">
      <c r="A1229" s="516">
        <v>44085</v>
      </c>
      <c r="B1229" s="493">
        <f t="shared" si="8"/>
        <v>351420.85</v>
      </c>
      <c r="C1229" s="750">
        <v>351220.85</v>
      </c>
      <c r="D1229" s="751">
        <v>200</v>
      </c>
    </row>
    <row r="1230" spans="1:4" x14ac:dyDescent="0.2">
      <c r="A1230" s="516">
        <v>44088</v>
      </c>
      <c r="B1230" s="493">
        <f t="shared" si="8"/>
        <v>319295.21000000002</v>
      </c>
      <c r="C1230" s="750">
        <v>319095.21000000002</v>
      </c>
      <c r="D1230" s="751">
        <v>200</v>
      </c>
    </row>
    <row r="1231" spans="1:4" x14ac:dyDescent="0.2">
      <c r="A1231" s="516">
        <v>44089</v>
      </c>
      <c r="B1231" s="493">
        <f t="shared" si="8"/>
        <v>319390.87</v>
      </c>
      <c r="C1231" s="750">
        <v>319190.87</v>
      </c>
      <c r="D1231" s="751">
        <v>200</v>
      </c>
    </row>
    <row r="1232" spans="1:4" x14ac:dyDescent="0.2">
      <c r="A1232" s="516">
        <v>44090</v>
      </c>
      <c r="B1232" s="493">
        <f t="shared" si="8"/>
        <v>318221.31</v>
      </c>
      <c r="C1232" s="750">
        <v>318021.31</v>
      </c>
      <c r="D1232" s="751">
        <v>200</v>
      </c>
    </row>
    <row r="1233" spans="1:4" x14ac:dyDescent="0.2">
      <c r="A1233" s="516">
        <v>44091</v>
      </c>
      <c r="B1233" s="493">
        <f t="shared" si="8"/>
        <v>321494.34000000003</v>
      </c>
      <c r="C1233" s="750">
        <v>321294.34000000003</v>
      </c>
      <c r="D1233" s="751">
        <v>200</v>
      </c>
    </row>
    <row r="1234" spans="1:4" x14ac:dyDescent="0.2">
      <c r="A1234" s="516">
        <v>44092</v>
      </c>
      <c r="B1234" s="493">
        <f t="shared" si="8"/>
        <v>321052.05</v>
      </c>
      <c r="C1234" s="750">
        <v>320852.05</v>
      </c>
      <c r="D1234" s="751">
        <v>200</v>
      </c>
    </row>
    <row r="1235" spans="1:4" x14ac:dyDescent="0.2">
      <c r="A1235" s="516">
        <v>44095</v>
      </c>
      <c r="B1235" s="493">
        <f t="shared" si="8"/>
        <v>321052</v>
      </c>
      <c r="C1235" s="750">
        <v>320852</v>
      </c>
      <c r="D1235" s="751">
        <v>200</v>
      </c>
    </row>
    <row r="1236" spans="1:4" x14ac:dyDescent="0.2">
      <c r="A1236" s="516">
        <v>44096</v>
      </c>
      <c r="B1236" s="493">
        <f t="shared" si="8"/>
        <v>347075.9</v>
      </c>
      <c r="C1236" s="750">
        <v>346875.9</v>
      </c>
      <c r="D1236" s="751">
        <v>200</v>
      </c>
    </row>
    <row r="1237" spans="1:4" x14ac:dyDescent="0.2">
      <c r="A1237" s="516">
        <v>44097</v>
      </c>
      <c r="B1237" s="493">
        <f t="shared" si="8"/>
        <v>348950.3</v>
      </c>
      <c r="C1237" s="750">
        <v>348750.3</v>
      </c>
      <c r="D1237" s="751">
        <v>200</v>
      </c>
    </row>
    <row r="1238" spans="1:4" x14ac:dyDescent="0.2">
      <c r="A1238" s="516">
        <v>44098</v>
      </c>
      <c r="B1238" s="493">
        <f t="shared" si="8"/>
        <v>354130.18</v>
      </c>
      <c r="C1238" s="750">
        <v>353930.18</v>
      </c>
      <c r="D1238" s="751">
        <v>200</v>
      </c>
    </row>
    <row r="1239" spans="1:4" x14ac:dyDescent="0.2">
      <c r="A1239" s="516">
        <v>44099</v>
      </c>
      <c r="B1239" s="493">
        <f t="shared" si="8"/>
        <v>354086.18</v>
      </c>
      <c r="C1239" s="750">
        <v>353886.18</v>
      </c>
      <c r="D1239" s="751">
        <v>200</v>
      </c>
    </row>
    <row r="1240" spans="1:4" x14ac:dyDescent="0.2">
      <c r="A1240" s="516">
        <v>44102</v>
      </c>
      <c r="B1240" s="493">
        <f t="shared" si="8"/>
        <v>348608</v>
      </c>
      <c r="C1240" s="750">
        <v>348408</v>
      </c>
      <c r="D1240" s="751">
        <v>200</v>
      </c>
    </row>
    <row r="1241" spans="1:4" x14ac:dyDescent="0.2">
      <c r="A1241" s="516">
        <v>44103</v>
      </c>
      <c r="B1241" s="493">
        <f t="shared" si="8"/>
        <v>313591.89</v>
      </c>
      <c r="C1241" s="750">
        <v>313391.89</v>
      </c>
      <c r="D1241" s="751">
        <v>200</v>
      </c>
    </row>
    <row r="1242" spans="1:4" x14ac:dyDescent="0.2">
      <c r="A1242" s="516">
        <v>44104</v>
      </c>
      <c r="B1242" s="493">
        <f t="shared" si="8"/>
        <v>348489.68</v>
      </c>
      <c r="C1242" s="750">
        <v>348289.68</v>
      </c>
      <c r="D1242" s="751">
        <v>200</v>
      </c>
    </row>
    <row r="1243" spans="1:4" x14ac:dyDescent="0.2">
      <c r="A1243" s="516">
        <v>44105</v>
      </c>
      <c r="B1243" s="493">
        <f t="shared" si="8"/>
        <v>346634.44</v>
      </c>
      <c r="C1243" s="750">
        <v>346434.44</v>
      </c>
      <c r="D1243" s="751">
        <v>200</v>
      </c>
    </row>
    <row r="1244" spans="1:4" x14ac:dyDescent="0.2">
      <c r="A1244" s="516">
        <v>44106</v>
      </c>
      <c r="B1244" s="493">
        <f t="shared" si="8"/>
        <v>346390.75</v>
      </c>
      <c r="C1244" s="750">
        <v>346190.75</v>
      </c>
      <c r="D1244" s="751">
        <v>200</v>
      </c>
    </row>
    <row r="1245" spans="1:4" x14ac:dyDescent="0.2">
      <c r="A1245" s="516">
        <v>44109</v>
      </c>
      <c r="B1245" s="493">
        <f t="shared" si="8"/>
        <v>346313.83</v>
      </c>
      <c r="C1245" s="750">
        <v>346113.83</v>
      </c>
      <c r="D1245" s="751">
        <v>200</v>
      </c>
    </row>
    <row r="1246" spans="1:4" x14ac:dyDescent="0.2">
      <c r="A1246" s="516">
        <v>44110</v>
      </c>
      <c r="B1246" s="493">
        <f t="shared" si="8"/>
        <v>346084.99</v>
      </c>
      <c r="C1246" s="750">
        <v>345884.99</v>
      </c>
      <c r="D1246" s="751">
        <v>200</v>
      </c>
    </row>
    <row r="1247" spans="1:4" x14ac:dyDescent="0.2">
      <c r="A1247" s="516">
        <v>44111</v>
      </c>
      <c r="B1247" s="493">
        <f t="shared" si="8"/>
        <v>346085</v>
      </c>
      <c r="C1247" s="750">
        <v>345885</v>
      </c>
      <c r="D1247" s="751">
        <v>200</v>
      </c>
    </row>
    <row r="1248" spans="1:4" x14ac:dyDescent="0.2">
      <c r="A1248" s="516">
        <v>44112</v>
      </c>
      <c r="B1248" s="493">
        <f t="shared" si="8"/>
        <v>380839.99</v>
      </c>
      <c r="C1248" s="750">
        <v>380639.99</v>
      </c>
      <c r="D1248" s="751">
        <v>200</v>
      </c>
    </row>
    <row r="1249" spans="1:4" x14ac:dyDescent="0.2">
      <c r="A1249" s="516">
        <v>44113</v>
      </c>
      <c r="B1249" s="493">
        <f t="shared" si="8"/>
        <v>380840</v>
      </c>
      <c r="C1249" s="750">
        <v>380640</v>
      </c>
      <c r="D1249" s="751">
        <v>200</v>
      </c>
    </row>
    <row r="1250" spans="1:4" x14ac:dyDescent="0.2">
      <c r="A1250" s="516">
        <v>44116</v>
      </c>
      <c r="B1250" s="493">
        <f t="shared" si="8"/>
        <v>380840</v>
      </c>
      <c r="C1250" s="750">
        <v>380640</v>
      </c>
      <c r="D1250" s="751">
        <v>200</v>
      </c>
    </row>
    <row r="1251" spans="1:4" x14ac:dyDescent="0.2">
      <c r="A1251" s="516">
        <v>44117</v>
      </c>
      <c r="B1251" s="493">
        <f t="shared" si="8"/>
        <v>346182.3</v>
      </c>
      <c r="C1251" s="750">
        <v>345982.3</v>
      </c>
      <c r="D1251" s="751">
        <v>200</v>
      </c>
    </row>
    <row r="1252" spans="1:4" x14ac:dyDescent="0.2">
      <c r="A1252" s="516">
        <v>44118</v>
      </c>
      <c r="B1252" s="493">
        <f t="shared" si="8"/>
        <v>346103.46</v>
      </c>
      <c r="C1252" s="750">
        <v>345903.46</v>
      </c>
      <c r="D1252" s="751">
        <v>200</v>
      </c>
    </row>
    <row r="1253" spans="1:4" x14ac:dyDescent="0.2">
      <c r="A1253" s="516">
        <v>44119</v>
      </c>
      <c r="B1253" s="493">
        <f t="shared" si="8"/>
        <v>339569.88</v>
      </c>
      <c r="C1253" s="750">
        <v>339369.88</v>
      </c>
      <c r="D1253" s="751">
        <v>200</v>
      </c>
    </row>
    <row r="1254" spans="1:4" x14ac:dyDescent="0.2">
      <c r="A1254" s="516">
        <v>44120</v>
      </c>
      <c r="B1254" s="493">
        <f t="shared" si="8"/>
        <v>364967.49</v>
      </c>
      <c r="C1254" s="750">
        <v>364767.49</v>
      </c>
      <c r="D1254" s="751">
        <v>200</v>
      </c>
    </row>
    <row r="1255" spans="1:4" x14ac:dyDescent="0.2">
      <c r="A1255" s="516">
        <v>44123</v>
      </c>
      <c r="B1255" s="493">
        <f t="shared" si="8"/>
        <v>343525.33</v>
      </c>
      <c r="C1255" s="750">
        <v>343325.33</v>
      </c>
      <c r="D1255" s="751">
        <v>200</v>
      </c>
    </row>
    <row r="1256" spans="1:4" x14ac:dyDescent="0.2">
      <c r="A1256" s="516">
        <v>44124</v>
      </c>
      <c r="B1256" s="493">
        <f t="shared" si="8"/>
        <v>343525</v>
      </c>
      <c r="C1256" s="750">
        <v>343325</v>
      </c>
      <c r="D1256" s="751">
        <v>200</v>
      </c>
    </row>
    <row r="1257" spans="1:4" x14ac:dyDescent="0.2">
      <c r="A1257" s="516">
        <v>44125</v>
      </c>
      <c r="B1257" s="493">
        <f t="shared" si="8"/>
        <v>340413.21</v>
      </c>
      <c r="C1257" s="750">
        <v>340213.21</v>
      </c>
      <c r="D1257" s="751">
        <v>200</v>
      </c>
    </row>
    <row r="1258" spans="1:4" x14ac:dyDescent="0.2">
      <c r="A1258" s="516">
        <v>44126</v>
      </c>
      <c r="B1258" s="493">
        <f t="shared" si="8"/>
        <v>354245.2</v>
      </c>
      <c r="C1258" s="750">
        <v>354045.2</v>
      </c>
      <c r="D1258" s="751">
        <v>200</v>
      </c>
    </row>
    <row r="1259" spans="1:4" x14ac:dyDescent="0.2">
      <c r="A1259" s="516">
        <v>44127</v>
      </c>
      <c r="B1259" s="493">
        <f t="shared" si="8"/>
        <v>354086.35</v>
      </c>
      <c r="C1259" s="750">
        <v>353886.35</v>
      </c>
      <c r="D1259" s="751">
        <v>200</v>
      </c>
    </row>
    <row r="1260" spans="1:4" x14ac:dyDescent="0.2">
      <c r="A1260" s="516">
        <v>44130</v>
      </c>
      <c r="B1260" s="493">
        <f t="shared" si="8"/>
        <v>354086</v>
      </c>
      <c r="C1260" s="750">
        <v>353886</v>
      </c>
      <c r="D1260" s="751">
        <v>200</v>
      </c>
    </row>
    <row r="1261" spans="1:4" x14ac:dyDescent="0.2">
      <c r="A1261" s="516">
        <v>44131</v>
      </c>
      <c r="B1261" s="493">
        <f t="shared" si="8"/>
        <v>312941.49</v>
      </c>
      <c r="C1261" s="750">
        <v>312741.49</v>
      </c>
      <c r="D1261" s="751">
        <v>200</v>
      </c>
    </row>
    <row r="1262" spans="1:4" x14ac:dyDescent="0.2">
      <c r="A1262" s="516">
        <v>44132</v>
      </c>
      <c r="B1262" s="493">
        <f t="shared" si="8"/>
        <v>312941</v>
      </c>
      <c r="C1262" s="750">
        <v>312741</v>
      </c>
      <c r="D1262" s="751">
        <v>200</v>
      </c>
    </row>
    <row r="1263" spans="1:4" x14ac:dyDescent="0.2">
      <c r="A1263" s="516">
        <v>44133</v>
      </c>
      <c r="B1263" s="493">
        <f t="shared" ref="B1263:B1326" si="9">C1263+D1263</f>
        <v>312941</v>
      </c>
      <c r="C1263" s="750">
        <v>312741</v>
      </c>
      <c r="D1263" s="751">
        <v>200</v>
      </c>
    </row>
    <row r="1264" spans="1:4" x14ac:dyDescent="0.2">
      <c r="A1264" s="516">
        <v>44134</v>
      </c>
      <c r="B1264" s="493">
        <f t="shared" si="9"/>
        <v>336359.66</v>
      </c>
      <c r="C1264" s="750">
        <v>336159.66</v>
      </c>
      <c r="D1264" s="751">
        <v>200</v>
      </c>
    </row>
    <row r="1265" spans="1:4" x14ac:dyDescent="0.2">
      <c r="A1265" s="516">
        <v>44137</v>
      </c>
      <c r="B1265" s="493">
        <f t="shared" si="9"/>
        <v>336077.1</v>
      </c>
      <c r="C1265" s="750">
        <v>335877.1</v>
      </c>
      <c r="D1265" s="751">
        <v>200</v>
      </c>
    </row>
    <row r="1266" spans="1:4" x14ac:dyDescent="0.2">
      <c r="A1266" s="516">
        <v>44138</v>
      </c>
      <c r="B1266" s="493">
        <f t="shared" si="9"/>
        <v>336077</v>
      </c>
      <c r="C1266" s="750">
        <v>335877</v>
      </c>
      <c r="D1266" s="751">
        <v>200</v>
      </c>
    </row>
    <row r="1267" spans="1:4" x14ac:dyDescent="0.2">
      <c r="A1267" s="516">
        <v>44139</v>
      </c>
      <c r="B1267" s="493">
        <f t="shared" si="9"/>
        <v>328153.34999999998</v>
      </c>
      <c r="C1267" s="750">
        <v>327953.34999999998</v>
      </c>
      <c r="D1267" s="751">
        <v>200</v>
      </c>
    </row>
    <row r="1268" spans="1:4" x14ac:dyDescent="0.2">
      <c r="A1268" s="516">
        <v>44140</v>
      </c>
      <c r="B1268" s="493">
        <f t="shared" si="9"/>
        <v>328497.34999999998</v>
      </c>
      <c r="C1268" s="750">
        <v>328297.34999999998</v>
      </c>
      <c r="D1268" s="751">
        <v>200</v>
      </c>
    </row>
    <row r="1269" spans="1:4" x14ac:dyDescent="0.2">
      <c r="A1269" s="516">
        <v>44141</v>
      </c>
      <c r="B1269" s="493">
        <f t="shared" si="9"/>
        <v>327078.57</v>
      </c>
      <c r="C1269" s="750">
        <v>326878.57</v>
      </c>
      <c r="D1269" s="751">
        <v>200</v>
      </c>
    </row>
    <row r="1270" spans="1:4" x14ac:dyDescent="0.2">
      <c r="A1270" s="516">
        <v>44144</v>
      </c>
      <c r="B1270" s="493">
        <f t="shared" si="9"/>
        <v>293224.96000000002</v>
      </c>
      <c r="C1270" s="750">
        <v>293024.96000000002</v>
      </c>
      <c r="D1270" s="751">
        <v>200</v>
      </c>
    </row>
    <row r="1271" spans="1:4" x14ac:dyDescent="0.2">
      <c r="A1271" s="516">
        <v>44145</v>
      </c>
      <c r="B1271" s="493">
        <f t="shared" si="9"/>
        <v>297955.08</v>
      </c>
      <c r="C1271" s="750">
        <v>297755.08</v>
      </c>
      <c r="D1271" s="751">
        <v>200</v>
      </c>
    </row>
    <row r="1272" spans="1:4" x14ac:dyDescent="0.2">
      <c r="A1272" s="516">
        <v>44146</v>
      </c>
      <c r="B1272" s="493">
        <f t="shared" si="9"/>
        <v>297955</v>
      </c>
      <c r="C1272" s="750">
        <v>297755</v>
      </c>
      <c r="D1272" s="751">
        <v>200</v>
      </c>
    </row>
    <row r="1273" spans="1:4" x14ac:dyDescent="0.2">
      <c r="A1273" s="516">
        <v>44147</v>
      </c>
      <c r="B1273" s="493">
        <f t="shared" si="9"/>
        <v>301097.59000000003</v>
      </c>
      <c r="C1273" s="750">
        <v>300897.59000000003</v>
      </c>
      <c r="D1273" s="751">
        <v>200</v>
      </c>
    </row>
    <row r="1274" spans="1:4" x14ac:dyDescent="0.2">
      <c r="A1274" s="516">
        <v>44148</v>
      </c>
      <c r="B1274" s="493">
        <f t="shared" si="9"/>
        <v>300720.71000000002</v>
      </c>
      <c r="C1274" s="750">
        <v>300520.71000000002</v>
      </c>
      <c r="D1274" s="751">
        <v>200</v>
      </c>
    </row>
    <row r="1275" spans="1:4" x14ac:dyDescent="0.2">
      <c r="A1275" s="516">
        <v>44151</v>
      </c>
      <c r="B1275" s="493">
        <f t="shared" si="9"/>
        <v>300721</v>
      </c>
      <c r="C1275" s="750">
        <v>300521</v>
      </c>
      <c r="D1275" s="751">
        <v>200</v>
      </c>
    </row>
    <row r="1276" spans="1:4" x14ac:dyDescent="0.2">
      <c r="A1276" s="516">
        <v>44152</v>
      </c>
      <c r="B1276" s="493">
        <f t="shared" si="9"/>
        <v>300721</v>
      </c>
      <c r="C1276" s="750">
        <v>300521</v>
      </c>
      <c r="D1276" s="751">
        <v>200</v>
      </c>
    </row>
    <row r="1277" spans="1:4" x14ac:dyDescent="0.2">
      <c r="A1277" s="516">
        <v>44153</v>
      </c>
      <c r="B1277" s="493">
        <f t="shared" si="9"/>
        <v>298371.37</v>
      </c>
      <c r="C1277" s="750">
        <v>298171.37</v>
      </c>
      <c r="D1277" s="751">
        <v>200</v>
      </c>
    </row>
    <row r="1278" spans="1:4" x14ac:dyDescent="0.2">
      <c r="A1278" s="516">
        <v>44154</v>
      </c>
      <c r="B1278" s="493">
        <f t="shared" si="9"/>
        <v>298371</v>
      </c>
      <c r="C1278" s="750">
        <v>298171</v>
      </c>
      <c r="D1278" s="751">
        <v>200</v>
      </c>
    </row>
    <row r="1279" spans="1:4" x14ac:dyDescent="0.2">
      <c r="A1279" s="516">
        <v>44155</v>
      </c>
      <c r="B1279" s="493">
        <f t="shared" si="9"/>
        <v>297912.75</v>
      </c>
      <c r="C1279" s="750">
        <v>297712.75</v>
      </c>
      <c r="D1279" s="751">
        <v>200</v>
      </c>
    </row>
    <row r="1280" spans="1:4" x14ac:dyDescent="0.2">
      <c r="A1280" s="516">
        <v>44158</v>
      </c>
      <c r="B1280" s="493">
        <f t="shared" si="9"/>
        <v>260100.75</v>
      </c>
      <c r="C1280" s="750">
        <v>259900.75</v>
      </c>
      <c r="D1280" s="751">
        <v>200</v>
      </c>
    </row>
    <row r="1281" spans="1:4" x14ac:dyDescent="0.2">
      <c r="A1281" s="516">
        <v>44159</v>
      </c>
      <c r="B1281" s="493">
        <f t="shared" si="9"/>
        <v>260101</v>
      </c>
      <c r="C1281" s="750">
        <v>259901</v>
      </c>
      <c r="D1281" s="751">
        <v>200</v>
      </c>
    </row>
    <row r="1282" spans="1:4" x14ac:dyDescent="0.2">
      <c r="A1282" s="516">
        <v>44160</v>
      </c>
      <c r="B1282" s="493">
        <f t="shared" si="9"/>
        <v>259952.43</v>
      </c>
      <c r="C1282" s="750">
        <v>259752.43</v>
      </c>
      <c r="D1282" s="751">
        <v>200</v>
      </c>
    </row>
    <row r="1283" spans="1:4" x14ac:dyDescent="0.2">
      <c r="A1283" s="516">
        <v>44161</v>
      </c>
      <c r="B1283" s="493">
        <f t="shared" si="9"/>
        <v>259952</v>
      </c>
      <c r="C1283" s="750">
        <v>259752</v>
      </c>
      <c r="D1283" s="751">
        <v>200</v>
      </c>
    </row>
    <row r="1284" spans="1:4" x14ac:dyDescent="0.2">
      <c r="A1284" s="516">
        <v>44162</v>
      </c>
      <c r="B1284" s="493">
        <f t="shared" si="9"/>
        <v>261011.41</v>
      </c>
      <c r="C1284" s="750">
        <v>260811.41</v>
      </c>
      <c r="D1284" s="751">
        <v>200</v>
      </c>
    </row>
    <row r="1285" spans="1:4" x14ac:dyDescent="0.2">
      <c r="A1285" s="516">
        <v>44165</v>
      </c>
      <c r="B1285" s="493">
        <f t="shared" si="9"/>
        <v>256570.76</v>
      </c>
      <c r="C1285" s="750">
        <v>256370.76</v>
      </c>
      <c r="D1285" s="751">
        <v>200</v>
      </c>
    </row>
    <row r="1286" spans="1:4" x14ac:dyDescent="0.2">
      <c r="A1286" s="516">
        <v>44166</v>
      </c>
      <c r="B1286" s="493">
        <f t="shared" si="9"/>
        <v>256571</v>
      </c>
      <c r="C1286" s="750">
        <v>256371</v>
      </c>
      <c r="D1286" s="751">
        <v>200</v>
      </c>
    </row>
    <row r="1287" spans="1:4" x14ac:dyDescent="0.2">
      <c r="A1287" s="516">
        <v>44167</v>
      </c>
      <c r="B1287" s="493">
        <f t="shared" si="9"/>
        <v>343824.57</v>
      </c>
      <c r="C1287" s="750">
        <v>343624.57</v>
      </c>
      <c r="D1287" s="751">
        <v>200</v>
      </c>
    </row>
    <row r="1288" spans="1:4" x14ac:dyDescent="0.2">
      <c r="A1288" s="516">
        <v>44168</v>
      </c>
      <c r="B1288" s="493">
        <f t="shared" si="9"/>
        <v>348428.77</v>
      </c>
      <c r="C1288" s="750">
        <v>348228.77</v>
      </c>
      <c r="D1288" s="751">
        <v>200</v>
      </c>
    </row>
    <row r="1289" spans="1:4" x14ac:dyDescent="0.2">
      <c r="A1289" s="516">
        <v>44169</v>
      </c>
      <c r="B1289" s="493">
        <f t="shared" si="9"/>
        <v>348429</v>
      </c>
      <c r="C1289" s="750">
        <v>348229</v>
      </c>
      <c r="D1289" s="751">
        <v>200</v>
      </c>
    </row>
    <row r="1290" spans="1:4" x14ac:dyDescent="0.2">
      <c r="A1290" s="516">
        <v>44172</v>
      </c>
      <c r="B1290" s="493">
        <f t="shared" si="9"/>
        <v>313593.81</v>
      </c>
      <c r="C1290" s="750">
        <v>313393.81</v>
      </c>
      <c r="D1290" s="751">
        <v>200</v>
      </c>
    </row>
    <row r="1291" spans="1:4" x14ac:dyDescent="0.2">
      <c r="A1291" s="516">
        <v>44173</v>
      </c>
      <c r="B1291" s="493">
        <f t="shared" si="9"/>
        <v>320775.28999999998</v>
      </c>
      <c r="C1291" s="750">
        <v>320575.28999999998</v>
      </c>
      <c r="D1291" s="751">
        <v>200</v>
      </c>
    </row>
    <row r="1292" spans="1:4" x14ac:dyDescent="0.2">
      <c r="A1292" s="516">
        <v>44174</v>
      </c>
      <c r="B1292" s="493">
        <f t="shared" si="9"/>
        <v>321115.28999999998</v>
      </c>
      <c r="C1292" s="750">
        <v>320915.28999999998</v>
      </c>
      <c r="D1292" s="751">
        <v>200</v>
      </c>
    </row>
    <row r="1293" spans="1:4" x14ac:dyDescent="0.2">
      <c r="A1293" s="516">
        <v>44175</v>
      </c>
      <c r="B1293" s="493">
        <f t="shared" si="9"/>
        <v>314719.49</v>
      </c>
      <c r="C1293" s="750">
        <v>314519.49</v>
      </c>
      <c r="D1293" s="751">
        <v>200</v>
      </c>
    </row>
    <row r="1294" spans="1:4" x14ac:dyDescent="0.2">
      <c r="A1294" s="516">
        <v>44176</v>
      </c>
      <c r="B1294" s="493">
        <f t="shared" si="9"/>
        <v>317009.81</v>
      </c>
      <c r="C1294" s="750">
        <v>316809.81</v>
      </c>
      <c r="D1294" s="751">
        <v>200</v>
      </c>
    </row>
    <row r="1295" spans="1:4" x14ac:dyDescent="0.2">
      <c r="A1295" s="516">
        <v>44179</v>
      </c>
      <c r="B1295" s="493">
        <f t="shared" si="9"/>
        <v>316409.81</v>
      </c>
      <c r="C1295" s="750">
        <v>316209.81</v>
      </c>
      <c r="D1295" s="751">
        <v>200</v>
      </c>
    </row>
    <row r="1296" spans="1:4" x14ac:dyDescent="0.2">
      <c r="A1296" s="516">
        <v>44180</v>
      </c>
      <c r="B1296" s="493">
        <f t="shared" si="9"/>
        <v>316462.65000000002</v>
      </c>
      <c r="C1296" s="750">
        <v>316262.65000000002</v>
      </c>
      <c r="D1296" s="751">
        <v>200</v>
      </c>
    </row>
    <row r="1297" spans="1:4" x14ac:dyDescent="0.2">
      <c r="A1297" s="516">
        <v>44181</v>
      </c>
      <c r="B1297" s="493">
        <f t="shared" si="9"/>
        <v>337790.61</v>
      </c>
      <c r="C1297" s="750">
        <v>337590.61</v>
      </c>
      <c r="D1297" s="751">
        <v>200</v>
      </c>
    </row>
    <row r="1298" spans="1:4" x14ac:dyDescent="0.2">
      <c r="A1298" s="516">
        <v>44182</v>
      </c>
      <c r="B1298" s="493">
        <f t="shared" si="9"/>
        <v>337791</v>
      </c>
      <c r="C1298" s="750">
        <v>337591</v>
      </c>
      <c r="D1298" s="751">
        <v>200</v>
      </c>
    </row>
    <row r="1299" spans="1:4" x14ac:dyDescent="0.2">
      <c r="A1299" s="516">
        <v>44183</v>
      </c>
      <c r="B1299" s="493">
        <f t="shared" si="9"/>
        <v>337791</v>
      </c>
      <c r="C1299" s="750">
        <v>337591</v>
      </c>
      <c r="D1299" s="751">
        <v>200</v>
      </c>
    </row>
    <row r="1300" spans="1:4" x14ac:dyDescent="0.2">
      <c r="A1300" s="516">
        <v>44186</v>
      </c>
      <c r="B1300" s="493">
        <f t="shared" si="9"/>
        <v>304627.44</v>
      </c>
      <c r="C1300" s="750">
        <v>304427.44</v>
      </c>
      <c r="D1300" s="751">
        <v>200</v>
      </c>
    </row>
    <row r="1301" spans="1:4" x14ac:dyDescent="0.2">
      <c r="A1301" s="516">
        <v>44187</v>
      </c>
      <c r="B1301" s="493">
        <f t="shared" si="9"/>
        <v>304802.88</v>
      </c>
      <c r="C1301" s="750">
        <v>304602.88</v>
      </c>
      <c r="D1301" s="751">
        <v>200</v>
      </c>
    </row>
    <row r="1302" spans="1:4" x14ac:dyDescent="0.2">
      <c r="A1302" s="516">
        <v>44188</v>
      </c>
      <c r="B1302" s="493">
        <f t="shared" si="9"/>
        <v>304803</v>
      </c>
      <c r="C1302" s="750">
        <v>304603</v>
      </c>
      <c r="D1302" s="751">
        <v>200</v>
      </c>
    </row>
    <row r="1303" spans="1:4" x14ac:dyDescent="0.2">
      <c r="A1303" s="516">
        <v>44189</v>
      </c>
      <c r="B1303" s="493">
        <f t="shared" si="9"/>
        <v>338461.96</v>
      </c>
      <c r="C1303" s="750">
        <v>338261.96</v>
      </c>
      <c r="D1303" s="751">
        <v>200</v>
      </c>
    </row>
    <row r="1304" spans="1:4" x14ac:dyDescent="0.2">
      <c r="A1304" s="516">
        <v>44190</v>
      </c>
      <c r="B1304" s="493">
        <f t="shared" si="9"/>
        <v>338462</v>
      </c>
      <c r="C1304" s="750">
        <v>338262</v>
      </c>
      <c r="D1304" s="751">
        <v>200</v>
      </c>
    </row>
    <row r="1305" spans="1:4" x14ac:dyDescent="0.2">
      <c r="A1305" s="516">
        <v>44193</v>
      </c>
      <c r="B1305" s="493">
        <f t="shared" si="9"/>
        <v>373533.96</v>
      </c>
      <c r="C1305" s="750">
        <v>373333.96</v>
      </c>
      <c r="D1305" s="751">
        <v>200</v>
      </c>
    </row>
    <row r="1306" spans="1:4" x14ac:dyDescent="0.2">
      <c r="A1306" s="516">
        <v>44194</v>
      </c>
      <c r="B1306" s="493">
        <f t="shared" si="9"/>
        <v>373168.21</v>
      </c>
      <c r="C1306" s="750">
        <v>372968.21</v>
      </c>
      <c r="D1306" s="751">
        <v>200</v>
      </c>
    </row>
    <row r="1307" spans="1:4" x14ac:dyDescent="0.2">
      <c r="A1307" s="516">
        <v>44195</v>
      </c>
      <c r="B1307" s="493">
        <f t="shared" si="9"/>
        <v>375552.7</v>
      </c>
      <c r="C1307" s="750">
        <v>375352.7</v>
      </c>
      <c r="D1307" s="751">
        <v>200</v>
      </c>
    </row>
    <row r="1308" spans="1:4" x14ac:dyDescent="0.2">
      <c r="A1308" s="516">
        <v>44196</v>
      </c>
      <c r="B1308" s="493">
        <f t="shared" si="9"/>
        <v>397543.49</v>
      </c>
      <c r="C1308" s="750">
        <v>397343.49</v>
      </c>
      <c r="D1308" s="751">
        <v>200</v>
      </c>
    </row>
    <row r="1309" spans="1:4" x14ac:dyDescent="0.2">
      <c r="A1309" s="516">
        <v>44197</v>
      </c>
      <c r="B1309" s="493">
        <f t="shared" si="9"/>
        <v>397543</v>
      </c>
      <c r="C1309" s="750">
        <v>397343</v>
      </c>
      <c r="D1309" s="751">
        <v>200</v>
      </c>
    </row>
    <row r="1310" spans="1:4" x14ac:dyDescent="0.2">
      <c r="A1310" s="516">
        <v>44200</v>
      </c>
      <c r="B1310" s="493">
        <f t="shared" si="9"/>
        <v>380539.51</v>
      </c>
      <c r="C1310" s="750">
        <v>380339.51</v>
      </c>
      <c r="D1310" s="751">
        <v>200</v>
      </c>
    </row>
    <row r="1311" spans="1:4" x14ac:dyDescent="0.2">
      <c r="A1311" s="516">
        <v>44201</v>
      </c>
      <c r="B1311" s="493">
        <f t="shared" si="9"/>
        <v>349091.91</v>
      </c>
      <c r="C1311" s="750">
        <v>348891.91</v>
      </c>
      <c r="D1311" s="751">
        <v>200</v>
      </c>
    </row>
    <row r="1312" spans="1:4" x14ac:dyDescent="0.2">
      <c r="A1312" s="516">
        <v>44202</v>
      </c>
      <c r="B1312" s="493">
        <f t="shared" si="9"/>
        <v>349092</v>
      </c>
      <c r="C1312" s="750">
        <v>348892</v>
      </c>
      <c r="D1312" s="751">
        <v>200</v>
      </c>
    </row>
    <row r="1313" spans="1:4" x14ac:dyDescent="0.2">
      <c r="A1313" s="516">
        <v>44203</v>
      </c>
      <c r="B1313" s="493">
        <f t="shared" si="9"/>
        <v>409281.75</v>
      </c>
      <c r="C1313" s="750">
        <v>409081.75</v>
      </c>
      <c r="D1313" s="751">
        <v>200</v>
      </c>
    </row>
    <row r="1314" spans="1:4" x14ac:dyDescent="0.2">
      <c r="A1314" s="516">
        <v>44204</v>
      </c>
      <c r="B1314" s="493">
        <f t="shared" si="9"/>
        <v>408971.69</v>
      </c>
      <c r="C1314" s="750">
        <v>408771.69</v>
      </c>
      <c r="D1314" s="751">
        <v>200</v>
      </c>
    </row>
    <row r="1315" spans="1:4" x14ac:dyDescent="0.2">
      <c r="A1315" s="516">
        <v>44207</v>
      </c>
      <c r="B1315" s="493">
        <f t="shared" si="9"/>
        <v>408739.83</v>
      </c>
      <c r="C1315" s="750">
        <v>408539.83</v>
      </c>
      <c r="D1315" s="751">
        <v>200</v>
      </c>
    </row>
    <row r="1316" spans="1:4" x14ac:dyDescent="0.2">
      <c r="A1316" s="516">
        <v>44208</v>
      </c>
      <c r="B1316" s="493">
        <f t="shared" si="9"/>
        <v>401650.97</v>
      </c>
      <c r="C1316" s="750">
        <v>401450.97</v>
      </c>
      <c r="D1316" s="751">
        <v>200</v>
      </c>
    </row>
    <row r="1317" spans="1:4" x14ac:dyDescent="0.2">
      <c r="A1317" s="516">
        <v>44209</v>
      </c>
      <c r="B1317" s="493">
        <f t="shared" si="9"/>
        <v>413709.67</v>
      </c>
      <c r="C1317" s="750">
        <v>413509.67</v>
      </c>
      <c r="D1317" s="751">
        <v>200</v>
      </c>
    </row>
    <row r="1318" spans="1:4" x14ac:dyDescent="0.2">
      <c r="A1318" s="516">
        <v>44210</v>
      </c>
      <c r="B1318" s="493">
        <f t="shared" si="9"/>
        <v>412321.56</v>
      </c>
      <c r="C1318" s="750">
        <v>412121.56</v>
      </c>
      <c r="D1318" s="751">
        <v>200</v>
      </c>
    </row>
    <row r="1319" spans="1:4" x14ac:dyDescent="0.2">
      <c r="A1319" s="516">
        <v>44211</v>
      </c>
      <c r="B1319" s="493">
        <f t="shared" si="9"/>
        <v>412384.91</v>
      </c>
      <c r="C1319" s="750">
        <v>412184.91</v>
      </c>
      <c r="D1319" s="751">
        <v>200</v>
      </c>
    </row>
    <row r="1320" spans="1:4" x14ac:dyDescent="0.2">
      <c r="A1320" s="516">
        <v>44214</v>
      </c>
      <c r="B1320" s="493">
        <f t="shared" si="9"/>
        <v>412385</v>
      </c>
      <c r="C1320" s="750">
        <v>412185</v>
      </c>
      <c r="D1320" s="751">
        <v>200</v>
      </c>
    </row>
    <row r="1321" spans="1:4" x14ac:dyDescent="0.2">
      <c r="A1321" s="516">
        <v>44215</v>
      </c>
      <c r="B1321" s="493">
        <f t="shared" si="9"/>
        <v>417699.08</v>
      </c>
      <c r="C1321" s="750">
        <v>417499.08</v>
      </c>
      <c r="D1321" s="751">
        <v>200</v>
      </c>
    </row>
    <row r="1322" spans="1:4" x14ac:dyDescent="0.2">
      <c r="A1322" s="516">
        <v>44216</v>
      </c>
      <c r="B1322" s="552">
        <f t="shared" si="9"/>
        <v>417952.08</v>
      </c>
      <c r="C1322" s="750">
        <v>417752.08</v>
      </c>
      <c r="D1322" s="751">
        <v>200</v>
      </c>
    </row>
    <row r="1323" spans="1:4" x14ac:dyDescent="0.2">
      <c r="A1323" s="516">
        <v>44217</v>
      </c>
      <c r="B1323" s="493">
        <f t="shared" si="9"/>
        <v>402996.41</v>
      </c>
      <c r="C1323" s="750">
        <v>402796.41</v>
      </c>
      <c r="D1323" s="751">
        <v>200</v>
      </c>
    </row>
    <row r="1324" spans="1:4" x14ac:dyDescent="0.2">
      <c r="A1324" s="516">
        <v>44218</v>
      </c>
      <c r="B1324" s="493">
        <f t="shared" si="9"/>
        <v>402527.5</v>
      </c>
      <c r="C1324" s="750">
        <v>402327.5</v>
      </c>
      <c r="D1324" s="751">
        <v>200</v>
      </c>
    </row>
    <row r="1325" spans="1:4" x14ac:dyDescent="0.2">
      <c r="A1325" s="516">
        <v>44221</v>
      </c>
      <c r="B1325" s="493">
        <f t="shared" si="9"/>
        <v>402528</v>
      </c>
      <c r="C1325" s="750">
        <v>402328</v>
      </c>
      <c r="D1325" s="751">
        <v>200</v>
      </c>
    </row>
    <row r="1326" spans="1:4" x14ac:dyDescent="0.2">
      <c r="A1326" s="516">
        <v>44222</v>
      </c>
      <c r="B1326" s="493">
        <f t="shared" si="9"/>
        <v>399742.18</v>
      </c>
      <c r="C1326" s="750">
        <v>399542.18</v>
      </c>
      <c r="D1326" s="751">
        <v>200</v>
      </c>
    </row>
    <row r="1327" spans="1:4" x14ac:dyDescent="0.2">
      <c r="A1327" s="516">
        <v>44223</v>
      </c>
      <c r="B1327" s="493">
        <f t="shared" ref="B1327:B1390" si="10">C1327+D1327</f>
        <v>399886.18</v>
      </c>
      <c r="C1327" s="750">
        <v>399686.18</v>
      </c>
      <c r="D1327" s="751">
        <v>200</v>
      </c>
    </row>
    <row r="1328" spans="1:4" x14ac:dyDescent="0.2">
      <c r="A1328" s="516">
        <v>44224</v>
      </c>
      <c r="B1328" s="493">
        <f t="shared" si="10"/>
        <v>393628.47</v>
      </c>
      <c r="C1328" s="750">
        <v>393428.47</v>
      </c>
      <c r="D1328" s="751">
        <v>200</v>
      </c>
    </row>
    <row r="1329" spans="1:4" x14ac:dyDescent="0.2">
      <c r="A1329" s="516">
        <v>44225</v>
      </c>
      <c r="B1329" s="493">
        <f t="shared" si="10"/>
        <v>393628</v>
      </c>
      <c r="C1329" s="750">
        <v>393428</v>
      </c>
      <c r="D1329" s="751">
        <v>200</v>
      </c>
    </row>
    <row r="1330" spans="1:4" x14ac:dyDescent="0.2">
      <c r="A1330" s="516">
        <v>44228</v>
      </c>
      <c r="B1330" s="493">
        <f t="shared" si="10"/>
        <v>393628</v>
      </c>
      <c r="C1330" s="750">
        <v>393428</v>
      </c>
      <c r="D1330" s="751">
        <v>200</v>
      </c>
    </row>
    <row r="1331" spans="1:4" x14ac:dyDescent="0.2">
      <c r="A1331" s="516">
        <v>44229</v>
      </c>
      <c r="B1331" s="493">
        <f t="shared" si="10"/>
        <v>359326.4</v>
      </c>
      <c r="C1331" s="750">
        <v>359126.4</v>
      </c>
      <c r="D1331" s="751">
        <v>200</v>
      </c>
    </row>
    <row r="1332" spans="1:4" x14ac:dyDescent="0.2">
      <c r="A1332" s="516">
        <v>44230</v>
      </c>
      <c r="B1332" s="493">
        <f t="shared" si="10"/>
        <v>359521.7</v>
      </c>
      <c r="C1332" s="750">
        <v>359321.7</v>
      </c>
      <c r="D1332" s="751">
        <v>200</v>
      </c>
    </row>
    <row r="1333" spans="1:4" x14ac:dyDescent="0.2">
      <c r="A1333" s="516">
        <v>44231</v>
      </c>
      <c r="B1333" s="493">
        <f t="shared" si="10"/>
        <v>359522</v>
      </c>
      <c r="C1333" s="750">
        <v>359322</v>
      </c>
      <c r="D1333" s="751">
        <v>200</v>
      </c>
    </row>
    <row r="1334" spans="1:4" x14ac:dyDescent="0.2">
      <c r="A1334" s="516">
        <v>44232</v>
      </c>
      <c r="B1334" s="493">
        <f t="shared" si="10"/>
        <v>347055.28</v>
      </c>
      <c r="C1334" s="750">
        <v>346855.28</v>
      </c>
      <c r="D1334" s="751">
        <v>200</v>
      </c>
    </row>
    <row r="1335" spans="1:4" x14ac:dyDescent="0.2">
      <c r="A1335" s="516">
        <v>44235</v>
      </c>
      <c r="B1335" s="493">
        <f t="shared" si="10"/>
        <v>369629.13</v>
      </c>
      <c r="C1335" s="750">
        <v>369429.13</v>
      </c>
      <c r="D1335" s="751">
        <v>200</v>
      </c>
    </row>
    <row r="1336" spans="1:4" x14ac:dyDescent="0.2">
      <c r="A1336" s="516">
        <v>44236</v>
      </c>
      <c r="B1336" s="493">
        <f t="shared" si="10"/>
        <v>382278.77</v>
      </c>
      <c r="C1336" s="750">
        <v>382078.77</v>
      </c>
      <c r="D1336" s="751">
        <v>200</v>
      </c>
    </row>
    <row r="1337" spans="1:4" x14ac:dyDescent="0.2">
      <c r="A1337" s="516">
        <v>44237</v>
      </c>
      <c r="B1337" s="493">
        <f t="shared" si="10"/>
        <v>382279</v>
      </c>
      <c r="C1337" s="750">
        <v>382079</v>
      </c>
      <c r="D1337" s="751">
        <v>200</v>
      </c>
    </row>
    <row r="1338" spans="1:4" x14ac:dyDescent="0.2">
      <c r="A1338" s="516">
        <v>44238</v>
      </c>
      <c r="B1338" s="493">
        <f t="shared" si="10"/>
        <v>378310.6</v>
      </c>
      <c r="C1338" s="750">
        <v>378110.6</v>
      </c>
      <c r="D1338" s="751">
        <v>200</v>
      </c>
    </row>
    <row r="1339" spans="1:4" x14ac:dyDescent="0.2">
      <c r="A1339" s="516">
        <v>44239</v>
      </c>
      <c r="B1339" s="493">
        <f t="shared" si="10"/>
        <v>378369.91</v>
      </c>
      <c r="C1339" s="750">
        <v>378169.91</v>
      </c>
      <c r="D1339" s="751">
        <v>200</v>
      </c>
    </row>
    <row r="1340" spans="1:4" x14ac:dyDescent="0.2">
      <c r="A1340" s="516">
        <v>44242</v>
      </c>
      <c r="B1340" s="493">
        <f t="shared" si="10"/>
        <v>378370</v>
      </c>
      <c r="C1340" s="750">
        <v>378170</v>
      </c>
      <c r="D1340" s="751">
        <v>200</v>
      </c>
    </row>
    <row r="1341" spans="1:4" x14ac:dyDescent="0.2">
      <c r="A1341" s="516">
        <v>44243</v>
      </c>
      <c r="B1341" s="552">
        <f t="shared" si="10"/>
        <v>345442.81</v>
      </c>
      <c r="C1341" s="750">
        <v>345242.81</v>
      </c>
      <c r="D1341" s="751">
        <v>200</v>
      </c>
    </row>
    <row r="1342" spans="1:4" x14ac:dyDescent="0.2">
      <c r="A1342" s="516">
        <v>44244</v>
      </c>
      <c r="B1342" s="493">
        <f t="shared" si="10"/>
        <v>345443</v>
      </c>
      <c r="C1342" s="750">
        <v>345243</v>
      </c>
      <c r="D1342" s="751">
        <v>200</v>
      </c>
    </row>
    <row r="1343" spans="1:4" x14ac:dyDescent="0.2">
      <c r="A1343" s="516">
        <v>44245</v>
      </c>
      <c r="B1343" s="493">
        <f t="shared" si="10"/>
        <v>345443</v>
      </c>
      <c r="C1343" s="750">
        <v>345243</v>
      </c>
      <c r="D1343" s="751">
        <v>200</v>
      </c>
    </row>
    <row r="1344" spans="1:4" x14ac:dyDescent="0.2">
      <c r="A1344" s="516">
        <v>44246</v>
      </c>
      <c r="B1344" s="493">
        <f t="shared" si="10"/>
        <v>364859.97</v>
      </c>
      <c r="C1344" s="750">
        <v>364659.97</v>
      </c>
      <c r="D1344" s="751">
        <v>200</v>
      </c>
    </row>
    <row r="1345" spans="1:4" x14ac:dyDescent="0.2">
      <c r="A1345" s="516">
        <v>44249</v>
      </c>
      <c r="B1345" s="493">
        <f t="shared" si="10"/>
        <v>368452.97</v>
      </c>
      <c r="C1345" s="750">
        <v>368252.97</v>
      </c>
      <c r="D1345" s="751">
        <v>200</v>
      </c>
    </row>
    <row r="1346" spans="1:4" x14ac:dyDescent="0.2">
      <c r="A1346" s="516">
        <v>44250</v>
      </c>
      <c r="B1346" s="493">
        <f t="shared" si="10"/>
        <v>368407.65</v>
      </c>
      <c r="C1346" s="750">
        <v>368207.65</v>
      </c>
      <c r="D1346" s="751">
        <v>200</v>
      </c>
    </row>
    <row r="1347" spans="1:4" x14ac:dyDescent="0.2">
      <c r="A1347" s="516">
        <v>44251</v>
      </c>
      <c r="B1347" s="493">
        <f t="shared" si="10"/>
        <v>373249.01</v>
      </c>
      <c r="C1347" s="750">
        <v>373049.01</v>
      </c>
      <c r="D1347" s="751">
        <v>200</v>
      </c>
    </row>
    <row r="1348" spans="1:4" x14ac:dyDescent="0.2">
      <c r="A1348" s="516">
        <v>44252</v>
      </c>
      <c r="B1348" s="493">
        <f t="shared" si="10"/>
        <v>373249.01</v>
      </c>
      <c r="C1348" s="750">
        <v>373049.01</v>
      </c>
      <c r="D1348" s="751">
        <v>200</v>
      </c>
    </row>
    <row r="1349" spans="1:4" x14ac:dyDescent="0.2">
      <c r="A1349" s="516">
        <v>44253</v>
      </c>
      <c r="B1349" s="493">
        <f t="shared" si="10"/>
        <v>404359.4</v>
      </c>
      <c r="C1349" s="750">
        <v>404159.4</v>
      </c>
      <c r="D1349" s="751">
        <v>200</v>
      </c>
    </row>
    <row r="1350" spans="1:4" x14ac:dyDescent="0.2">
      <c r="A1350" s="516">
        <v>44256</v>
      </c>
      <c r="B1350" s="493">
        <f t="shared" si="10"/>
        <v>398860.85</v>
      </c>
      <c r="C1350" s="750">
        <v>398660.85</v>
      </c>
      <c r="D1350" s="751">
        <v>200</v>
      </c>
    </row>
    <row r="1351" spans="1:4" x14ac:dyDescent="0.2">
      <c r="A1351" s="516">
        <v>44257</v>
      </c>
      <c r="B1351" s="493">
        <f t="shared" si="10"/>
        <v>365079.52</v>
      </c>
      <c r="C1351" s="750">
        <v>364879.52</v>
      </c>
      <c r="D1351" s="751">
        <v>200</v>
      </c>
    </row>
    <row r="1352" spans="1:4" x14ac:dyDescent="0.2">
      <c r="A1352" s="516">
        <v>44258</v>
      </c>
      <c r="B1352" s="493">
        <f t="shared" si="10"/>
        <v>406124.9</v>
      </c>
      <c r="C1352" s="750">
        <v>405924.9</v>
      </c>
      <c r="D1352" s="751">
        <v>200</v>
      </c>
    </row>
    <row r="1353" spans="1:4" x14ac:dyDescent="0.2">
      <c r="A1353" s="516">
        <v>44259</v>
      </c>
      <c r="B1353" s="493">
        <f t="shared" si="10"/>
        <v>409953.76</v>
      </c>
      <c r="C1353" s="750">
        <v>409753.76</v>
      </c>
      <c r="D1353" s="751">
        <v>200</v>
      </c>
    </row>
    <row r="1354" spans="1:4" x14ac:dyDescent="0.2">
      <c r="A1354" s="516">
        <v>44260</v>
      </c>
      <c r="B1354" s="493">
        <f t="shared" si="10"/>
        <v>400983.29</v>
      </c>
      <c r="C1354" s="750">
        <v>400783.29</v>
      </c>
      <c r="D1354" s="751">
        <v>200</v>
      </c>
    </row>
    <row r="1355" spans="1:4" x14ac:dyDescent="0.2">
      <c r="A1355" s="516">
        <v>44263</v>
      </c>
      <c r="B1355" s="493">
        <f t="shared" si="10"/>
        <v>400983</v>
      </c>
      <c r="C1355" s="750">
        <v>400783</v>
      </c>
      <c r="D1355" s="751">
        <v>200</v>
      </c>
    </row>
    <row r="1356" spans="1:4" x14ac:dyDescent="0.2">
      <c r="A1356" s="516">
        <v>44264</v>
      </c>
      <c r="B1356" s="493">
        <f t="shared" si="10"/>
        <v>399908.16</v>
      </c>
      <c r="C1356" s="750">
        <v>399708.15999999997</v>
      </c>
      <c r="D1356" s="751">
        <v>200</v>
      </c>
    </row>
    <row r="1357" spans="1:4" x14ac:dyDescent="0.2">
      <c r="A1357" s="516">
        <v>44265</v>
      </c>
      <c r="B1357" s="493">
        <f t="shared" si="10"/>
        <v>399908</v>
      </c>
      <c r="C1357" s="750">
        <v>399708</v>
      </c>
      <c r="D1357" s="751">
        <v>200</v>
      </c>
    </row>
    <row r="1358" spans="1:4" x14ac:dyDescent="0.2">
      <c r="A1358" s="516">
        <v>44266</v>
      </c>
      <c r="B1358" s="493">
        <f t="shared" si="10"/>
        <v>399908</v>
      </c>
      <c r="C1358" s="750">
        <v>399708</v>
      </c>
      <c r="D1358" s="751">
        <v>200</v>
      </c>
    </row>
    <row r="1359" spans="1:4" x14ac:dyDescent="0.2">
      <c r="A1359" s="516">
        <v>44267</v>
      </c>
      <c r="B1359" s="493">
        <f t="shared" si="10"/>
        <v>399766.22</v>
      </c>
      <c r="C1359" s="750">
        <v>399566.22</v>
      </c>
      <c r="D1359" s="751">
        <v>200</v>
      </c>
    </row>
    <row r="1360" spans="1:4" x14ac:dyDescent="0.2">
      <c r="A1360" s="516">
        <v>44270</v>
      </c>
      <c r="B1360" s="493">
        <f t="shared" si="10"/>
        <v>366689.23</v>
      </c>
      <c r="C1360" s="750">
        <v>366489.23</v>
      </c>
      <c r="D1360" s="751">
        <v>200</v>
      </c>
    </row>
    <row r="1361" spans="1:4" x14ac:dyDescent="0.2">
      <c r="A1361" s="516">
        <v>44271</v>
      </c>
      <c r="B1361" s="493">
        <f t="shared" si="10"/>
        <v>392136.38</v>
      </c>
      <c r="C1361" s="750">
        <v>391936.38</v>
      </c>
      <c r="D1361" s="751">
        <v>200</v>
      </c>
    </row>
    <row r="1362" spans="1:4" x14ac:dyDescent="0.2">
      <c r="A1362" s="516">
        <v>44272</v>
      </c>
      <c r="B1362" s="493">
        <f t="shared" si="10"/>
        <v>414771.89</v>
      </c>
      <c r="C1362" s="750">
        <v>414571.89</v>
      </c>
      <c r="D1362" s="751">
        <v>200</v>
      </c>
    </row>
    <row r="1363" spans="1:4" x14ac:dyDescent="0.2">
      <c r="A1363" s="516">
        <v>44273</v>
      </c>
      <c r="B1363" s="493">
        <f t="shared" si="10"/>
        <v>442093.39</v>
      </c>
      <c r="C1363" s="750">
        <v>441893.39</v>
      </c>
      <c r="D1363" s="751">
        <v>200</v>
      </c>
    </row>
    <row r="1364" spans="1:4" x14ac:dyDescent="0.2">
      <c r="A1364" s="516">
        <v>44274</v>
      </c>
      <c r="B1364" s="493">
        <f t="shared" si="10"/>
        <v>439966.74</v>
      </c>
      <c r="C1364" s="750">
        <v>439766.74</v>
      </c>
      <c r="D1364" s="751">
        <v>200</v>
      </c>
    </row>
    <row r="1365" spans="1:4" x14ac:dyDescent="0.2">
      <c r="A1365" s="516">
        <v>44277</v>
      </c>
      <c r="B1365" s="493">
        <f t="shared" si="10"/>
        <v>439966.74</v>
      </c>
      <c r="C1365" s="750">
        <v>439766.74</v>
      </c>
      <c r="D1365" s="751">
        <v>200</v>
      </c>
    </row>
    <row r="1366" spans="1:4" x14ac:dyDescent="0.2">
      <c r="A1366" s="516">
        <v>44278</v>
      </c>
      <c r="B1366" s="493">
        <f t="shared" si="10"/>
        <v>439966.74</v>
      </c>
      <c r="C1366" s="750">
        <v>439766.74</v>
      </c>
      <c r="D1366" s="751">
        <v>200</v>
      </c>
    </row>
    <row r="1367" spans="1:4" x14ac:dyDescent="0.2">
      <c r="A1367" s="516">
        <v>44279</v>
      </c>
      <c r="B1367" s="493">
        <f t="shared" si="10"/>
        <v>440251.74</v>
      </c>
      <c r="C1367" s="750">
        <v>440051.74</v>
      </c>
      <c r="D1367" s="751">
        <v>200</v>
      </c>
    </row>
    <row r="1368" spans="1:4" x14ac:dyDescent="0.2">
      <c r="A1368" s="516">
        <v>44280</v>
      </c>
      <c r="B1368" s="493">
        <f t="shared" si="10"/>
        <v>440252</v>
      </c>
      <c r="C1368" s="750">
        <v>440052</v>
      </c>
      <c r="D1368" s="751">
        <v>200</v>
      </c>
    </row>
    <row r="1369" spans="1:4" x14ac:dyDescent="0.2">
      <c r="A1369" s="516">
        <v>44281</v>
      </c>
      <c r="B1369" s="493">
        <f t="shared" si="10"/>
        <v>424641.64</v>
      </c>
      <c r="C1369" s="750">
        <v>424441.64</v>
      </c>
      <c r="D1369" s="751">
        <v>200</v>
      </c>
    </row>
    <row r="1370" spans="1:4" x14ac:dyDescent="0.2">
      <c r="A1370" s="516">
        <v>44284</v>
      </c>
      <c r="B1370" s="493">
        <f t="shared" si="10"/>
        <v>527059.86</v>
      </c>
      <c r="C1370" s="750">
        <v>526859.86</v>
      </c>
      <c r="D1370" s="751">
        <v>200</v>
      </c>
    </row>
    <row r="1371" spans="1:4" x14ac:dyDescent="0.2">
      <c r="A1371" s="516">
        <v>44285</v>
      </c>
      <c r="B1371" s="493">
        <f t="shared" si="10"/>
        <v>552226.89</v>
      </c>
      <c r="C1371" s="750">
        <v>552026.89</v>
      </c>
      <c r="D1371" s="751">
        <v>200</v>
      </c>
    </row>
    <row r="1372" spans="1:4" x14ac:dyDescent="0.2">
      <c r="A1372" s="516">
        <v>44286</v>
      </c>
      <c r="B1372" s="493">
        <f t="shared" si="10"/>
        <v>552439.89</v>
      </c>
      <c r="C1372" s="750">
        <v>552239.89</v>
      </c>
      <c r="D1372" s="751">
        <v>200</v>
      </c>
    </row>
    <row r="1373" spans="1:4" x14ac:dyDescent="0.2">
      <c r="A1373" s="516">
        <v>44287</v>
      </c>
      <c r="B1373" s="493">
        <f t="shared" si="10"/>
        <v>552439.89</v>
      </c>
      <c r="C1373" s="750">
        <v>552239.89</v>
      </c>
      <c r="D1373" s="751">
        <v>200</v>
      </c>
    </row>
    <row r="1374" spans="1:4" x14ac:dyDescent="0.2">
      <c r="A1374" s="516">
        <v>44288</v>
      </c>
      <c r="B1374" s="493">
        <f t="shared" si="10"/>
        <v>552129.82999999996</v>
      </c>
      <c r="C1374" s="750">
        <v>551929.82999999996</v>
      </c>
      <c r="D1374" s="751">
        <v>200</v>
      </c>
    </row>
    <row r="1375" spans="1:4" x14ac:dyDescent="0.2">
      <c r="A1375" s="516">
        <v>44291</v>
      </c>
      <c r="B1375" s="493">
        <f t="shared" si="10"/>
        <v>552130</v>
      </c>
      <c r="C1375" s="750">
        <v>551930</v>
      </c>
      <c r="D1375" s="751">
        <v>200</v>
      </c>
    </row>
    <row r="1376" spans="1:4" x14ac:dyDescent="0.2">
      <c r="A1376" s="516">
        <v>44292</v>
      </c>
      <c r="B1376" s="493">
        <f t="shared" si="10"/>
        <v>552377.82999999996</v>
      </c>
      <c r="C1376" s="750">
        <v>552177.82999999996</v>
      </c>
      <c r="D1376" s="751">
        <v>200</v>
      </c>
    </row>
    <row r="1377" spans="1:4" x14ac:dyDescent="0.2">
      <c r="A1377" s="516">
        <v>44293</v>
      </c>
      <c r="B1377" s="493">
        <f t="shared" si="10"/>
        <v>552378</v>
      </c>
      <c r="C1377" s="750">
        <v>552178</v>
      </c>
      <c r="D1377" s="751">
        <v>200</v>
      </c>
    </row>
    <row r="1378" spans="1:4" x14ac:dyDescent="0.2">
      <c r="A1378" s="516">
        <v>44294</v>
      </c>
      <c r="B1378" s="552">
        <f t="shared" si="10"/>
        <v>553005.37</v>
      </c>
      <c r="C1378" s="750">
        <v>552805.37</v>
      </c>
      <c r="D1378" s="751">
        <v>200</v>
      </c>
    </row>
    <row r="1379" spans="1:4" x14ac:dyDescent="0.2">
      <c r="A1379" s="516">
        <v>44295</v>
      </c>
      <c r="B1379" s="493">
        <f t="shared" si="10"/>
        <v>553005</v>
      </c>
      <c r="C1379" s="750">
        <v>552805</v>
      </c>
      <c r="D1379" s="751">
        <v>200</v>
      </c>
    </row>
    <row r="1380" spans="1:4" x14ac:dyDescent="0.2">
      <c r="A1380" s="516">
        <v>44298</v>
      </c>
      <c r="B1380" s="493">
        <f t="shared" si="10"/>
        <v>536104.62</v>
      </c>
      <c r="C1380" s="750">
        <v>535904.62</v>
      </c>
      <c r="D1380" s="751">
        <v>200</v>
      </c>
    </row>
    <row r="1381" spans="1:4" x14ac:dyDescent="0.2">
      <c r="A1381" s="516">
        <v>44299</v>
      </c>
      <c r="B1381" s="493">
        <f t="shared" si="10"/>
        <v>503475.62</v>
      </c>
      <c r="C1381" s="750">
        <v>503275.62</v>
      </c>
      <c r="D1381" s="751">
        <v>200</v>
      </c>
    </row>
    <row r="1382" spans="1:4" x14ac:dyDescent="0.2">
      <c r="A1382" s="516">
        <v>44300</v>
      </c>
      <c r="B1382" s="493">
        <f t="shared" si="10"/>
        <v>515272.72</v>
      </c>
      <c r="C1382" s="750">
        <v>515072.72</v>
      </c>
      <c r="D1382" s="751">
        <v>200</v>
      </c>
    </row>
    <row r="1383" spans="1:4" x14ac:dyDescent="0.2">
      <c r="A1383" s="516">
        <v>44301</v>
      </c>
      <c r="B1383" s="493">
        <f t="shared" si="10"/>
        <v>519939.48</v>
      </c>
      <c r="C1383" s="750">
        <v>519739.48</v>
      </c>
      <c r="D1383" s="751">
        <v>200</v>
      </c>
    </row>
    <row r="1384" spans="1:4" x14ac:dyDescent="0.2">
      <c r="A1384" s="516">
        <v>44302</v>
      </c>
      <c r="B1384" s="493">
        <f t="shared" si="10"/>
        <v>518569.61</v>
      </c>
      <c r="C1384" s="750">
        <v>518369.61</v>
      </c>
      <c r="D1384" s="751">
        <v>200</v>
      </c>
    </row>
    <row r="1385" spans="1:4" x14ac:dyDescent="0.2">
      <c r="A1385" s="516">
        <v>44305</v>
      </c>
      <c r="B1385" s="493">
        <f t="shared" si="10"/>
        <v>518755.61</v>
      </c>
      <c r="C1385" s="750">
        <v>518555.61</v>
      </c>
      <c r="D1385" s="751">
        <v>200</v>
      </c>
    </row>
    <row r="1386" spans="1:4" x14ac:dyDescent="0.2">
      <c r="A1386" s="516">
        <v>44306</v>
      </c>
      <c r="B1386" s="493">
        <f t="shared" si="10"/>
        <v>518755.61</v>
      </c>
      <c r="C1386" s="750">
        <v>518555.61</v>
      </c>
      <c r="D1386" s="751">
        <v>200</v>
      </c>
    </row>
    <row r="1387" spans="1:4" x14ac:dyDescent="0.2">
      <c r="A1387" s="516">
        <v>44307</v>
      </c>
      <c r="B1387" s="493">
        <f t="shared" si="10"/>
        <v>518755.61</v>
      </c>
      <c r="C1387" s="750">
        <v>518555.61</v>
      </c>
      <c r="D1387" s="751">
        <v>200</v>
      </c>
    </row>
    <row r="1388" spans="1:4" x14ac:dyDescent="0.2">
      <c r="A1388" s="516">
        <v>44308</v>
      </c>
      <c r="B1388" s="493">
        <f t="shared" si="10"/>
        <v>507528.36</v>
      </c>
      <c r="C1388" s="750">
        <v>507328.36</v>
      </c>
      <c r="D1388" s="751">
        <v>200</v>
      </c>
    </row>
    <row r="1389" spans="1:4" x14ac:dyDescent="0.2">
      <c r="A1389" s="516">
        <v>44309</v>
      </c>
      <c r="B1389" s="493">
        <f t="shared" si="10"/>
        <v>506769.51</v>
      </c>
      <c r="C1389" s="750">
        <v>506569.51</v>
      </c>
      <c r="D1389" s="751">
        <v>200</v>
      </c>
    </row>
    <row r="1390" spans="1:4" x14ac:dyDescent="0.2">
      <c r="A1390" s="516">
        <v>44312</v>
      </c>
      <c r="B1390" s="493">
        <f t="shared" si="10"/>
        <v>506770</v>
      </c>
      <c r="C1390" s="750">
        <v>506570</v>
      </c>
      <c r="D1390" s="751">
        <v>200</v>
      </c>
    </row>
    <row r="1391" spans="1:4" x14ac:dyDescent="0.2">
      <c r="A1391" s="516">
        <v>44313</v>
      </c>
      <c r="B1391" s="493">
        <f t="shared" ref="B1391:B1454" si="11">C1391+D1391</f>
        <v>473061.43</v>
      </c>
      <c r="C1391" s="750">
        <v>472861.43</v>
      </c>
      <c r="D1391" s="751">
        <v>200</v>
      </c>
    </row>
    <row r="1392" spans="1:4" x14ac:dyDescent="0.2">
      <c r="A1392" s="516">
        <v>44314</v>
      </c>
      <c r="B1392" s="493">
        <f t="shared" si="11"/>
        <v>479261.62</v>
      </c>
      <c r="C1392" s="750">
        <v>479061.62</v>
      </c>
      <c r="D1392" s="751">
        <v>200</v>
      </c>
    </row>
    <row r="1393" spans="1:4" x14ac:dyDescent="0.2">
      <c r="A1393" s="516">
        <v>44315</v>
      </c>
      <c r="B1393" s="493">
        <f t="shared" si="11"/>
        <v>478222.46</v>
      </c>
      <c r="C1393" s="750">
        <v>478022.46</v>
      </c>
      <c r="D1393" s="751">
        <v>200</v>
      </c>
    </row>
    <row r="1394" spans="1:4" x14ac:dyDescent="0.2">
      <c r="A1394" s="516">
        <v>44316</v>
      </c>
      <c r="B1394" s="493">
        <f t="shared" si="11"/>
        <v>477922.01</v>
      </c>
      <c r="C1394" s="750">
        <v>477722.01</v>
      </c>
      <c r="D1394" s="751">
        <v>200</v>
      </c>
    </row>
    <row r="1395" spans="1:4" x14ac:dyDescent="0.2">
      <c r="A1395" s="516">
        <v>44319</v>
      </c>
      <c r="B1395" s="493">
        <f t="shared" si="11"/>
        <v>477922.01</v>
      </c>
      <c r="C1395" s="750">
        <v>477722.01</v>
      </c>
      <c r="D1395" s="751">
        <v>200</v>
      </c>
    </row>
    <row r="1396" spans="1:4" x14ac:dyDescent="0.2">
      <c r="A1396" s="516">
        <v>44320</v>
      </c>
      <c r="B1396" s="493">
        <f t="shared" si="11"/>
        <v>477922.01</v>
      </c>
      <c r="C1396" s="750">
        <v>477722.01</v>
      </c>
      <c r="D1396" s="751">
        <v>200</v>
      </c>
    </row>
    <row r="1397" spans="1:4" x14ac:dyDescent="0.2">
      <c r="A1397" s="516">
        <v>44321</v>
      </c>
      <c r="B1397" s="493">
        <f t="shared" si="11"/>
        <v>477922.01</v>
      </c>
      <c r="C1397" s="750">
        <v>477722.01</v>
      </c>
      <c r="D1397" s="751">
        <v>200</v>
      </c>
    </row>
    <row r="1398" spans="1:4" x14ac:dyDescent="0.2">
      <c r="A1398" s="516">
        <v>44322</v>
      </c>
      <c r="B1398" s="493">
        <f t="shared" si="11"/>
        <v>477922.01</v>
      </c>
      <c r="C1398" s="750">
        <v>477722.01</v>
      </c>
      <c r="D1398" s="751">
        <v>200</v>
      </c>
    </row>
    <row r="1399" spans="1:4" x14ac:dyDescent="0.2">
      <c r="A1399" s="516">
        <v>44323</v>
      </c>
      <c r="B1399" s="493">
        <f t="shared" si="11"/>
        <v>463576.89</v>
      </c>
      <c r="C1399" s="750">
        <v>463376.89</v>
      </c>
      <c r="D1399" s="751">
        <v>200</v>
      </c>
    </row>
    <row r="1400" spans="1:4" x14ac:dyDescent="0.2">
      <c r="A1400" s="516">
        <v>44326</v>
      </c>
      <c r="B1400" s="493">
        <f t="shared" si="11"/>
        <v>473954.09</v>
      </c>
      <c r="C1400" s="750">
        <v>473754.09</v>
      </c>
      <c r="D1400" s="751">
        <v>200</v>
      </c>
    </row>
    <row r="1401" spans="1:4" x14ac:dyDescent="0.2">
      <c r="A1401" s="516">
        <v>44327</v>
      </c>
      <c r="B1401" s="493">
        <f t="shared" si="11"/>
        <v>520561.7</v>
      </c>
      <c r="C1401" s="750">
        <v>520361.7</v>
      </c>
      <c r="D1401" s="751">
        <v>200</v>
      </c>
    </row>
    <row r="1402" spans="1:4" x14ac:dyDescent="0.2">
      <c r="A1402" s="516">
        <v>44328</v>
      </c>
      <c r="B1402" s="493">
        <f t="shared" si="11"/>
        <v>520562</v>
      </c>
      <c r="C1402" s="750">
        <v>520362</v>
      </c>
      <c r="D1402" s="751">
        <v>200</v>
      </c>
    </row>
    <row r="1403" spans="1:4" x14ac:dyDescent="0.2">
      <c r="A1403" s="516">
        <v>44329</v>
      </c>
      <c r="B1403" s="493">
        <f t="shared" si="11"/>
        <v>525995.02</v>
      </c>
      <c r="C1403" s="750">
        <v>525795.02</v>
      </c>
      <c r="D1403" s="751">
        <v>200</v>
      </c>
    </row>
    <row r="1404" spans="1:4" x14ac:dyDescent="0.2">
      <c r="A1404" s="516">
        <v>44330</v>
      </c>
      <c r="B1404" s="493">
        <f t="shared" si="11"/>
        <v>521947.98</v>
      </c>
      <c r="C1404" s="750">
        <v>521747.98</v>
      </c>
      <c r="D1404" s="751">
        <v>200</v>
      </c>
    </row>
    <row r="1405" spans="1:4" x14ac:dyDescent="0.2">
      <c r="A1405" s="516">
        <v>44333</v>
      </c>
      <c r="B1405" s="493">
        <f t="shared" si="11"/>
        <v>521948</v>
      </c>
      <c r="C1405" s="750">
        <v>521748</v>
      </c>
      <c r="D1405" s="751">
        <v>200</v>
      </c>
    </row>
    <row r="1406" spans="1:4" x14ac:dyDescent="0.2">
      <c r="A1406" s="516">
        <v>44334</v>
      </c>
      <c r="B1406" s="493">
        <f t="shared" si="11"/>
        <v>521948</v>
      </c>
      <c r="C1406" s="750">
        <v>521748</v>
      </c>
      <c r="D1406" s="751">
        <v>200</v>
      </c>
    </row>
    <row r="1407" spans="1:4" x14ac:dyDescent="0.2">
      <c r="A1407" s="516">
        <v>44335</v>
      </c>
      <c r="B1407" s="493">
        <f t="shared" si="11"/>
        <v>522186.98</v>
      </c>
      <c r="C1407" s="750">
        <v>521986.98</v>
      </c>
      <c r="D1407" s="751">
        <v>200</v>
      </c>
    </row>
    <row r="1408" spans="1:4" x14ac:dyDescent="0.2">
      <c r="A1408" s="516">
        <v>44336</v>
      </c>
      <c r="B1408" s="493">
        <f t="shared" si="11"/>
        <v>518466.54</v>
      </c>
      <c r="C1408" s="750">
        <v>518266.54</v>
      </c>
      <c r="D1408" s="751">
        <v>200</v>
      </c>
    </row>
    <row r="1409" spans="1:4" x14ac:dyDescent="0.2">
      <c r="A1409" s="516">
        <v>44337</v>
      </c>
      <c r="B1409" s="493">
        <f t="shared" si="11"/>
        <v>518467</v>
      </c>
      <c r="C1409" s="750">
        <v>518267</v>
      </c>
      <c r="D1409" s="751">
        <v>200</v>
      </c>
    </row>
    <row r="1410" spans="1:4" x14ac:dyDescent="0.2">
      <c r="A1410" s="516">
        <v>44340</v>
      </c>
      <c r="B1410" s="493">
        <f t="shared" si="11"/>
        <v>486541.35</v>
      </c>
      <c r="C1410" s="750">
        <v>486341.35</v>
      </c>
      <c r="D1410" s="751">
        <v>200</v>
      </c>
    </row>
    <row r="1411" spans="1:4" x14ac:dyDescent="0.2">
      <c r="A1411" s="516">
        <v>44341</v>
      </c>
      <c r="B1411" s="493">
        <f t="shared" si="11"/>
        <v>486541</v>
      </c>
      <c r="C1411" s="750">
        <v>486341</v>
      </c>
      <c r="D1411" s="751">
        <v>200</v>
      </c>
    </row>
    <row r="1412" spans="1:4" x14ac:dyDescent="0.2">
      <c r="A1412" s="516">
        <v>44342</v>
      </c>
      <c r="B1412" s="493">
        <f t="shared" si="11"/>
        <v>512462.15</v>
      </c>
      <c r="C1412" s="750">
        <v>512262.15</v>
      </c>
      <c r="D1412" s="751">
        <v>200</v>
      </c>
    </row>
    <row r="1413" spans="1:4" x14ac:dyDescent="0.2">
      <c r="A1413" s="516">
        <v>44343</v>
      </c>
      <c r="B1413" s="493">
        <f t="shared" si="11"/>
        <v>512462</v>
      </c>
      <c r="C1413" s="750">
        <v>512262</v>
      </c>
      <c r="D1413" s="751">
        <v>200</v>
      </c>
    </row>
    <row r="1414" spans="1:4" x14ac:dyDescent="0.2">
      <c r="A1414" s="516">
        <v>44344</v>
      </c>
      <c r="B1414" s="493">
        <f t="shared" si="11"/>
        <v>513609.04</v>
      </c>
      <c r="C1414" s="750">
        <v>513409.04</v>
      </c>
      <c r="D1414" s="751">
        <v>200</v>
      </c>
    </row>
    <row r="1415" spans="1:4" x14ac:dyDescent="0.2">
      <c r="A1415" s="516">
        <v>44347</v>
      </c>
      <c r="B1415" s="493">
        <f t="shared" si="11"/>
        <v>513609</v>
      </c>
      <c r="C1415" s="750">
        <v>513409</v>
      </c>
      <c r="D1415" s="751">
        <v>200</v>
      </c>
    </row>
    <row r="1416" spans="1:4" x14ac:dyDescent="0.2">
      <c r="A1416" s="516">
        <v>44348</v>
      </c>
      <c r="B1416" s="493">
        <f t="shared" si="11"/>
        <v>513579.05</v>
      </c>
      <c r="C1416" s="750">
        <v>513379.05</v>
      </c>
      <c r="D1416" s="751">
        <v>200</v>
      </c>
    </row>
    <row r="1417" spans="1:4" x14ac:dyDescent="0.2">
      <c r="A1417" s="516">
        <v>44349</v>
      </c>
      <c r="B1417" s="493">
        <f t="shared" si="11"/>
        <v>514399.44</v>
      </c>
      <c r="C1417" s="750">
        <v>514199.44</v>
      </c>
      <c r="D1417" s="751">
        <v>200</v>
      </c>
    </row>
    <row r="1418" spans="1:4" x14ac:dyDescent="0.2">
      <c r="A1418" s="516">
        <v>44350</v>
      </c>
      <c r="B1418" s="493">
        <f t="shared" si="11"/>
        <v>501741.57</v>
      </c>
      <c r="C1418" s="750">
        <v>501541.57</v>
      </c>
      <c r="D1418" s="751">
        <v>200</v>
      </c>
    </row>
    <row r="1419" spans="1:4" x14ac:dyDescent="0.2">
      <c r="A1419" s="516">
        <v>44351</v>
      </c>
      <c r="B1419" s="493">
        <f t="shared" si="11"/>
        <v>501742</v>
      </c>
      <c r="C1419" s="750">
        <v>501542</v>
      </c>
      <c r="D1419" s="751">
        <v>200</v>
      </c>
    </row>
    <row r="1420" spans="1:4" x14ac:dyDescent="0.2">
      <c r="A1420" s="516">
        <v>44354</v>
      </c>
      <c r="B1420" s="493">
        <f t="shared" si="11"/>
        <v>502500.51</v>
      </c>
      <c r="C1420" s="750">
        <v>502300.51</v>
      </c>
      <c r="D1420" s="751">
        <v>200</v>
      </c>
    </row>
    <row r="1421" spans="1:4" x14ac:dyDescent="0.2">
      <c r="A1421" s="516">
        <v>44355</v>
      </c>
      <c r="B1421" s="493">
        <f t="shared" si="11"/>
        <v>502953.51</v>
      </c>
      <c r="C1421" s="750">
        <v>502753.51</v>
      </c>
      <c r="D1421" s="751">
        <v>200</v>
      </c>
    </row>
    <row r="1422" spans="1:4" x14ac:dyDescent="0.2">
      <c r="A1422" s="516">
        <v>44356</v>
      </c>
      <c r="B1422" s="493">
        <f t="shared" si="11"/>
        <v>502954</v>
      </c>
      <c r="C1422" s="750">
        <v>502754</v>
      </c>
      <c r="D1422" s="751">
        <v>200</v>
      </c>
    </row>
    <row r="1423" spans="1:4" x14ac:dyDescent="0.2">
      <c r="A1423" s="516">
        <v>44357</v>
      </c>
      <c r="B1423" s="493">
        <f t="shared" si="11"/>
        <v>483592.4</v>
      </c>
      <c r="C1423" s="750">
        <v>483392.4</v>
      </c>
      <c r="D1423" s="751">
        <v>200</v>
      </c>
    </row>
    <row r="1424" spans="1:4" x14ac:dyDescent="0.2">
      <c r="A1424" s="516">
        <v>44358</v>
      </c>
      <c r="B1424" s="493">
        <f t="shared" si="11"/>
        <v>483291.95</v>
      </c>
      <c r="C1424" s="750">
        <v>483091.95</v>
      </c>
      <c r="D1424" s="751">
        <v>200</v>
      </c>
    </row>
    <row r="1425" spans="1:4" x14ac:dyDescent="0.2">
      <c r="A1425" s="516">
        <v>44361</v>
      </c>
      <c r="B1425" s="493">
        <f t="shared" si="11"/>
        <v>495768.59</v>
      </c>
      <c r="C1425" s="750">
        <v>495568.59</v>
      </c>
      <c r="D1425" s="751">
        <v>200</v>
      </c>
    </row>
    <row r="1426" spans="1:4" x14ac:dyDescent="0.2">
      <c r="A1426" s="516">
        <v>44362</v>
      </c>
      <c r="B1426" s="493">
        <f t="shared" si="11"/>
        <v>495822.72</v>
      </c>
      <c r="C1426" s="750">
        <v>495622.72</v>
      </c>
      <c r="D1426" s="751">
        <v>200</v>
      </c>
    </row>
    <row r="1427" spans="1:4" x14ac:dyDescent="0.2">
      <c r="A1427" s="516">
        <v>44363</v>
      </c>
      <c r="B1427" s="493">
        <f t="shared" si="11"/>
        <v>520028.1</v>
      </c>
      <c r="C1427" s="750">
        <v>519828.1</v>
      </c>
      <c r="D1427" s="751">
        <v>200</v>
      </c>
    </row>
    <row r="1428" spans="1:4" x14ac:dyDescent="0.2">
      <c r="A1428" s="516">
        <v>44364</v>
      </c>
      <c r="B1428" s="493">
        <f t="shared" si="11"/>
        <v>517161.8</v>
      </c>
      <c r="C1428" s="750">
        <v>516961.8</v>
      </c>
      <c r="D1428" s="751">
        <v>200</v>
      </c>
    </row>
    <row r="1429" spans="1:4" x14ac:dyDescent="0.2">
      <c r="A1429" s="516">
        <v>44365</v>
      </c>
      <c r="B1429" s="493">
        <f t="shared" si="11"/>
        <v>518094.91</v>
      </c>
      <c r="C1429" s="750">
        <v>517894.91</v>
      </c>
      <c r="D1429" s="751">
        <v>200</v>
      </c>
    </row>
    <row r="1430" spans="1:4" x14ac:dyDescent="0.2">
      <c r="A1430" s="516">
        <v>44368</v>
      </c>
      <c r="B1430" s="493">
        <f t="shared" si="11"/>
        <v>484042.38</v>
      </c>
      <c r="C1430" s="750">
        <v>483842.38</v>
      </c>
      <c r="D1430" s="751">
        <v>200</v>
      </c>
    </row>
    <row r="1431" spans="1:4" x14ac:dyDescent="0.2">
      <c r="A1431" s="516">
        <v>44369</v>
      </c>
      <c r="B1431" s="493">
        <f t="shared" si="11"/>
        <v>497746.99</v>
      </c>
      <c r="C1431" s="750">
        <v>497546.99</v>
      </c>
      <c r="D1431" s="751">
        <v>200</v>
      </c>
    </row>
    <row r="1432" spans="1:4" x14ac:dyDescent="0.2">
      <c r="A1432" s="516">
        <v>44370</v>
      </c>
      <c r="B1432" s="493">
        <f t="shared" si="11"/>
        <v>497747</v>
      </c>
      <c r="C1432" s="750">
        <v>497547</v>
      </c>
      <c r="D1432" s="751">
        <v>200</v>
      </c>
    </row>
    <row r="1433" spans="1:4" x14ac:dyDescent="0.2">
      <c r="A1433" s="516">
        <v>44371</v>
      </c>
      <c r="B1433" s="493">
        <f t="shared" si="11"/>
        <v>495381.8</v>
      </c>
      <c r="C1433" s="750">
        <v>495181.8</v>
      </c>
      <c r="D1433" s="751">
        <v>200</v>
      </c>
    </row>
    <row r="1434" spans="1:4" x14ac:dyDescent="0.2">
      <c r="A1434" s="516">
        <v>44372</v>
      </c>
      <c r="B1434" s="493">
        <f t="shared" si="11"/>
        <v>495081.35</v>
      </c>
      <c r="C1434" s="750">
        <v>494881.35</v>
      </c>
      <c r="D1434" s="751">
        <v>200</v>
      </c>
    </row>
    <row r="1435" spans="1:4" x14ac:dyDescent="0.2">
      <c r="A1435" s="516">
        <v>44375</v>
      </c>
      <c r="B1435" s="493">
        <f t="shared" si="11"/>
        <v>495055.65</v>
      </c>
      <c r="C1435" s="750">
        <v>494855.65</v>
      </c>
      <c r="D1435" s="751">
        <v>200</v>
      </c>
    </row>
    <row r="1436" spans="1:4" x14ac:dyDescent="0.2">
      <c r="A1436" s="516">
        <v>44376</v>
      </c>
      <c r="B1436" s="493">
        <f t="shared" si="11"/>
        <v>495056</v>
      </c>
      <c r="C1436" s="750">
        <v>494856</v>
      </c>
      <c r="D1436" s="751">
        <v>200</v>
      </c>
    </row>
    <row r="1437" spans="1:4" x14ac:dyDescent="0.2">
      <c r="A1437" s="516">
        <v>44377</v>
      </c>
      <c r="B1437" s="493">
        <f t="shared" si="11"/>
        <v>497588.94</v>
      </c>
      <c r="C1437" s="750">
        <v>497388.94</v>
      </c>
      <c r="D1437" s="751">
        <v>200</v>
      </c>
    </row>
    <row r="1438" spans="1:4" x14ac:dyDescent="0.2">
      <c r="A1438" s="516">
        <v>44378</v>
      </c>
      <c r="B1438" s="493">
        <f t="shared" si="11"/>
        <v>488300.76</v>
      </c>
      <c r="C1438" s="750">
        <v>488100.76</v>
      </c>
      <c r="D1438" s="751">
        <v>200</v>
      </c>
    </row>
    <row r="1439" spans="1:4" x14ac:dyDescent="0.2">
      <c r="A1439" s="516">
        <v>44379</v>
      </c>
      <c r="B1439" s="493">
        <f t="shared" si="11"/>
        <v>488301</v>
      </c>
      <c r="C1439" s="750">
        <v>488101</v>
      </c>
      <c r="D1439" s="751">
        <v>200</v>
      </c>
    </row>
    <row r="1440" spans="1:4" x14ac:dyDescent="0.2">
      <c r="A1440" s="516">
        <v>44382</v>
      </c>
      <c r="B1440" s="493">
        <f t="shared" si="11"/>
        <v>488301</v>
      </c>
      <c r="C1440" s="750">
        <v>488101</v>
      </c>
      <c r="D1440" s="751">
        <v>200</v>
      </c>
    </row>
    <row r="1441" spans="1:4" x14ac:dyDescent="0.2">
      <c r="A1441" s="516">
        <v>44383</v>
      </c>
      <c r="B1441" s="493">
        <f t="shared" si="11"/>
        <v>453460.75</v>
      </c>
      <c r="C1441" s="750">
        <v>453260.75</v>
      </c>
      <c r="D1441" s="751">
        <v>200</v>
      </c>
    </row>
    <row r="1442" spans="1:4" x14ac:dyDescent="0.2">
      <c r="A1442" s="516">
        <v>44384</v>
      </c>
      <c r="B1442" s="493">
        <f t="shared" si="11"/>
        <v>453461</v>
      </c>
      <c r="C1442" s="750">
        <v>453261</v>
      </c>
      <c r="D1442" s="751">
        <v>200</v>
      </c>
    </row>
    <row r="1443" spans="1:4" x14ac:dyDescent="0.2">
      <c r="A1443" s="516">
        <v>44385</v>
      </c>
      <c r="B1443" s="493">
        <f t="shared" si="11"/>
        <v>453914.75</v>
      </c>
      <c r="C1443" s="750">
        <v>453714.75</v>
      </c>
      <c r="D1443" s="751">
        <v>200</v>
      </c>
    </row>
    <row r="1444" spans="1:4" x14ac:dyDescent="0.2">
      <c r="A1444" s="516">
        <v>44386</v>
      </c>
      <c r="B1444" s="493">
        <f t="shared" si="11"/>
        <v>451808.36</v>
      </c>
      <c r="C1444" s="750">
        <v>451608.36</v>
      </c>
      <c r="D1444" s="751">
        <v>200</v>
      </c>
    </row>
    <row r="1445" spans="1:4" x14ac:dyDescent="0.2">
      <c r="A1445" s="516">
        <v>44389</v>
      </c>
      <c r="B1445" s="493">
        <f t="shared" si="11"/>
        <v>451808</v>
      </c>
      <c r="C1445" s="750">
        <v>451608</v>
      </c>
      <c r="D1445" s="751">
        <v>200</v>
      </c>
    </row>
    <row r="1446" spans="1:4" x14ac:dyDescent="0.2">
      <c r="A1446" s="516">
        <v>44390</v>
      </c>
      <c r="B1446" s="493">
        <f t="shared" si="11"/>
        <v>452941.65</v>
      </c>
      <c r="C1446" s="750">
        <v>452741.65</v>
      </c>
      <c r="D1446" s="751">
        <v>200</v>
      </c>
    </row>
    <row r="1447" spans="1:4" x14ac:dyDescent="0.2">
      <c r="A1447" s="516">
        <v>44391</v>
      </c>
      <c r="B1447" s="493">
        <f t="shared" si="11"/>
        <v>453131.97</v>
      </c>
      <c r="C1447" s="750">
        <v>452931.97</v>
      </c>
      <c r="D1447" s="751">
        <v>200</v>
      </c>
    </row>
    <row r="1448" spans="1:4" x14ac:dyDescent="0.2">
      <c r="A1448" s="516">
        <v>44392</v>
      </c>
      <c r="B1448" s="493">
        <f t="shared" si="11"/>
        <v>453180.49</v>
      </c>
      <c r="C1448" s="750">
        <v>452980.49</v>
      </c>
      <c r="D1448" s="751">
        <v>200</v>
      </c>
    </row>
    <row r="1449" spans="1:4" x14ac:dyDescent="0.2">
      <c r="A1449" s="516">
        <v>44393</v>
      </c>
      <c r="B1449" s="493">
        <f t="shared" si="11"/>
        <v>453180</v>
      </c>
      <c r="C1449" s="750">
        <v>452980</v>
      </c>
      <c r="D1449" s="751">
        <v>200</v>
      </c>
    </row>
    <row r="1450" spans="1:4" x14ac:dyDescent="0.2">
      <c r="A1450" s="516">
        <v>44396</v>
      </c>
      <c r="B1450" s="493">
        <f t="shared" si="11"/>
        <v>436299.85</v>
      </c>
      <c r="C1450" s="750">
        <v>436099.85</v>
      </c>
      <c r="D1450" s="751">
        <v>200</v>
      </c>
    </row>
    <row r="1451" spans="1:4" x14ac:dyDescent="0.2">
      <c r="A1451" s="516">
        <v>44397</v>
      </c>
      <c r="B1451" s="493">
        <f t="shared" si="11"/>
        <v>400936.9</v>
      </c>
      <c r="C1451" s="750">
        <v>400736.9</v>
      </c>
      <c r="D1451" s="751">
        <v>200</v>
      </c>
    </row>
    <row r="1452" spans="1:4" x14ac:dyDescent="0.2">
      <c r="A1452" s="516">
        <v>44398</v>
      </c>
      <c r="B1452" s="493">
        <f t="shared" si="11"/>
        <v>400937</v>
      </c>
      <c r="C1452" s="750">
        <v>400737</v>
      </c>
      <c r="D1452" s="751">
        <v>200</v>
      </c>
    </row>
    <row r="1453" spans="1:4" x14ac:dyDescent="0.2">
      <c r="A1453" s="516">
        <v>44399</v>
      </c>
      <c r="B1453" s="493">
        <f t="shared" si="11"/>
        <v>298716.2</v>
      </c>
      <c r="C1453" s="750">
        <v>298516.2</v>
      </c>
      <c r="D1453" s="751">
        <v>200</v>
      </c>
    </row>
    <row r="1454" spans="1:4" x14ac:dyDescent="0.2">
      <c r="A1454" s="516">
        <v>44400</v>
      </c>
      <c r="B1454" s="493">
        <f t="shared" si="11"/>
        <v>298557.34999999998</v>
      </c>
      <c r="C1454" s="750">
        <v>298357.34999999998</v>
      </c>
      <c r="D1454" s="751">
        <v>200</v>
      </c>
    </row>
    <row r="1455" spans="1:4" x14ac:dyDescent="0.2">
      <c r="A1455" s="516">
        <v>44403</v>
      </c>
      <c r="B1455" s="493">
        <f t="shared" ref="B1455" si="12">C1455+D1455</f>
        <v>298557</v>
      </c>
      <c r="C1455" s="750">
        <v>298357</v>
      </c>
      <c r="D1455" s="751">
        <v>200</v>
      </c>
    </row>
    <row r="1456" spans="1:4" x14ac:dyDescent="0.2">
      <c r="A1456" s="516">
        <v>44404</v>
      </c>
      <c r="B1456" s="493">
        <v>298047.28999999998</v>
      </c>
      <c r="C1456" s="750">
        <v>298357</v>
      </c>
      <c r="D1456" s="751">
        <v>200</v>
      </c>
    </row>
    <row r="1457" spans="1:4" x14ac:dyDescent="0.2">
      <c r="A1457" s="516">
        <v>44405</v>
      </c>
      <c r="B1457" s="493">
        <f t="shared" ref="B1457:B1520" si="13">C1457+D1457</f>
        <v>298221.59000000003</v>
      </c>
      <c r="C1457" s="493">
        <v>298021.59000000003</v>
      </c>
      <c r="D1457" s="751">
        <v>200</v>
      </c>
    </row>
    <row r="1458" spans="1:4" x14ac:dyDescent="0.2">
      <c r="A1458" s="516">
        <v>44406</v>
      </c>
      <c r="B1458" s="493">
        <f t="shared" si="13"/>
        <v>298222</v>
      </c>
      <c r="C1458" s="493">
        <v>298022</v>
      </c>
      <c r="D1458" s="751">
        <v>200</v>
      </c>
    </row>
    <row r="1459" spans="1:4" x14ac:dyDescent="0.2">
      <c r="A1459" s="516">
        <v>44407</v>
      </c>
      <c r="B1459" s="493">
        <f t="shared" si="13"/>
        <v>286090</v>
      </c>
      <c r="C1459" s="493">
        <v>285890</v>
      </c>
      <c r="D1459" s="751">
        <v>200</v>
      </c>
    </row>
    <row r="1460" spans="1:4" x14ac:dyDescent="0.2">
      <c r="A1460" s="516">
        <v>44410</v>
      </c>
      <c r="B1460" s="493">
        <f t="shared" si="13"/>
        <v>285690.83</v>
      </c>
      <c r="C1460" s="493">
        <v>285490.83</v>
      </c>
      <c r="D1460" s="751">
        <v>200</v>
      </c>
    </row>
    <row r="1461" spans="1:4" x14ac:dyDescent="0.2">
      <c r="A1461" s="516">
        <v>44411</v>
      </c>
      <c r="B1461" s="493">
        <f t="shared" si="13"/>
        <v>250196.9</v>
      </c>
      <c r="C1461" s="493">
        <v>249996.9</v>
      </c>
      <c r="D1461" s="751">
        <v>200</v>
      </c>
    </row>
    <row r="1462" spans="1:4" x14ac:dyDescent="0.2">
      <c r="A1462" s="516">
        <v>44412</v>
      </c>
      <c r="B1462" s="493">
        <f t="shared" si="13"/>
        <v>250197</v>
      </c>
      <c r="C1462" s="493">
        <v>249997</v>
      </c>
      <c r="D1462" s="751">
        <v>200</v>
      </c>
    </row>
    <row r="1463" spans="1:4" x14ac:dyDescent="0.2">
      <c r="A1463" s="516">
        <v>44413</v>
      </c>
      <c r="B1463" s="493">
        <f t="shared" si="13"/>
        <v>242217.24</v>
      </c>
      <c r="C1463" s="493">
        <v>242017.24</v>
      </c>
      <c r="D1463" s="751">
        <v>200</v>
      </c>
    </row>
    <row r="1464" spans="1:4" x14ac:dyDescent="0.2">
      <c r="A1464" s="516">
        <v>44414</v>
      </c>
      <c r="B1464" s="493">
        <f t="shared" si="13"/>
        <v>241916.79</v>
      </c>
      <c r="C1464" s="493">
        <v>241716.79</v>
      </c>
      <c r="D1464" s="751">
        <v>200</v>
      </c>
    </row>
    <row r="1465" spans="1:4" x14ac:dyDescent="0.2">
      <c r="A1465" s="516">
        <v>44417</v>
      </c>
      <c r="B1465" s="493">
        <f t="shared" si="13"/>
        <v>242014.29</v>
      </c>
      <c r="C1465" s="493">
        <v>241814.29</v>
      </c>
      <c r="D1465" s="751">
        <v>200</v>
      </c>
    </row>
    <row r="1466" spans="1:4" x14ac:dyDescent="0.2">
      <c r="A1466" s="516">
        <v>44418</v>
      </c>
      <c r="B1466" s="493">
        <f t="shared" si="13"/>
        <v>260028.48</v>
      </c>
      <c r="C1466" s="493">
        <v>259828.48000000001</v>
      </c>
      <c r="D1466" s="751">
        <v>200</v>
      </c>
    </row>
    <row r="1467" spans="1:4" x14ac:dyDescent="0.2">
      <c r="A1467" s="516">
        <v>44419</v>
      </c>
      <c r="B1467" s="493">
        <f t="shared" si="13"/>
        <v>261085.42</v>
      </c>
      <c r="C1467" s="493">
        <v>260885.42</v>
      </c>
      <c r="D1467" s="751">
        <v>200</v>
      </c>
    </row>
    <row r="1468" spans="1:4" x14ac:dyDescent="0.2">
      <c r="A1468" s="516">
        <v>44420</v>
      </c>
      <c r="B1468" s="493">
        <f t="shared" si="13"/>
        <v>261983.68</v>
      </c>
      <c r="C1468" s="493">
        <v>261783.67999999999</v>
      </c>
      <c r="D1468" s="751">
        <v>200</v>
      </c>
    </row>
    <row r="1469" spans="1:4" x14ac:dyDescent="0.2">
      <c r="A1469" s="516">
        <v>44421</v>
      </c>
      <c r="B1469" s="493">
        <f t="shared" si="13"/>
        <v>262016.54</v>
      </c>
      <c r="C1469" s="493">
        <v>261816.54</v>
      </c>
      <c r="D1469" s="751">
        <v>200</v>
      </c>
    </row>
    <row r="1470" spans="1:4" x14ac:dyDescent="0.2">
      <c r="A1470" s="516">
        <v>44424</v>
      </c>
      <c r="B1470" s="493">
        <f t="shared" si="13"/>
        <v>262016.54</v>
      </c>
      <c r="C1470" s="493">
        <f t="shared" ref="C1470:C1522" si="14">C1469</f>
        <v>261816.54</v>
      </c>
      <c r="D1470" s="751">
        <v>200</v>
      </c>
    </row>
    <row r="1471" spans="1:4" x14ac:dyDescent="0.2">
      <c r="A1471" s="516">
        <v>44425</v>
      </c>
      <c r="B1471" s="493">
        <f t="shared" si="13"/>
        <v>226196.56</v>
      </c>
      <c r="C1471" s="493">
        <v>225996.56</v>
      </c>
      <c r="D1471" s="751">
        <v>200</v>
      </c>
    </row>
    <row r="1472" spans="1:4" x14ac:dyDescent="0.2">
      <c r="A1472" s="516">
        <v>44426</v>
      </c>
      <c r="B1472" s="493">
        <f t="shared" si="13"/>
        <v>245030.16</v>
      </c>
      <c r="C1472" s="493">
        <v>244830.16</v>
      </c>
      <c r="D1472" s="751">
        <v>200</v>
      </c>
    </row>
    <row r="1473" spans="1:4" x14ac:dyDescent="0.2">
      <c r="A1473" s="516">
        <v>44427</v>
      </c>
      <c r="B1473" s="493">
        <f t="shared" si="13"/>
        <v>229633.33</v>
      </c>
      <c r="C1473" s="493">
        <v>229433.33</v>
      </c>
      <c r="D1473" s="751">
        <v>200</v>
      </c>
    </row>
    <row r="1474" spans="1:4" x14ac:dyDescent="0.2">
      <c r="A1474" s="516">
        <v>44428</v>
      </c>
      <c r="B1474" s="493">
        <f t="shared" si="13"/>
        <v>247195.12</v>
      </c>
      <c r="C1474" s="493">
        <v>246995.12</v>
      </c>
      <c r="D1474" s="751">
        <v>200</v>
      </c>
    </row>
    <row r="1475" spans="1:4" x14ac:dyDescent="0.2">
      <c r="A1475" s="516">
        <v>44431</v>
      </c>
      <c r="B1475" s="493">
        <f t="shared" si="13"/>
        <v>247195.12</v>
      </c>
      <c r="C1475" s="493">
        <f t="shared" si="14"/>
        <v>246995.12</v>
      </c>
      <c r="D1475" s="751">
        <v>200</v>
      </c>
    </row>
    <row r="1476" spans="1:4" x14ac:dyDescent="0.2">
      <c r="A1476" s="516">
        <v>44432</v>
      </c>
      <c r="B1476" s="493">
        <f t="shared" si="13"/>
        <v>347649.83</v>
      </c>
      <c r="C1476" s="493">
        <v>347449.83</v>
      </c>
      <c r="D1476" s="751">
        <v>200</v>
      </c>
    </row>
    <row r="1477" spans="1:4" x14ac:dyDescent="0.2">
      <c r="A1477" s="516">
        <v>44433</v>
      </c>
      <c r="B1477" s="493">
        <f t="shared" si="13"/>
        <v>347649.83</v>
      </c>
      <c r="C1477" s="493">
        <f t="shared" si="14"/>
        <v>347449.83</v>
      </c>
      <c r="D1477" s="751">
        <v>200</v>
      </c>
    </row>
    <row r="1478" spans="1:4" x14ac:dyDescent="0.2">
      <c r="A1478" s="516">
        <v>44434</v>
      </c>
      <c r="B1478" s="493">
        <f t="shared" si="13"/>
        <v>341237.68</v>
      </c>
      <c r="C1478" s="493">
        <v>341037.68</v>
      </c>
      <c r="D1478" s="751">
        <v>200</v>
      </c>
    </row>
    <row r="1479" spans="1:4" x14ac:dyDescent="0.2">
      <c r="A1479" s="516">
        <v>44435</v>
      </c>
      <c r="B1479" s="493">
        <f t="shared" si="13"/>
        <v>373525.01</v>
      </c>
      <c r="C1479" s="493">
        <v>373325.01</v>
      </c>
      <c r="D1479" s="751">
        <v>200</v>
      </c>
    </row>
    <row r="1480" spans="1:4" x14ac:dyDescent="0.2">
      <c r="A1480" s="516">
        <v>44438</v>
      </c>
      <c r="B1480" s="493">
        <f t="shared" si="13"/>
        <v>373525.01</v>
      </c>
      <c r="C1480" s="493">
        <f t="shared" si="14"/>
        <v>373325.01</v>
      </c>
      <c r="D1480" s="751">
        <v>200</v>
      </c>
    </row>
    <row r="1481" spans="1:4" x14ac:dyDescent="0.2">
      <c r="A1481" s="516">
        <v>44439</v>
      </c>
      <c r="B1481" s="493">
        <f t="shared" si="13"/>
        <v>336851.39</v>
      </c>
      <c r="C1481" s="493">
        <v>336651.39</v>
      </c>
      <c r="D1481" s="751">
        <v>200</v>
      </c>
    </row>
    <row r="1482" spans="1:4" x14ac:dyDescent="0.2">
      <c r="A1482" s="516">
        <v>44440</v>
      </c>
      <c r="B1482" s="493">
        <f t="shared" si="13"/>
        <v>336851.39</v>
      </c>
      <c r="C1482" s="493">
        <f t="shared" si="14"/>
        <v>336651.39</v>
      </c>
      <c r="D1482" s="751">
        <v>200</v>
      </c>
    </row>
    <row r="1483" spans="1:4" x14ac:dyDescent="0.2">
      <c r="A1483" s="516">
        <v>44441</v>
      </c>
      <c r="B1483" s="493">
        <f t="shared" si="13"/>
        <v>336851.39</v>
      </c>
      <c r="C1483" s="493">
        <f t="shared" si="14"/>
        <v>336651.39</v>
      </c>
      <c r="D1483" s="751">
        <v>200</v>
      </c>
    </row>
    <row r="1484" spans="1:4" x14ac:dyDescent="0.2">
      <c r="A1484" s="516">
        <v>44442</v>
      </c>
      <c r="B1484" s="493">
        <f t="shared" si="13"/>
        <v>360197.14</v>
      </c>
      <c r="C1484" s="493">
        <v>359997.14</v>
      </c>
      <c r="D1484" s="751">
        <v>200</v>
      </c>
    </row>
    <row r="1485" spans="1:4" x14ac:dyDescent="0.2">
      <c r="A1485" s="516">
        <v>44445</v>
      </c>
      <c r="B1485" s="493">
        <f t="shared" si="13"/>
        <v>360197.14</v>
      </c>
      <c r="C1485" s="493">
        <f t="shared" si="14"/>
        <v>359997.14</v>
      </c>
      <c r="D1485" s="751">
        <v>200</v>
      </c>
    </row>
    <row r="1486" spans="1:4" x14ac:dyDescent="0.2">
      <c r="A1486" s="516">
        <v>44446</v>
      </c>
      <c r="B1486" s="493">
        <f t="shared" si="13"/>
        <v>354806.36</v>
      </c>
      <c r="C1486" s="493">
        <v>354606.36</v>
      </c>
      <c r="D1486" s="751">
        <v>200</v>
      </c>
    </row>
    <row r="1487" spans="1:4" x14ac:dyDescent="0.2">
      <c r="A1487" s="516">
        <v>44447</v>
      </c>
      <c r="B1487" s="493">
        <f t="shared" si="13"/>
        <v>354806.36</v>
      </c>
      <c r="C1487" s="493">
        <f t="shared" si="14"/>
        <v>354606.36</v>
      </c>
      <c r="D1487" s="751">
        <v>200</v>
      </c>
    </row>
    <row r="1488" spans="1:4" x14ac:dyDescent="0.2">
      <c r="A1488" s="516">
        <v>44448</v>
      </c>
      <c r="B1488" s="493">
        <f t="shared" si="13"/>
        <v>354806.36</v>
      </c>
      <c r="C1488" s="493">
        <f t="shared" si="14"/>
        <v>354606.36</v>
      </c>
      <c r="D1488" s="751">
        <v>200</v>
      </c>
    </row>
    <row r="1489" spans="1:4" x14ac:dyDescent="0.2">
      <c r="A1489" s="516">
        <v>44449</v>
      </c>
      <c r="B1489" s="493">
        <f t="shared" si="13"/>
        <v>354806.36</v>
      </c>
      <c r="C1489" s="493">
        <f t="shared" si="14"/>
        <v>354606.36</v>
      </c>
      <c r="D1489" s="751">
        <v>200</v>
      </c>
    </row>
    <row r="1490" spans="1:4" x14ac:dyDescent="0.2">
      <c r="A1490" s="516">
        <v>44452</v>
      </c>
      <c r="B1490" s="493">
        <f t="shared" si="13"/>
        <v>317290.98</v>
      </c>
      <c r="C1490" s="493">
        <v>317090.98</v>
      </c>
      <c r="D1490" s="751">
        <v>200</v>
      </c>
    </row>
    <row r="1491" spans="1:4" x14ac:dyDescent="0.2">
      <c r="A1491" s="516">
        <v>44453</v>
      </c>
      <c r="B1491" s="493">
        <f t="shared" si="13"/>
        <v>365898.08</v>
      </c>
      <c r="C1491" s="493">
        <v>365698.08</v>
      </c>
      <c r="D1491" s="751">
        <v>200</v>
      </c>
    </row>
    <row r="1492" spans="1:4" x14ac:dyDescent="0.2">
      <c r="A1492" s="516">
        <v>44454</v>
      </c>
      <c r="B1492" s="493">
        <f t="shared" si="13"/>
        <v>365935.11</v>
      </c>
      <c r="C1492" s="493">
        <v>365735.11</v>
      </c>
      <c r="D1492" s="751">
        <v>200</v>
      </c>
    </row>
    <row r="1493" spans="1:4" x14ac:dyDescent="0.2">
      <c r="A1493" s="516">
        <v>44455</v>
      </c>
      <c r="B1493" s="493">
        <f t="shared" si="13"/>
        <v>365935.11</v>
      </c>
      <c r="C1493" s="493">
        <f t="shared" si="14"/>
        <v>365735.11</v>
      </c>
      <c r="D1493" s="751">
        <v>200</v>
      </c>
    </row>
    <row r="1494" spans="1:4" x14ac:dyDescent="0.2">
      <c r="A1494" s="516">
        <v>44456</v>
      </c>
      <c r="B1494" s="493">
        <f t="shared" si="13"/>
        <v>357664.5</v>
      </c>
      <c r="C1494" s="493">
        <v>357464.5</v>
      </c>
      <c r="D1494" s="751">
        <v>200</v>
      </c>
    </row>
    <row r="1495" spans="1:4" x14ac:dyDescent="0.2">
      <c r="A1495" s="516">
        <v>44459</v>
      </c>
      <c r="B1495" s="493">
        <f t="shared" si="13"/>
        <v>357664.5</v>
      </c>
      <c r="C1495" s="493">
        <f t="shared" si="14"/>
        <v>357464.5</v>
      </c>
      <c r="D1495" s="751">
        <v>200</v>
      </c>
    </row>
    <row r="1496" spans="1:4" x14ac:dyDescent="0.2">
      <c r="A1496" s="516">
        <v>44460</v>
      </c>
      <c r="B1496" s="493">
        <f t="shared" si="13"/>
        <v>357664.5</v>
      </c>
      <c r="C1496" s="493">
        <f t="shared" si="14"/>
        <v>357464.5</v>
      </c>
      <c r="D1496" s="751">
        <v>200</v>
      </c>
    </row>
    <row r="1497" spans="1:4" x14ac:dyDescent="0.2">
      <c r="A1497" s="516">
        <v>44461</v>
      </c>
      <c r="B1497" s="493">
        <f t="shared" si="13"/>
        <v>364108.39</v>
      </c>
      <c r="C1497" s="493">
        <v>363908.39</v>
      </c>
      <c r="D1497" s="751">
        <v>200</v>
      </c>
    </row>
    <row r="1498" spans="1:4" x14ac:dyDescent="0.2">
      <c r="A1498" s="516">
        <v>44462</v>
      </c>
      <c r="B1498" s="493">
        <f t="shared" si="13"/>
        <v>372557.83</v>
      </c>
      <c r="C1498" s="493">
        <v>372357.83</v>
      </c>
      <c r="D1498" s="751">
        <v>200</v>
      </c>
    </row>
    <row r="1499" spans="1:4" x14ac:dyDescent="0.2">
      <c r="A1499" s="516">
        <v>44463</v>
      </c>
      <c r="B1499" s="493">
        <f t="shared" si="13"/>
        <v>372557.83</v>
      </c>
      <c r="C1499" s="493">
        <f t="shared" si="14"/>
        <v>372357.83</v>
      </c>
      <c r="D1499" s="751">
        <v>200</v>
      </c>
    </row>
    <row r="1500" spans="1:4" x14ac:dyDescent="0.2">
      <c r="A1500" s="516">
        <v>44466</v>
      </c>
      <c r="B1500" s="493">
        <f t="shared" si="13"/>
        <v>393073.43</v>
      </c>
      <c r="C1500" s="493">
        <v>392873.43</v>
      </c>
      <c r="D1500" s="751">
        <v>200</v>
      </c>
    </row>
    <row r="1501" spans="1:4" x14ac:dyDescent="0.2">
      <c r="A1501" s="516">
        <v>44467</v>
      </c>
      <c r="B1501" s="493">
        <f t="shared" si="13"/>
        <v>354832.22</v>
      </c>
      <c r="C1501" s="493">
        <v>354632.22</v>
      </c>
      <c r="D1501" s="751">
        <v>200</v>
      </c>
    </row>
    <row r="1502" spans="1:4" x14ac:dyDescent="0.2">
      <c r="A1502" s="516">
        <v>44468</v>
      </c>
      <c r="B1502" s="493">
        <f t="shared" si="13"/>
        <v>354832.22</v>
      </c>
      <c r="C1502" s="493">
        <f t="shared" si="14"/>
        <v>354632.22</v>
      </c>
      <c r="D1502" s="751">
        <v>200</v>
      </c>
    </row>
    <row r="1503" spans="1:4" x14ac:dyDescent="0.2">
      <c r="A1503" s="516">
        <v>44469</v>
      </c>
      <c r="B1503" s="493">
        <f t="shared" si="13"/>
        <v>354832.22</v>
      </c>
      <c r="C1503" s="493">
        <f t="shared" si="14"/>
        <v>354632.22</v>
      </c>
      <c r="D1503" s="751">
        <v>200</v>
      </c>
    </row>
    <row r="1504" spans="1:4" x14ac:dyDescent="0.2">
      <c r="A1504" s="516">
        <v>44470</v>
      </c>
      <c r="B1504" s="493">
        <f t="shared" si="13"/>
        <v>343420.25</v>
      </c>
      <c r="C1504" s="493">
        <v>343220.25</v>
      </c>
      <c r="D1504" s="751">
        <v>200</v>
      </c>
    </row>
    <row r="1505" spans="1:4" x14ac:dyDescent="0.2">
      <c r="A1505" s="516">
        <v>44473</v>
      </c>
      <c r="B1505" s="493">
        <f t="shared" si="13"/>
        <v>343420.25</v>
      </c>
      <c r="C1505" s="493">
        <f t="shared" si="14"/>
        <v>343220.25</v>
      </c>
      <c r="D1505" s="751">
        <v>200</v>
      </c>
    </row>
    <row r="1506" spans="1:4" x14ac:dyDescent="0.2">
      <c r="A1506" s="516">
        <v>44474</v>
      </c>
      <c r="B1506" s="493">
        <f t="shared" si="13"/>
        <v>343582.25</v>
      </c>
      <c r="C1506" s="493">
        <v>343382.25</v>
      </c>
      <c r="D1506" s="751">
        <v>200</v>
      </c>
    </row>
    <row r="1507" spans="1:4" x14ac:dyDescent="0.2">
      <c r="A1507" s="516">
        <v>44475</v>
      </c>
      <c r="B1507" s="493">
        <f t="shared" si="13"/>
        <v>343582.25</v>
      </c>
      <c r="C1507" s="493">
        <f t="shared" si="14"/>
        <v>343382.25</v>
      </c>
      <c r="D1507" s="751">
        <v>200</v>
      </c>
    </row>
    <row r="1508" spans="1:4" x14ac:dyDescent="0.2">
      <c r="A1508" s="516">
        <v>44476</v>
      </c>
      <c r="B1508" s="493">
        <f t="shared" si="13"/>
        <v>343606.26</v>
      </c>
      <c r="C1508" s="493">
        <v>343406.26</v>
      </c>
      <c r="D1508" s="751">
        <v>200</v>
      </c>
    </row>
    <row r="1509" spans="1:4" x14ac:dyDescent="0.2">
      <c r="A1509" s="516">
        <v>44477</v>
      </c>
      <c r="B1509" s="493">
        <f t="shared" si="13"/>
        <v>329221.56</v>
      </c>
      <c r="C1509" s="493">
        <v>329021.56</v>
      </c>
      <c r="D1509" s="751">
        <v>200</v>
      </c>
    </row>
    <row r="1510" spans="1:4" x14ac:dyDescent="0.2">
      <c r="A1510" s="516">
        <v>44480</v>
      </c>
      <c r="B1510" s="493">
        <f t="shared" si="13"/>
        <v>329221.56</v>
      </c>
      <c r="C1510" s="493">
        <f t="shared" si="14"/>
        <v>329021.56</v>
      </c>
      <c r="D1510" s="751">
        <v>200</v>
      </c>
    </row>
    <row r="1511" spans="1:4" x14ac:dyDescent="0.2">
      <c r="A1511" s="516">
        <v>44481</v>
      </c>
      <c r="B1511" s="493">
        <f t="shared" si="13"/>
        <v>288818.46999999997</v>
      </c>
      <c r="C1511" s="493">
        <v>288618.46999999997</v>
      </c>
      <c r="D1511" s="751">
        <v>200</v>
      </c>
    </row>
    <row r="1512" spans="1:4" x14ac:dyDescent="0.2">
      <c r="A1512" s="516">
        <v>44482</v>
      </c>
      <c r="B1512" s="493">
        <f t="shared" si="13"/>
        <v>288818.46999999997</v>
      </c>
      <c r="C1512" s="493">
        <f t="shared" si="14"/>
        <v>288618.46999999997</v>
      </c>
      <c r="D1512" s="751">
        <v>200</v>
      </c>
    </row>
    <row r="1513" spans="1:4" x14ac:dyDescent="0.2">
      <c r="A1513" s="516">
        <v>44483</v>
      </c>
      <c r="B1513" s="493">
        <f t="shared" si="13"/>
        <v>295077.74</v>
      </c>
      <c r="C1513" s="493">
        <v>294877.74</v>
      </c>
      <c r="D1513" s="751">
        <v>200</v>
      </c>
    </row>
    <row r="1514" spans="1:4" x14ac:dyDescent="0.2">
      <c r="A1514" s="516">
        <v>44484</v>
      </c>
      <c r="B1514" s="493">
        <f t="shared" si="13"/>
        <v>313755.08</v>
      </c>
      <c r="C1514" s="493">
        <v>313555.08</v>
      </c>
      <c r="D1514" s="751">
        <v>200</v>
      </c>
    </row>
    <row r="1515" spans="1:4" x14ac:dyDescent="0.2">
      <c r="A1515" s="516">
        <v>44487</v>
      </c>
      <c r="B1515" s="493">
        <f t="shared" si="13"/>
        <v>314129.08</v>
      </c>
      <c r="C1515" s="493">
        <v>313929.08</v>
      </c>
      <c r="D1515" s="751">
        <v>200</v>
      </c>
    </row>
    <row r="1516" spans="1:4" x14ac:dyDescent="0.2">
      <c r="A1516" s="516">
        <v>44488</v>
      </c>
      <c r="B1516" s="493">
        <f t="shared" si="13"/>
        <v>314618.64</v>
      </c>
      <c r="C1516" s="493">
        <v>314418.64</v>
      </c>
      <c r="D1516" s="751">
        <v>200</v>
      </c>
    </row>
    <row r="1517" spans="1:4" x14ac:dyDescent="0.2">
      <c r="A1517" s="516">
        <v>44489</v>
      </c>
      <c r="B1517" s="493">
        <f t="shared" si="13"/>
        <v>312798.90999999997</v>
      </c>
      <c r="C1517" s="493">
        <v>312598.90999999997</v>
      </c>
      <c r="D1517" s="751">
        <v>200</v>
      </c>
    </row>
    <row r="1518" spans="1:4" x14ac:dyDescent="0.2">
      <c r="A1518" s="516">
        <v>44490</v>
      </c>
      <c r="B1518" s="493">
        <f t="shared" si="13"/>
        <v>312798.90999999997</v>
      </c>
      <c r="C1518" s="493">
        <f t="shared" si="14"/>
        <v>312598.90999999997</v>
      </c>
      <c r="D1518" s="751">
        <v>200</v>
      </c>
    </row>
    <row r="1519" spans="1:4" x14ac:dyDescent="0.2">
      <c r="A1519" s="516">
        <v>44491</v>
      </c>
      <c r="B1519" s="493">
        <f t="shared" si="13"/>
        <v>312852.06</v>
      </c>
      <c r="C1519" s="493">
        <v>312652.06</v>
      </c>
      <c r="D1519" s="751">
        <v>200</v>
      </c>
    </row>
    <row r="1520" spans="1:4" x14ac:dyDescent="0.2">
      <c r="A1520" s="516">
        <v>44494</v>
      </c>
      <c r="B1520" s="493">
        <f t="shared" si="13"/>
        <v>276164.93</v>
      </c>
      <c r="C1520" s="493">
        <v>275964.93</v>
      </c>
      <c r="D1520" s="751">
        <v>200</v>
      </c>
    </row>
    <row r="1521" spans="1:4" x14ac:dyDescent="0.2">
      <c r="A1521" s="516">
        <v>44495</v>
      </c>
      <c r="B1521" s="493">
        <f t="shared" ref="B1521:B1584" si="15">C1521+D1521</f>
        <v>272175.64</v>
      </c>
      <c r="C1521" s="493">
        <v>271975.64</v>
      </c>
      <c r="D1521" s="751">
        <v>200</v>
      </c>
    </row>
    <row r="1522" spans="1:4" x14ac:dyDescent="0.2">
      <c r="A1522" s="516">
        <v>44496</v>
      </c>
      <c r="B1522" s="493">
        <f t="shared" si="15"/>
        <v>272175.64</v>
      </c>
      <c r="C1522" s="493">
        <f t="shared" si="14"/>
        <v>271975.64</v>
      </c>
      <c r="D1522" s="751">
        <v>200</v>
      </c>
    </row>
    <row r="1523" spans="1:4" x14ac:dyDescent="0.2">
      <c r="A1523" s="516">
        <v>44497</v>
      </c>
      <c r="B1523" s="493">
        <f t="shared" si="15"/>
        <v>272474.64</v>
      </c>
      <c r="C1523" s="493">
        <v>272274.64</v>
      </c>
      <c r="D1523" s="751">
        <v>200</v>
      </c>
    </row>
    <row r="1524" spans="1:4" x14ac:dyDescent="0.2">
      <c r="A1524" s="516">
        <v>44498</v>
      </c>
      <c r="B1524" s="493">
        <f t="shared" si="15"/>
        <v>272174.19</v>
      </c>
      <c r="C1524" s="493">
        <v>271974.19</v>
      </c>
      <c r="D1524" s="751">
        <v>200</v>
      </c>
    </row>
    <row r="1525" spans="1:4" x14ac:dyDescent="0.2">
      <c r="A1525" s="516">
        <v>44501</v>
      </c>
      <c r="B1525" s="493">
        <f t="shared" si="15"/>
        <v>272174.19</v>
      </c>
      <c r="C1525" s="493">
        <f>C1524</f>
        <v>271974.19</v>
      </c>
      <c r="D1525" s="751">
        <v>200</v>
      </c>
    </row>
    <row r="1526" spans="1:4" x14ac:dyDescent="0.2">
      <c r="A1526" s="516">
        <v>44502</v>
      </c>
      <c r="B1526" s="493">
        <f t="shared" si="15"/>
        <v>272174.19</v>
      </c>
      <c r="C1526" s="493">
        <f t="shared" ref="C1526:C1564" si="16">C1525</f>
        <v>271974.19</v>
      </c>
      <c r="D1526" s="751">
        <v>200</v>
      </c>
    </row>
    <row r="1527" spans="1:4" x14ac:dyDescent="0.2">
      <c r="A1527" s="516">
        <v>44503</v>
      </c>
      <c r="B1527" s="493">
        <f t="shared" si="15"/>
        <v>260821.81</v>
      </c>
      <c r="C1527" s="493">
        <v>260621.81</v>
      </c>
      <c r="D1527" s="751">
        <v>200</v>
      </c>
    </row>
    <row r="1528" spans="1:4" x14ac:dyDescent="0.2">
      <c r="A1528" s="516">
        <v>44504</v>
      </c>
      <c r="B1528" s="493">
        <f t="shared" si="15"/>
        <v>260821.81</v>
      </c>
      <c r="C1528" s="493">
        <f t="shared" si="16"/>
        <v>260621.81</v>
      </c>
      <c r="D1528" s="751">
        <v>200</v>
      </c>
    </row>
    <row r="1529" spans="1:4" x14ac:dyDescent="0.2">
      <c r="A1529" s="516">
        <v>44505</v>
      </c>
      <c r="B1529" s="493">
        <f t="shared" si="15"/>
        <v>260821.81</v>
      </c>
      <c r="C1529" s="493">
        <f t="shared" si="16"/>
        <v>260621.81</v>
      </c>
      <c r="D1529" s="751">
        <v>200</v>
      </c>
    </row>
    <row r="1530" spans="1:4" x14ac:dyDescent="0.2">
      <c r="A1530" s="516">
        <v>44508</v>
      </c>
      <c r="B1530" s="552">
        <f t="shared" si="15"/>
        <v>224274.32</v>
      </c>
      <c r="C1530" s="493">
        <v>224074.32</v>
      </c>
      <c r="D1530" s="751">
        <v>200</v>
      </c>
    </row>
    <row r="1531" spans="1:4" x14ac:dyDescent="0.2">
      <c r="A1531" s="516">
        <v>44509</v>
      </c>
      <c r="B1531" s="493">
        <f t="shared" si="15"/>
        <v>239871.56</v>
      </c>
      <c r="C1531" s="493">
        <v>239671.56</v>
      </c>
      <c r="D1531" s="751">
        <v>200</v>
      </c>
    </row>
    <row r="1532" spans="1:4" x14ac:dyDescent="0.2">
      <c r="A1532" s="516">
        <v>44510</v>
      </c>
      <c r="B1532" s="493">
        <f t="shared" si="15"/>
        <v>260426.56</v>
      </c>
      <c r="C1532" s="493">
        <v>260226.56</v>
      </c>
      <c r="D1532" s="751">
        <v>200</v>
      </c>
    </row>
    <row r="1533" spans="1:4" x14ac:dyDescent="0.2">
      <c r="A1533" s="516">
        <v>44511</v>
      </c>
      <c r="B1533" s="493">
        <f t="shared" si="15"/>
        <v>260426.56</v>
      </c>
      <c r="C1533" s="493">
        <f t="shared" si="16"/>
        <v>260226.56</v>
      </c>
      <c r="D1533" s="751">
        <v>200</v>
      </c>
    </row>
    <row r="1534" spans="1:4" x14ac:dyDescent="0.2">
      <c r="A1534" s="516">
        <v>44512</v>
      </c>
      <c r="B1534" s="493">
        <f t="shared" si="15"/>
        <v>260450.57</v>
      </c>
      <c r="C1534" s="493">
        <v>260250.57</v>
      </c>
      <c r="D1534" s="751">
        <v>200</v>
      </c>
    </row>
    <row r="1535" spans="1:4" x14ac:dyDescent="0.2">
      <c r="A1535" s="516">
        <v>44515</v>
      </c>
      <c r="B1535" s="493">
        <f t="shared" si="15"/>
        <v>260178.68</v>
      </c>
      <c r="C1535" s="493">
        <v>259978.68</v>
      </c>
      <c r="D1535" s="751">
        <v>200</v>
      </c>
    </row>
    <row r="1536" spans="1:4" x14ac:dyDescent="0.2">
      <c r="A1536" s="516">
        <v>44516</v>
      </c>
      <c r="B1536" s="493">
        <f t="shared" si="15"/>
        <v>260178.68</v>
      </c>
      <c r="C1536" s="493">
        <f t="shared" si="16"/>
        <v>259978.68</v>
      </c>
      <c r="D1536" s="751">
        <v>200</v>
      </c>
    </row>
    <row r="1537" spans="1:4" x14ac:dyDescent="0.2">
      <c r="A1537" s="516">
        <v>44517</v>
      </c>
      <c r="B1537" s="493">
        <f t="shared" si="15"/>
        <v>260178.68</v>
      </c>
      <c r="C1537" s="493">
        <f t="shared" si="16"/>
        <v>259978.68</v>
      </c>
      <c r="D1537" s="751">
        <v>200</v>
      </c>
    </row>
    <row r="1538" spans="1:4" x14ac:dyDescent="0.2">
      <c r="A1538" s="516">
        <v>44518</v>
      </c>
      <c r="B1538" s="493">
        <f t="shared" si="15"/>
        <v>298441.25</v>
      </c>
      <c r="C1538" s="493">
        <v>298241.25</v>
      </c>
      <c r="D1538" s="751">
        <v>200</v>
      </c>
    </row>
    <row r="1539" spans="1:4" x14ac:dyDescent="0.2">
      <c r="A1539" s="516">
        <v>44519</v>
      </c>
      <c r="B1539" s="493">
        <f t="shared" si="15"/>
        <v>302391.25</v>
      </c>
      <c r="C1539" s="493">
        <v>302191.25</v>
      </c>
      <c r="D1539" s="751">
        <v>200</v>
      </c>
    </row>
    <row r="1540" spans="1:4" x14ac:dyDescent="0.2">
      <c r="A1540" s="516">
        <v>44522</v>
      </c>
      <c r="B1540" s="493">
        <f t="shared" si="15"/>
        <v>261860.06</v>
      </c>
      <c r="C1540" s="493">
        <v>261660.06</v>
      </c>
      <c r="D1540" s="751">
        <v>200</v>
      </c>
    </row>
    <row r="1541" spans="1:4" x14ac:dyDescent="0.2">
      <c r="A1541" s="516">
        <v>44523</v>
      </c>
      <c r="B1541" s="493">
        <f t="shared" si="15"/>
        <v>261860.06</v>
      </c>
      <c r="C1541" s="493">
        <f t="shared" si="16"/>
        <v>261660.06</v>
      </c>
      <c r="D1541" s="751">
        <v>200</v>
      </c>
    </row>
    <row r="1542" spans="1:4" x14ac:dyDescent="0.2">
      <c r="A1542" s="516">
        <v>44524</v>
      </c>
      <c r="B1542" s="493">
        <f t="shared" si="15"/>
        <v>336740.96</v>
      </c>
      <c r="C1542" s="493">
        <v>336540.96</v>
      </c>
      <c r="D1542" s="751">
        <v>200</v>
      </c>
    </row>
    <row r="1543" spans="1:4" x14ac:dyDescent="0.2">
      <c r="A1543" s="516">
        <v>44525</v>
      </c>
      <c r="B1543" s="493">
        <f t="shared" si="15"/>
        <v>336740.96</v>
      </c>
      <c r="C1543" s="493">
        <f t="shared" si="16"/>
        <v>336540.96</v>
      </c>
      <c r="D1543" s="751">
        <v>200</v>
      </c>
    </row>
    <row r="1544" spans="1:4" x14ac:dyDescent="0.2">
      <c r="A1544" s="516">
        <v>44526</v>
      </c>
      <c r="B1544" s="493">
        <f t="shared" si="15"/>
        <v>396383.57</v>
      </c>
      <c r="C1544" s="493">
        <v>396183.57</v>
      </c>
      <c r="D1544" s="751">
        <v>200</v>
      </c>
    </row>
    <row r="1545" spans="1:4" x14ac:dyDescent="0.2">
      <c r="A1545" s="516">
        <v>44529</v>
      </c>
      <c r="B1545" s="493">
        <f t="shared" si="15"/>
        <v>396383.57</v>
      </c>
      <c r="C1545" s="493">
        <f t="shared" si="16"/>
        <v>396183.57</v>
      </c>
      <c r="D1545" s="751">
        <v>200</v>
      </c>
    </row>
    <row r="1546" spans="1:4" x14ac:dyDescent="0.2">
      <c r="A1546" s="516">
        <v>44530</v>
      </c>
      <c r="B1546" s="493">
        <f t="shared" si="15"/>
        <v>396383.57</v>
      </c>
      <c r="C1546" s="493">
        <f t="shared" si="16"/>
        <v>396183.57</v>
      </c>
      <c r="D1546" s="751">
        <v>200</v>
      </c>
    </row>
    <row r="1547" spans="1:4" x14ac:dyDescent="0.2">
      <c r="A1547" s="516">
        <v>44531</v>
      </c>
      <c r="B1547" s="493">
        <f t="shared" si="15"/>
        <v>406646.33</v>
      </c>
      <c r="C1547" s="493">
        <v>406446.33</v>
      </c>
      <c r="D1547" s="751">
        <v>200</v>
      </c>
    </row>
    <row r="1548" spans="1:4" x14ac:dyDescent="0.2">
      <c r="A1548" s="516">
        <v>44532</v>
      </c>
      <c r="B1548" s="493">
        <f t="shared" si="15"/>
        <v>406646.33</v>
      </c>
      <c r="C1548" s="493">
        <f t="shared" si="16"/>
        <v>406446.33</v>
      </c>
      <c r="D1548" s="751">
        <v>200</v>
      </c>
    </row>
    <row r="1549" spans="1:4" x14ac:dyDescent="0.2">
      <c r="A1549" s="516">
        <v>44533</v>
      </c>
      <c r="B1549" s="493">
        <f t="shared" si="15"/>
        <v>402705.53</v>
      </c>
      <c r="C1549" s="493">
        <v>402505.53</v>
      </c>
      <c r="D1549" s="751">
        <v>200</v>
      </c>
    </row>
    <row r="1550" spans="1:4" x14ac:dyDescent="0.2">
      <c r="A1550" s="516">
        <v>44536</v>
      </c>
      <c r="B1550" s="493">
        <f t="shared" si="15"/>
        <v>402705.53</v>
      </c>
      <c r="C1550" s="493">
        <f t="shared" si="16"/>
        <v>402505.53</v>
      </c>
      <c r="D1550" s="751">
        <v>200</v>
      </c>
    </row>
    <row r="1551" spans="1:4" x14ac:dyDescent="0.2">
      <c r="A1551" s="516">
        <v>44537</v>
      </c>
      <c r="B1551" s="493">
        <f t="shared" si="15"/>
        <v>367227.88</v>
      </c>
      <c r="C1551" s="493">
        <v>367027.88</v>
      </c>
      <c r="D1551" s="751">
        <v>200</v>
      </c>
    </row>
    <row r="1552" spans="1:4" x14ac:dyDescent="0.2">
      <c r="A1552" s="516">
        <v>44538</v>
      </c>
      <c r="B1552" s="493">
        <f t="shared" si="15"/>
        <v>367227.88</v>
      </c>
      <c r="C1552" s="493">
        <f t="shared" si="16"/>
        <v>367027.88</v>
      </c>
      <c r="D1552" s="751">
        <v>200</v>
      </c>
    </row>
    <row r="1553" spans="1:4" x14ac:dyDescent="0.2">
      <c r="A1553" s="516">
        <v>44539</v>
      </c>
      <c r="B1553" s="493">
        <f t="shared" si="15"/>
        <v>361816.56</v>
      </c>
      <c r="C1553" s="493">
        <v>361616.56</v>
      </c>
      <c r="D1553" s="751">
        <v>200</v>
      </c>
    </row>
    <row r="1554" spans="1:4" x14ac:dyDescent="0.2">
      <c r="A1554" s="516">
        <v>44540</v>
      </c>
      <c r="B1554" s="493">
        <f t="shared" si="15"/>
        <v>363428.01</v>
      </c>
      <c r="C1554" s="493">
        <v>363228.01</v>
      </c>
      <c r="D1554" s="751">
        <v>200</v>
      </c>
    </row>
    <row r="1555" spans="1:4" x14ac:dyDescent="0.2">
      <c r="A1555" s="516">
        <v>44543</v>
      </c>
      <c r="B1555" s="493">
        <f t="shared" si="15"/>
        <v>363428.01</v>
      </c>
      <c r="C1555" s="493">
        <f t="shared" si="16"/>
        <v>363228.01</v>
      </c>
      <c r="D1555" s="751">
        <v>200</v>
      </c>
    </row>
    <row r="1556" spans="1:4" x14ac:dyDescent="0.2">
      <c r="A1556" s="516">
        <v>44544</v>
      </c>
      <c r="B1556" s="493">
        <f t="shared" si="15"/>
        <v>388311.01</v>
      </c>
      <c r="C1556" s="493">
        <v>388111.01</v>
      </c>
      <c r="D1556" s="751">
        <v>200</v>
      </c>
    </row>
    <row r="1557" spans="1:4" x14ac:dyDescent="0.2">
      <c r="A1557" s="516">
        <v>44545</v>
      </c>
      <c r="B1557" s="493">
        <f t="shared" si="15"/>
        <v>388648.09</v>
      </c>
      <c r="C1557" s="493">
        <v>388448.09</v>
      </c>
      <c r="D1557" s="751">
        <v>200</v>
      </c>
    </row>
    <row r="1558" spans="1:4" x14ac:dyDescent="0.2">
      <c r="A1558" s="516">
        <v>44546</v>
      </c>
      <c r="B1558" s="493">
        <f t="shared" si="15"/>
        <v>388648.09</v>
      </c>
      <c r="C1558" s="493">
        <f t="shared" si="16"/>
        <v>388448.09</v>
      </c>
      <c r="D1558" s="751">
        <v>200</v>
      </c>
    </row>
    <row r="1559" spans="1:4" x14ac:dyDescent="0.2">
      <c r="A1559" s="516">
        <v>44547</v>
      </c>
      <c r="B1559" s="493">
        <f t="shared" si="15"/>
        <v>388648.09</v>
      </c>
      <c r="C1559" s="493">
        <f t="shared" si="16"/>
        <v>388448.09</v>
      </c>
      <c r="D1559" s="751">
        <v>200</v>
      </c>
    </row>
    <row r="1560" spans="1:4" x14ac:dyDescent="0.2">
      <c r="A1560" s="516">
        <v>44550</v>
      </c>
      <c r="B1560" s="493">
        <f t="shared" si="15"/>
        <v>402388.44</v>
      </c>
      <c r="C1560" s="493">
        <v>402188.44</v>
      </c>
      <c r="D1560" s="751">
        <v>200</v>
      </c>
    </row>
    <row r="1561" spans="1:4" x14ac:dyDescent="0.2">
      <c r="A1561" s="516">
        <v>44551</v>
      </c>
      <c r="B1561" s="493">
        <f t="shared" si="15"/>
        <v>364870.61</v>
      </c>
      <c r="C1561" s="493">
        <v>364670.61</v>
      </c>
      <c r="D1561" s="751">
        <v>200</v>
      </c>
    </row>
    <row r="1562" spans="1:4" x14ac:dyDescent="0.2">
      <c r="A1562" s="516">
        <v>44552</v>
      </c>
      <c r="B1562" s="493">
        <f t="shared" si="15"/>
        <v>364870.61</v>
      </c>
      <c r="C1562" s="493">
        <f t="shared" si="16"/>
        <v>364670.61</v>
      </c>
      <c r="D1562" s="751">
        <v>200</v>
      </c>
    </row>
    <row r="1563" spans="1:4" x14ac:dyDescent="0.2">
      <c r="A1563" s="516">
        <v>44553</v>
      </c>
      <c r="B1563" s="493">
        <f t="shared" si="15"/>
        <v>364270.61</v>
      </c>
      <c r="C1563" s="493">
        <v>364070.61</v>
      </c>
      <c r="D1563" s="751">
        <v>200</v>
      </c>
    </row>
    <row r="1564" spans="1:4" x14ac:dyDescent="0.2">
      <c r="A1564" s="516">
        <v>44554</v>
      </c>
      <c r="B1564" s="493">
        <f t="shared" si="15"/>
        <v>364270.61</v>
      </c>
      <c r="C1564" s="493">
        <f t="shared" si="16"/>
        <v>364070.61</v>
      </c>
      <c r="D1564" s="751">
        <v>200</v>
      </c>
    </row>
    <row r="1565" spans="1:4" x14ac:dyDescent="0.2">
      <c r="A1565" s="516">
        <v>44557</v>
      </c>
      <c r="B1565" s="493">
        <f t="shared" si="15"/>
        <v>364511.61</v>
      </c>
      <c r="C1565" s="493">
        <v>364311.61</v>
      </c>
      <c r="D1565" s="751">
        <v>200</v>
      </c>
    </row>
    <row r="1566" spans="1:4" x14ac:dyDescent="0.2">
      <c r="A1566" s="516">
        <v>44558</v>
      </c>
      <c r="B1566" s="493">
        <f t="shared" si="15"/>
        <v>366287.78</v>
      </c>
      <c r="C1566" s="493">
        <v>366087.78</v>
      </c>
      <c r="D1566" s="751">
        <v>200</v>
      </c>
    </row>
    <row r="1567" spans="1:4" x14ac:dyDescent="0.2">
      <c r="A1567" s="516">
        <v>44559</v>
      </c>
      <c r="B1567" s="493">
        <f t="shared" si="15"/>
        <v>406505.93</v>
      </c>
      <c r="C1567" s="493">
        <v>406305.93</v>
      </c>
      <c r="D1567" s="751">
        <v>200</v>
      </c>
    </row>
    <row r="1568" spans="1:4" x14ac:dyDescent="0.2">
      <c r="A1568" s="516">
        <v>44560</v>
      </c>
      <c r="B1568" s="493">
        <f>C1568+D1568</f>
        <v>406602.93</v>
      </c>
      <c r="C1568" s="493">
        <v>406402.93</v>
      </c>
      <c r="D1568" s="751">
        <v>200</v>
      </c>
    </row>
    <row r="1569" spans="1:4" x14ac:dyDescent="0.2">
      <c r="A1569" s="516">
        <v>44561</v>
      </c>
      <c r="B1569" s="493">
        <f t="shared" si="15"/>
        <v>406700.45</v>
      </c>
      <c r="C1569" s="493">
        <v>406500.45</v>
      </c>
      <c r="D1569" s="751">
        <v>200</v>
      </c>
    </row>
    <row r="1570" spans="1:4" x14ac:dyDescent="0.2">
      <c r="A1570" s="516">
        <v>44564</v>
      </c>
      <c r="B1570" s="493">
        <f t="shared" si="15"/>
        <v>406650.45</v>
      </c>
      <c r="C1570" s="493">
        <v>406450.45</v>
      </c>
      <c r="D1570" s="751">
        <v>200</v>
      </c>
    </row>
    <row r="1571" spans="1:4" x14ac:dyDescent="0.2">
      <c r="A1571" s="516">
        <v>44565</v>
      </c>
      <c r="B1571" s="493">
        <f t="shared" si="15"/>
        <v>372842.39</v>
      </c>
      <c r="C1571" s="493">
        <v>372642.39</v>
      </c>
      <c r="D1571" s="751">
        <v>200</v>
      </c>
    </row>
    <row r="1572" spans="1:4" x14ac:dyDescent="0.2">
      <c r="A1572" s="516">
        <v>44566</v>
      </c>
      <c r="B1572" s="493">
        <f t="shared" si="15"/>
        <v>370078.36</v>
      </c>
      <c r="C1572" s="493">
        <v>369878.36</v>
      </c>
      <c r="D1572" s="751">
        <v>200</v>
      </c>
    </row>
    <row r="1573" spans="1:4" x14ac:dyDescent="0.2">
      <c r="A1573" s="516">
        <v>44567</v>
      </c>
      <c r="B1573" s="493">
        <f t="shared" si="15"/>
        <v>368257.32</v>
      </c>
      <c r="C1573" s="493">
        <v>368057.32</v>
      </c>
      <c r="D1573" s="751">
        <v>200</v>
      </c>
    </row>
    <row r="1574" spans="1:4" x14ac:dyDescent="0.2">
      <c r="A1574" s="516">
        <v>44568</v>
      </c>
      <c r="B1574" s="493">
        <f t="shared" si="15"/>
        <v>369146.3</v>
      </c>
      <c r="C1574" s="493">
        <v>368946.3</v>
      </c>
      <c r="D1574" s="751">
        <v>200</v>
      </c>
    </row>
    <row r="1575" spans="1:4" x14ac:dyDescent="0.2">
      <c r="A1575" s="516">
        <v>44571</v>
      </c>
      <c r="B1575" s="493">
        <f t="shared" si="15"/>
        <v>369146.3</v>
      </c>
      <c r="C1575" s="493">
        <f t="shared" ref="C1575:C1637" si="17">C1574</f>
        <v>368946.3</v>
      </c>
      <c r="D1575" s="751">
        <v>200</v>
      </c>
    </row>
    <row r="1576" spans="1:4" x14ac:dyDescent="0.2">
      <c r="A1576" s="516">
        <v>44572</v>
      </c>
      <c r="B1576" s="493">
        <f t="shared" si="15"/>
        <v>369146.3</v>
      </c>
      <c r="C1576" s="493">
        <f t="shared" si="17"/>
        <v>368946.3</v>
      </c>
      <c r="D1576" s="751">
        <v>200</v>
      </c>
    </row>
    <row r="1577" spans="1:4" x14ac:dyDescent="0.2">
      <c r="A1577" s="516">
        <v>44573</v>
      </c>
      <c r="B1577" s="493">
        <f t="shared" si="15"/>
        <v>369146.3</v>
      </c>
      <c r="C1577" s="493">
        <f t="shared" si="17"/>
        <v>368946.3</v>
      </c>
      <c r="D1577" s="751">
        <v>200</v>
      </c>
    </row>
    <row r="1578" spans="1:4" x14ac:dyDescent="0.2">
      <c r="A1578" s="516">
        <v>44574</v>
      </c>
      <c r="B1578" s="493">
        <f t="shared" si="15"/>
        <v>369318.3</v>
      </c>
      <c r="C1578" s="493">
        <v>369118.3</v>
      </c>
      <c r="D1578" s="751">
        <v>200</v>
      </c>
    </row>
    <row r="1579" spans="1:4" x14ac:dyDescent="0.2">
      <c r="A1579" s="516">
        <v>44575</v>
      </c>
      <c r="B1579" s="493">
        <f t="shared" si="15"/>
        <v>369357.16</v>
      </c>
      <c r="C1579" s="493">
        <v>369157.16</v>
      </c>
      <c r="D1579" s="751">
        <v>200</v>
      </c>
    </row>
    <row r="1580" spans="1:4" x14ac:dyDescent="0.2">
      <c r="A1580" s="516">
        <v>44578</v>
      </c>
      <c r="B1580" s="493">
        <f t="shared" si="15"/>
        <v>369357.16</v>
      </c>
      <c r="C1580" s="493">
        <f t="shared" si="17"/>
        <v>369157.16</v>
      </c>
      <c r="D1580" s="751">
        <v>200</v>
      </c>
    </row>
    <row r="1581" spans="1:4" x14ac:dyDescent="0.2">
      <c r="A1581" s="516">
        <v>44579</v>
      </c>
      <c r="B1581" s="493">
        <f t="shared" si="15"/>
        <v>328912.42</v>
      </c>
      <c r="C1581" s="493">
        <v>328712.42</v>
      </c>
      <c r="D1581" s="751">
        <v>200</v>
      </c>
    </row>
    <row r="1582" spans="1:4" x14ac:dyDescent="0.2">
      <c r="A1582" s="516">
        <v>44580</v>
      </c>
      <c r="B1582" s="493">
        <f t="shared" si="15"/>
        <v>324854.01</v>
      </c>
      <c r="C1582" s="493">
        <v>324654.01</v>
      </c>
      <c r="D1582" s="751">
        <v>200</v>
      </c>
    </row>
    <row r="1583" spans="1:4" x14ac:dyDescent="0.2">
      <c r="A1583" s="516">
        <v>44581</v>
      </c>
      <c r="B1583" s="493">
        <f t="shared" si="15"/>
        <v>373026.22</v>
      </c>
      <c r="C1583" s="493">
        <v>372826.22</v>
      </c>
      <c r="D1583" s="751">
        <v>200</v>
      </c>
    </row>
    <row r="1584" spans="1:4" ht="12.75" customHeight="1" x14ac:dyDescent="0.2">
      <c r="A1584" s="516">
        <v>44582</v>
      </c>
      <c r="B1584" s="493">
        <f t="shared" si="15"/>
        <v>372715.39</v>
      </c>
      <c r="C1584" s="493">
        <v>372515.39</v>
      </c>
      <c r="D1584" s="751">
        <v>200</v>
      </c>
    </row>
    <row r="1585" spans="1:4" x14ac:dyDescent="0.2">
      <c r="A1585" s="516">
        <v>44585</v>
      </c>
      <c r="B1585" s="493">
        <f t="shared" ref="B1585:B1648" si="18">C1585+D1585</f>
        <v>352413.78</v>
      </c>
      <c r="C1585" s="493">
        <v>352213.78</v>
      </c>
      <c r="D1585" s="751">
        <v>200</v>
      </c>
    </row>
    <row r="1586" spans="1:4" x14ac:dyDescent="0.2">
      <c r="A1586" s="516">
        <v>44586</v>
      </c>
      <c r="B1586" s="493">
        <f t="shared" si="18"/>
        <v>324543.71999999997</v>
      </c>
      <c r="C1586" s="493">
        <v>324343.71999999997</v>
      </c>
      <c r="D1586" s="751">
        <v>200</v>
      </c>
    </row>
    <row r="1587" spans="1:4" x14ac:dyDescent="0.2">
      <c r="A1587" s="516">
        <v>44587</v>
      </c>
      <c r="B1587" s="493">
        <f t="shared" si="18"/>
        <v>324510.76</v>
      </c>
      <c r="C1587" s="493">
        <v>324310.76</v>
      </c>
      <c r="D1587" s="751">
        <v>200</v>
      </c>
    </row>
    <row r="1588" spans="1:4" x14ac:dyDescent="0.2">
      <c r="A1588" s="516">
        <v>44588</v>
      </c>
      <c r="B1588" s="493">
        <f t="shared" si="18"/>
        <v>290902.11</v>
      </c>
      <c r="C1588" s="493">
        <v>290702.11</v>
      </c>
      <c r="D1588" s="751">
        <v>200</v>
      </c>
    </row>
    <row r="1589" spans="1:4" x14ac:dyDescent="0.2">
      <c r="A1589" s="516">
        <v>44589</v>
      </c>
      <c r="B1589" s="493">
        <f t="shared" si="18"/>
        <v>290902.11</v>
      </c>
      <c r="C1589" s="493">
        <f t="shared" si="17"/>
        <v>290702.11</v>
      </c>
      <c r="D1589" s="751">
        <v>200</v>
      </c>
    </row>
    <row r="1590" spans="1:4" x14ac:dyDescent="0.2">
      <c r="A1590" s="516">
        <v>44592</v>
      </c>
      <c r="B1590" s="493">
        <f t="shared" si="18"/>
        <v>309578.59999999998</v>
      </c>
      <c r="C1590" s="493">
        <v>309378.59999999998</v>
      </c>
      <c r="D1590" s="751">
        <v>200</v>
      </c>
    </row>
    <row r="1591" spans="1:4" x14ac:dyDescent="0.2">
      <c r="A1591" s="516">
        <v>44593</v>
      </c>
      <c r="B1591" s="493">
        <f t="shared" si="18"/>
        <v>292963.95</v>
      </c>
      <c r="C1591" s="493">
        <v>292763.95</v>
      </c>
      <c r="D1591" s="751">
        <v>200</v>
      </c>
    </row>
    <row r="1592" spans="1:4" x14ac:dyDescent="0.2">
      <c r="A1592" s="516">
        <v>44594</v>
      </c>
      <c r="B1592" s="493">
        <f t="shared" si="18"/>
        <v>345714.5</v>
      </c>
      <c r="C1592" s="493">
        <v>345514.5</v>
      </c>
      <c r="D1592" s="751">
        <v>200</v>
      </c>
    </row>
    <row r="1593" spans="1:4" x14ac:dyDescent="0.2">
      <c r="A1593" s="516">
        <v>44595</v>
      </c>
      <c r="B1593" s="493">
        <f t="shared" si="18"/>
        <v>344030.58</v>
      </c>
      <c r="C1593" s="493">
        <v>343830.58</v>
      </c>
      <c r="D1593" s="751">
        <v>200</v>
      </c>
    </row>
    <row r="1594" spans="1:4" x14ac:dyDescent="0.2">
      <c r="A1594" s="516">
        <v>44596</v>
      </c>
      <c r="B1594" s="493">
        <f t="shared" si="18"/>
        <v>387503.42</v>
      </c>
      <c r="C1594" s="493">
        <v>387303.42</v>
      </c>
      <c r="D1594" s="751">
        <v>200</v>
      </c>
    </row>
    <row r="1595" spans="1:4" x14ac:dyDescent="0.2">
      <c r="A1595" s="516">
        <v>44599</v>
      </c>
      <c r="B1595" s="493">
        <f t="shared" si="18"/>
        <v>387503.42</v>
      </c>
      <c r="C1595" s="493">
        <f t="shared" si="17"/>
        <v>387303.42</v>
      </c>
      <c r="D1595" s="751">
        <v>200</v>
      </c>
    </row>
    <row r="1596" spans="1:4" x14ac:dyDescent="0.2">
      <c r="A1596" s="516">
        <v>44600</v>
      </c>
      <c r="B1596" s="493">
        <f t="shared" si="18"/>
        <v>387503.42</v>
      </c>
      <c r="C1596" s="493">
        <f t="shared" si="17"/>
        <v>387303.42</v>
      </c>
      <c r="D1596" s="751">
        <v>200</v>
      </c>
    </row>
    <row r="1597" spans="1:4" x14ac:dyDescent="0.2">
      <c r="A1597" s="516">
        <v>44601</v>
      </c>
      <c r="B1597" s="493">
        <f t="shared" si="18"/>
        <v>387503.42</v>
      </c>
      <c r="C1597" s="493">
        <f t="shared" si="17"/>
        <v>387303.42</v>
      </c>
      <c r="D1597" s="751">
        <v>200</v>
      </c>
    </row>
    <row r="1598" spans="1:4" x14ac:dyDescent="0.2">
      <c r="A1598" s="516">
        <v>44602</v>
      </c>
      <c r="B1598" s="552">
        <f t="shared" si="18"/>
        <v>411517.59</v>
      </c>
      <c r="C1598" s="493">
        <v>411317.59</v>
      </c>
      <c r="D1598" s="751">
        <v>200</v>
      </c>
    </row>
    <row r="1599" spans="1:4" x14ac:dyDescent="0.2">
      <c r="A1599" s="516">
        <v>44603</v>
      </c>
      <c r="B1599" s="493">
        <f t="shared" si="18"/>
        <v>388476.71</v>
      </c>
      <c r="C1599" s="493">
        <v>388276.71</v>
      </c>
      <c r="D1599" s="751">
        <v>200</v>
      </c>
    </row>
    <row r="1600" spans="1:4" x14ac:dyDescent="0.2">
      <c r="A1600" s="516">
        <v>44606</v>
      </c>
      <c r="B1600" s="493">
        <f t="shared" si="18"/>
        <v>388476.71</v>
      </c>
      <c r="C1600" s="493">
        <f t="shared" si="17"/>
        <v>388276.71</v>
      </c>
      <c r="D1600" s="751">
        <v>200</v>
      </c>
    </row>
    <row r="1601" spans="1:4" x14ac:dyDescent="0.2">
      <c r="A1601" s="516">
        <v>44607</v>
      </c>
      <c r="B1601" s="493">
        <f t="shared" si="18"/>
        <v>350398.25</v>
      </c>
      <c r="C1601" s="493">
        <v>350198.25</v>
      </c>
      <c r="D1601" s="751">
        <v>200</v>
      </c>
    </row>
    <row r="1602" spans="1:4" x14ac:dyDescent="0.2">
      <c r="A1602" s="516">
        <v>44608</v>
      </c>
      <c r="B1602" s="493">
        <f t="shared" si="18"/>
        <v>350398.25</v>
      </c>
      <c r="C1602" s="493">
        <f t="shared" si="17"/>
        <v>350198.25</v>
      </c>
      <c r="D1602" s="751">
        <v>200</v>
      </c>
    </row>
    <row r="1603" spans="1:4" x14ac:dyDescent="0.2">
      <c r="A1603" s="516">
        <v>44609</v>
      </c>
      <c r="B1603" s="493">
        <f t="shared" si="18"/>
        <v>329726.17</v>
      </c>
      <c r="C1603" s="493">
        <v>329526.17</v>
      </c>
      <c r="D1603" s="751">
        <v>200</v>
      </c>
    </row>
    <row r="1604" spans="1:4" x14ac:dyDescent="0.2">
      <c r="A1604" s="516">
        <v>44610</v>
      </c>
      <c r="B1604" s="493">
        <f t="shared" si="18"/>
        <v>329566.19</v>
      </c>
      <c r="C1604" s="493">
        <v>329366.19</v>
      </c>
      <c r="D1604" s="751">
        <v>200</v>
      </c>
    </row>
    <row r="1605" spans="1:4" x14ac:dyDescent="0.2">
      <c r="A1605" s="516">
        <v>44613</v>
      </c>
      <c r="B1605" s="493">
        <f t="shared" si="18"/>
        <v>329566.19</v>
      </c>
      <c r="C1605" s="493">
        <f t="shared" si="17"/>
        <v>329366.19</v>
      </c>
      <c r="D1605" s="751">
        <v>200</v>
      </c>
    </row>
    <row r="1606" spans="1:4" x14ac:dyDescent="0.2">
      <c r="A1606" s="516">
        <v>44614</v>
      </c>
      <c r="B1606" s="493">
        <f t="shared" si="18"/>
        <v>329566.19</v>
      </c>
      <c r="C1606" s="493">
        <f t="shared" si="17"/>
        <v>329366.19</v>
      </c>
      <c r="D1606" s="751">
        <v>200</v>
      </c>
    </row>
    <row r="1607" spans="1:4" x14ac:dyDescent="0.2">
      <c r="A1607" s="516">
        <v>44615</v>
      </c>
      <c r="B1607" s="493">
        <f t="shared" si="18"/>
        <v>330827.17</v>
      </c>
      <c r="C1607" s="493">
        <v>330627.17</v>
      </c>
      <c r="D1607" s="751">
        <v>200</v>
      </c>
    </row>
    <row r="1608" spans="1:4" x14ac:dyDescent="0.2">
      <c r="A1608" s="516">
        <v>44616</v>
      </c>
      <c r="B1608" s="493">
        <f t="shared" si="18"/>
        <v>331382.17</v>
      </c>
      <c r="C1608" s="493">
        <v>331182.17</v>
      </c>
      <c r="D1608" s="751">
        <v>200</v>
      </c>
    </row>
    <row r="1609" spans="1:4" x14ac:dyDescent="0.2">
      <c r="A1609" s="516">
        <v>44617</v>
      </c>
      <c r="B1609" s="493">
        <f t="shared" si="18"/>
        <v>331382.17</v>
      </c>
      <c r="C1609" s="493">
        <f t="shared" si="17"/>
        <v>331182.17</v>
      </c>
      <c r="D1609" s="751">
        <v>200</v>
      </c>
    </row>
    <row r="1610" spans="1:4" x14ac:dyDescent="0.2">
      <c r="A1610" s="516">
        <v>44620</v>
      </c>
      <c r="B1610" s="493">
        <f t="shared" si="18"/>
        <v>331382.17</v>
      </c>
      <c r="C1610" s="493">
        <f t="shared" si="17"/>
        <v>331182.17</v>
      </c>
      <c r="D1610" s="751">
        <v>200</v>
      </c>
    </row>
    <row r="1611" spans="1:4" x14ac:dyDescent="0.2">
      <c r="A1611" s="516">
        <v>44621</v>
      </c>
      <c r="B1611" s="493">
        <f t="shared" si="18"/>
        <v>293888.99</v>
      </c>
      <c r="C1611" s="493">
        <v>293688.99</v>
      </c>
      <c r="D1611" s="751">
        <v>200</v>
      </c>
    </row>
    <row r="1612" spans="1:4" x14ac:dyDescent="0.2">
      <c r="A1612" s="516">
        <v>44622</v>
      </c>
      <c r="B1612" s="493">
        <f t="shared" si="18"/>
        <v>321342.32</v>
      </c>
      <c r="C1612" s="493">
        <v>321142.32</v>
      </c>
      <c r="D1612" s="751">
        <v>200</v>
      </c>
    </row>
    <row r="1613" spans="1:4" x14ac:dyDescent="0.2">
      <c r="A1613" s="516">
        <v>44623</v>
      </c>
      <c r="B1613" s="493">
        <f t="shared" si="18"/>
        <v>328875.55</v>
      </c>
      <c r="C1613" s="493">
        <v>328675.55</v>
      </c>
      <c r="D1613" s="751">
        <v>200</v>
      </c>
    </row>
    <row r="1614" spans="1:4" x14ac:dyDescent="0.2">
      <c r="A1614" s="516">
        <v>44624</v>
      </c>
      <c r="B1614" s="493">
        <f t="shared" si="18"/>
        <v>311978.17</v>
      </c>
      <c r="C1614" s="493">
        <v>311778.17</v>
      </c>
      <c r="D1614" s="751">
        <v>200</v>
      </c>
    </row>
    <row r="1615" spans="1:4" x14ac:dyDescent="0.2">
      <c r="A1615" s="516">
        <v>44627</v>
      </c>
      <c r="B1615" s="493">
        <f t="shared" si="18"/>
        <v>311978.17</v>
      </c>
      <c r="C1615" s="493">
        <f t="shared" si="17"/>
        <v>311778.17</v>
      </c>
      <c r="D1615" s="751">
        <v>200</v>
      </c>
    </row>
    <row r="1616" spans="1:4" x14ac:dyDescent="0.2">
      <c r="A1616" s="516">
        <v>44628</v>
      </c>
      <c r="B1616" s="493">
        <f t="shared" si="18"/>
        <v>323791.65000000002</v>
      </c>
      <c r="C1616" s="493">
        <v>323591.65000000002</v>
      </c>
      <c r="D1616" s="751">
        <v>200</v>
      </c>
    </row>
    <row r="1617" spans="1:4" x14ac:dyDescent="0.2">
      <c r="A1617" s="516">
        <v>44629</v>
      </c>
      <c r="B1617" s="493">
        <f t="shared" si="18"/>
        <v>323791.65000000002</v>
      </c>
      <c r="C1617" s="493">
        <f t="shared" si="17"/>
        <v>323591.65000000002</v>
      </c>
      <c r="D1617" s="751">
        <v>200</v>
      </c>
    </row>
    <row r="1618" spans="1:4" x14ac:dyDescent="0.2">
      <c r="A1618" s="516">
        <v>44630</v>
      </c>
      <c r="B1618" s="493">
        <f t="shared" si="18"/>
        <v>304395.95</v>
      </c>
      <c r="C1618" s="493">
        <v>304195.95</v>
      </c>
      <c r="D1618" s="751">
        <v>200</v>
      </c>
    </row>
    <row r="1619" spans="1:4" x14ac:dyDescent="0.2">
      <c r="A1619" s="516">
        <v>44631</v>
      </c>
      <c r="B1619" s="493">
        <f t="shared" si="18"/>
        <v>304395.95</v>
      </c>
      <c r="C1619" s="493">
        <f t="shared" si="17"/>
        <v>304195.95</v>
      </c>
      <c r="D1619" s="751">
        <v>200</v>
      </c>
    </row>
    <row r="1620" spans="1:4" x14ac:dyDescent="0.2">
      <c r="A1620" s="516">
        <v>44634</v>
      </c>
      <c r="B1620" s="493">
        <f t="shared" si="18"/>
        <v>304395.95</v>
      </c>
      <c r="C1620" s="493">
        <f t="shared" si="17"/>
        <v>304195.95</v>
      </c>
      <c r="D1620" s="751">
        <v>200</v>
      </c>
    </row>
    <row r="1621" spans="1:4" x14ac:dyDescent="0.2">
      <c r="A1621" s="516">
        <v>44635</v>
      </c>
      <c r="B1621" s="493">
        <f t="shared" si="18"/>
        <v>354177.58</v>
      </c>
      <c r="C1621" s="493">
        <v>353977.58</v>
      </c>
      <c r="D1621" s="751">
        <v>200</v>
      </c>
    </row>
    <row r="1622" spans="1:4" x14ac:dyDescent="0.2">
      <c r="A1622" s="516">
        <v>44636</v>
      </c>
      <c r="B1622" s="493">
        <f t="shared" si="18"/>
        <v>354177.58</v>
      </c>
      <c r="C1622" s="493">
        <f t="shared" si="17"/>
        <v>353977.58</v>
      </c>
      <c r="D1622" s="751">
        <v>200</v>
      </c>
    </row>
    <row r="1623" spans="1:4" x14ac:dyDescent="0.2">
      <c r="A1623" s="516">
        <v>44637</v>
      </c>
      <c r="B1623" s="493">
        <f t="shared" si="18"/>
        <v>272443</v>
      </c>
      <c r="C1623" s="493">
        <v>272243</v>
      </c>
      <c r="D1623" s="751">
        <v>200</v>
      </c>
    </row>
    <row r="1624" spans="1:4" x14ac:dyDescent="0.2">
      <c r="A1624" s="516">
        <v>44638</v>
      </c>
      <c r="B1624" s="493">
        <f t="shared" si="18"/>
        <v>271968.02</v>
      </c>
      <c r="C1624" s="493">
        <v>271768.02</v>
      </c>
      <c r="D1624" s="751">
        <v>200</v>
      </c>
    </row>
    <row r="1625" spans="1:4" x14ac:dyDescent="0.2">
      <c r="A1625" s="516">
        <v>44641</v>
      </c>
      <c r="B1625" s="493">
        <f t="shared" si="18"/>
        <v>287143.02</v>
      </c>
      <c r="C1625" s="493">
        <v>286943.02</v>
      </c>
      <c r="D1625" s="751">
        <v>200</v>
      </c>
    </row>
    <row r="1626" spans="1:4" x14ac:dyDescent="0.2">
      <c r="A1626" s="516">
        <v>44642</v>
      </c>
      <c r="B1626" s="493">
        <f t="shared" si="18"/>
        <v>287143.02</v>
      </c>
      <c r="C1626" s="493">
        <f t="shared" si="17"/>
        <v>286943.02</v>
      </c>
      <c r="D1626" s="751">
        <v>200</v>
      </c>
    </row>
    <row r="1627" spans="1:4" x14ac:dyDescent="0.2">
      <c r="A1627" s="516">
        <v>44643</v>
      </c>
      <c r="B1627" s="493">
        <f t="shared" si="18"/>
        <v>171561.3</v>
      </c>
      <c r="C1627" s="493">
        <v>171361.3</v>
      </c>
      <c r="D1627" s="751">
        <v>200</v>
      </c>
    </row>
    <row r="1628" spans="1:4" x14ac:dyDescent="0.2">
      <c r="A1628" s="516">
        <v>44644</v>
      </c>
      <c r="B1628" s="493">
        <f t="shared" si="18"/>
        <v>171561.3</v>
      </c>
      <c r="C1628" s="493">
        <f t="shared" si="17"/>
        <v>171361.3</v>
      </c>
      <c r="D1628" s="751">
        <v>200</v>
      </c>
    </row>
    <row r="1629" spans="1:4" x14ac:dyDescent="0.2">
      <c r="A1629" s="516">
        <v>44645</v>
      </c>
      <c r="B1629" s="493">
        <f t="shared" si="18"/>
        <v>194069.16</v>
      </c>
      <c r="C1629" s="493">
        <v>193869.16</v>
      </c>
      <c r="D1629" s="751">
        <v>200</v>
      </c>
    </row>
    <row r="1630" spans="1:4" x14ac:dyDescent="0.2">
      <c r="A1630" s="516">
        <v>44648</v>
      </c>
      <c r="B1630" s="493">
        <f t="shared" si="18"/>
        <v>184965.34</v>
      </c>
      <c r="C1630" s="493">
        <v>184765.34</v>
      </c>
      <c r="D1630" s="751">
        <v>200</v>
      </c>
    </row>
    <row r="1631" spans="1:4" x14ac:dyDescent="0.2">
      <c r="A1631" s="516">
        <v>44649</v>
      </c>
      <c r="B1631" s="493">
        <f t="shared" si="18"/>
        <v>140741.59</v>
      </c>
      <c r="C1631" s="493">
        <v>140541.59</v>
      </c>
      <c r="D1631" s="751">
        <v>200</v>
      </c>
    </row>
    <row r="1632" spans="1:4" x14ac:dyDescent="0.2">
      <c r="A1632" s="516">
        <v>44650</v>
      </c>
      <c r="B1632" s="552">
        <f t="shared" si="18"/>
        <v>140708.63</v>
      </c>
      <c r="C1632" s="493">
        <v>140508.63</v>
      </c>
      <c r="D1632" s="751">
        <v>200</v>
      </c>
    </row>
    <row r="1633" spans="1:4" x14ac:dyDescent="0.2">
      <c r="A1633" s="516">
        <v>44651</v>
      </c>
      <c r="B1633" s="493">
        <f t="shared" si="18"/>
        <v>281239.25</v>
      </c>
      <c r="C1633" s="493">
        <v>281039.25</v>
      </c>
      <c r="D1633" s="751">
        <v>200</v>
      </c>
    </row>
    <row r="1634" spans="1:4" x14ac:dyDescent="0.2">
      <c r="A1634" s="516">
        <v>44652</v>
      </c>
      <c r="B1634" s="493">
        <f t="shared" si="18"/>
        <v>283716.02</v>
      </c>
      <c r="C1634" s="493">
        <v>283516.02</v>
      </c>
      <c r="D1634" s="751">
        <v>200</v>
      </c>
    </row>
    <row r="1635" spans="1:4" x14ac:dyDescent="0.2">
      <c r="A1635" s="516">
        <v>44655</v>
      </c>
      <c r="B1635" s="493">
        <f t="shared" si="18"/>
        <v>283716.02</v>
      </c>
      <c r="C1635" s="493">
        <f t="shared" si="17"/>
        <v>283516.02</v>
      </c>
      <c r="D1635" s="751">
        <v>200</v>
      </c>
    </row>
    <row r="1636" spans="1:4" x14ac:dyDescent="0.2">
      <c r="A1636" s="516">
        <v>44656</v>
      </c>
      <c r="B1636" s="493">
        <f t="shared" si="18"/>
        <v>300477.89</v>
      </c>
      <c r="C1636" s="493">
        <v>300277.89</v>
      </c>
      <c r="D1636" s="751">
        <v>200</v>
      </c>
    </row>
    <row r="1637" spans="1:4" x14ac:dyDescent="0.2">
      <c r="A1637" s="516">
        <v>44657</v>
      </c>
      <c r="B1637" s="493">
        <f t="shared" si="18"/>
        <v>300477.89</v>
      </c>
      <c r="C1637" s="493">
        <f t="shared" si="17"/>
        <v>300277.89</v>
      </c>
      <c r="D1637" s="751">
        <v>200</v>
      </c>
    </row>
    <row r="1638" spans="1:4" x14ac:dyDescent="0.2">
      <c r="A1638" s="516">
        <v>44658</v>
      </c>
      <c r="B1638" s="493">
        <f t="shared" si="18"/>
        <v>301029.09000000003</v>
      </c>
      <c r="C1638" s="493">
        <v>300829.09000000003</v>
      </c>
      <c r="D1638" s="751">
        <v>200</v>
      </c>
    </row>
    <row r="1639" spans="1:4" x14ac:dyDescent="0.2">
      <c r="A1639" s="516">
        <v>44659</v>
      </c>
      <c r="B1639" s="493">
        <f t="shared" si="18"/>
        <v>296794.44</v>
      </c>
      <c r="C1639" s="493">
        <v>296594.44</v>
      </c>
      <c r="D1639" s="751">
        <v>200</v>
      </c>
    </row>
    <row r="1640" spans="1:4" x14ac:dyDescent="0.2">
      <c r="A1640" s="516">
        <v>44662</v>
      </c>
      <c r="B1640" s="493">
        <f t="shared" si="18"/>
        <v>296989.44</v>
      </c>
      <c r="C1640" s="493">
        <v>296789.44</v>
      </c>
      <c r="D1640" s="751">
        <v>200</v>
      </c>
    </row>
    <row r="1641" spans="1:4" x14ac:dyDescent="0.2">
      <c r="A1641" s="516">
        <v>44663</v>
      </c>
      <c r="B1641" s="493">
        <f t="shared" si="18"/>
        <v>274755.46000000002</v>
      </c>
      <c r="C1641" s="493">
        <v>274555.46000000002</v>
      </c>
      <c r="D1641" s="751">
        <v>200</v>
      </c>
    </row>
    <row r="1642" spans="1:4" x14ac:dyDescent="0.2">
      <c r="A1642" s="516">
        <v>44664</v>
      </c>
      <c r="B1642" s="493">
        <f t="shared" si="18"/>
        <v>274755.46000000002</v>
      </c>
      <c r="C1642" s="493">
        <f t="shared" ref="C1642:C1656" si="19">C1641</f>
        <v>274555.46000000002</v>
      </c>
      <c r="D1642" s="751">
        <v>200</v>
      </c>
    </row>
    <row r="1643" spans="1:4" x14ac:dyDescent="0.2">
      <c r="A1643" s="516">
        <v>44665</v>
      </c>
      <c r="B1643" s="493">
        <f t="shared" si="18"/>
        <v>273817.88</v>
      </c>
      <c r="C1643" s="493">
        <v>273617.88</v>
      </c>
      <c r="D1643" s="751">
        <v>200</v>
      </c>
    </row>
    <row r="1644" spans="1:4" x14ac:dyDescent="0.2">
      <c r="A1644" s="516">
        <v>44666</v>
      </c>
      <c r="B1644" s="493">
        <f t="shared" si="18"/>
        <v>273375.03999999998</v>
      </c>
      <c r="C1644" s="493">
        <v>273175.03999999998</v>
      </c>
      <c r="D1644" s="751">
        <v>200</v>
      </c>
    </row>
    <row r="1645" spans="1:4" x14ac:dyDescent="0.2">
      <c r="A1645" s="516">
        <v>44669</v>
      </c>
      <c r="B1645" s="493">
        <f t="shared" si="18"/>
        <v>306978.36</v>
      </c>
      <c r="C1645" s="493">
        <v>306778.36</v>
      </c>
      <c r="D1645" s="751">
        <v>200</v>
      </c>
    </row>
    <row r="1646" spans="1:4" x14ac:dyDescent="0.2">
      <c r="A1646" s="516">
        <v>44670</v>
      </c>
      <c r="B1646" s="493">
        <f t="shared" si="18"/>
        <v>306978.36</v>
      </c>
      <c r="C1646" s="493">
        <f t="shared" si="19"/>
        <v>306778.36</v>
      </c>
      <c r="D1646" s="751">
        <v>200</v>
      </c>
    </row>
    <row r="1647" spans="1:4" x14ac:dyDescent="0.2">
      <c r="A1647" s="516">
        <v>44671</v>
      </c>
      <c r="B1647" s="493">
        <f t="shared" si="18"/>
        <v>266613.8</v>
      </c>
      <c r="C1647" s="493">
        <v>266413.8</v>
      </c>
      <c r="D1647" s="751">
        <v>200</v>
      </c>
    </row>
    <row r="1648" spans="1:4" x14ac:dyDescent="0.2">
      <c r="A1648" s="516">
        <v>44672</v>
      </c>
      <c r="B1648" s="493">
        <f t="shared" si="18"/>
        <v>271958.33</v>
      </c>
      <c r="C1648" s="493">
        <v>271758.33</v>
      </c>
      <c r="D1648" s="751">
        <v>200</v>
      </c>
    </row>
    <row r="1649" spans="1:4" x14ac:dyDescent="0.2">
      <c r="A1649" s="516">
        <v>44673</v>
      </c>
      <c r="B1649" s="493">
        <f t="shared" ref="B1649:B1655" si="20">C1649+D1649</f>
        <v>271799.48</v>
      </c>
      <c r="C1649" s="493">
        <v>271599.48</v>
      </c>
      <c r="D1649" s="751">
        <v>200</v>
      </c>
    </row>
    <row r="1650" spans="1:4" x14ac:dyDescent="0.2">
      <c r="A1650" s="516">
        <v>44676</v>
      </c>
      <c r="B1650" s="493">
        <f t="shared" si="20"/>
        <v>271799.48</v>
      </c>
      <c r="C1650" s="493">
        <f t="shared" si="19"/>
        <v>271599.48</v>
      </c>
      <c r="D1650" s="751">
        <v>200</v>
      </c>
    </row>
    <row r="1651" spans="1:4" x14ac:dyDescent="0.2">
      <c r="A1651" s="516">
        <v>44677</v>
      </c>
      <c r="B1651" s="493">
        <f t="shared" si="20"/>
        <v>231449.55</v>
      </c>
      <c r="C1651" s="493">
        <v>231249.55</v>
      </c>
      <c r="D1651" s="751">
        <v>200</v>
      </c>
    </row>
    <row r="1652" spans="1:4" x14ac:dyDescent="0.2">
      <c r="A1652" s="516">
        <v>44678</v>
      </c>
      <c r="B1652" s="493">
        <f t="shared" si="20"/>
        <v>255926.54</v>
      </c>
      <c r="C1652" s="493">
        <v>255726.54</v>
      </c>
      <c r="D1652" s="751">
        <v>200</v>
      </c>
    </row>
    <row r="1653" spans="1:4" x14ac:dyDescent="0.2">
      <c r="A1653" s="516">
        <v>44679</v>
      </c>
      <c r="B1653" s="493">
        <f t="shared" si="20"/>
        <v>256457.54</v>
      </c>
      <c r="C1653" s="493">
        <v>256257.54</v>
      </c>
      <c r="D1653" s="751">
        <v>200</v>
      </c>
    </row>
    <row r="1654" spans="1:4" x14ac:dyDescent="0.2">
      <c r="A1654" s="516">
        <v>44680</v>
      </c>
      <c r="B1654" s="493">
        <f t="shared" si="20"/>
        <v>255982.56</v>
      </c>
      <c r="C1654" s="493">
        <v>255782.56</v>
      </c>
      <c r="D1654" s="751">
        <v>200</v>
      </c>
    </row>
    <row r="1655" spans="1:4" x14ac:dyDescent="0.2">
      <c r="A1655" s="516">
        <v>44683</v>
      </c>
      <c r="B1655" s="493">
        <f t="shared" si="20"/>
        <v>255982.56</v>
      </c>
      <c r="C1655" s="493">
        <f t="shared" si="19"/>
        <v>255782.56</v>
      </c>
      <c r="D1655" s="751">
        <v>200</v>
      </c>
    </row>
    <row r="1656" spans="1:4" x14ac:dyDescent="0.2">
      <c r="A1656" s="516">
        <v>44684</v>
      </c>
      <c r="B1656" s="493">
        <f t="shared" ref="B1656:B1659" si="21">C1656+D1656</f>
        <v>255982.56</v>
      </c>
      <c r="C1656" s="493">
        <f t="shared" si="19"/>
        <v>255782.56</v>
      </c>
      <c r="D1656" s="751">
        <v>200</v>
      </c>
    </row>
    <row r="1657" spans="1:4" x14ac:dyDescent="0.2">
      <c r="A1657" s="516">
        <v>44685</v>
      </c>
      <c r="B1657" s="493">
        <f t="shared" si="21"/>
        <v>237408.49</v>
      </c>
      <c r="C1657" s="493">
        <v>237208.49</v>
      </c>
      <c r="D1657" s="751">
        <v>200</v>
      </c>
    </row>
    <row r="1658" spans="1:4" x14ac:dyDescent="0.2">
      <c r="A1658" s="516">
        <v>44686</v>
      </c>
      <c r="B1658" s="493">
        <f t="shared" si="21"/>
        <v>237595.16</v>
      </c>
      <c r="C1658" s="493">
        <v>237395.16</v>
      </c>
      <c r="D1658" s="751">
        <v>200</v>
      </c>
    </row>
    <row r="1659" spans="1:4" x14ac:dyDescent="0.2">
      <c r="A1659" s="516">
        <v>44687</v>
      </c>
      <c r="B1659" s="493">
        <f t="shared" si="21"/>
        <v>237595.16</v>
      </c>
      <c r="C1659" s="493">
        <f>C1658</f>
        <v>237395.16</v>
      </c>
      <c r="D1659" s="751">
        <v>200</v>
      </c>
    </row>
    <row r="1660" spans="1:4" x14ac:dyDescent="0.2">
      <c r="A1660" s="516">
        <v>44690</v>
      </c>
      <c r="B1660" s="493">
        <f t="shared" ref="B1660:B1664" si="22">C1660+D1660</f>
        <v>237595.16</v>
      </c>
      <c r="C1660" s="493">
        <f>C1659</f>
        <v>237395.16</v>
      </c>
      <c r="D1660" s="751">
        <v>200</v>
      </c>
    </row>
    <row r="1661" spans="1:4" x14ac:dyDescent="0.2">
      <c r="A1661" s="516">
        <v>44691</v>
      </c>
      <c r="B1661" s="493">
        <f t="shared" si="22"/>
        <v>198176.08</v>
      </c>
      <c r="C1661" s="493">
        <v>197976.08</v>
      </c>
      <c r="D1661" s="751">
        <v>200</v>
      </c>
    </row>
    <row r="1662" spans="1:4" x14ac:dyDescent="0.2">
      <c r="A1662" s="516">
        <v>44692</v>
      </c>
      <c r="B1662" s="493">
        <f t="shared" si="22"/>
        <v>206509.41</v>
      </c>
      <c r="C1662" s="493">
        <v>206309.41</v>
      </c>
      <c r="D1662" s="751">
        <v>200</v>
      </c>
    </row>
    <row r="1663" spans="1:4" x14ac:dyDescent="0.2">
      <c r="A1663" s="516">
        <v>44693</v>
      </c>
      <c r="B1663" s="493">
        <f t="shared" si="22"/>
        <v>196309.39</v>
      </c>
      <c r="C1663" s="493">
        <v>196109.39</v>
      </c>
      <c r="D1663" s="751">
        <v>200</v>
      </c>
    </row>
    <row r="1664" spans="1:4" x14ac:dyDescent="0.2">
      <c r="A1664" s="516">
        <v>44694</v>
      </c>
      <c r="B1664" s="493">
        <f t="shared" si="22"/>
        <v>217592.12</v>
      </c>
      <c r="C1664" s="493">
        <v>217392.12</v>
      </c>
      <c r="D1664" s="751">
        <v>200</v>
      </c>
    </row>
    <row r="1665" spans="1:4" x14ac:dyDescent="0.2">
      <c r="A1665" s="516">
        <v>44697</v>
      </c>
      <c r="B1665" s="493">
        <f t="shared" ref="B1665:B1801" si="23">C1665+D1665</f>
        <v>217592.12</v>
      </c>
      <c r="C1665" s="493">
        <f t="shared" ref="C1665:C1707" si="24">C1664</f>
        <v>217392.12</v>
      </c>
      <c r="D1665" s="751">
        <v>200</v>
      </c>
    </row>
    <row r="1666" spans="1:4" x14ac:dyDescent="0.2">
      <c r="A1666" s="516">
        <v>44698</v>
      </c>
      <c r="B1666" s="493">
        <f t="shared" si="23"/>
        <v>217592.12</v>
      </c>
      <c r="C1666" s="493">
        <f t="shared" si="24"/>
        <v>217392.12</v>
      </c>
      <c r="D1666" s="751">
        <v>200</v>
      </c>
    </row>
    <row r="1667" spans="1:4" x14ac:dyDescent="0.2">
      <c r="A1667" s="516">
        <v>44699</v>
      </c>
      <c r="B1667" s="493">
        <f t="shared" si="23"/>
        <v>217592.12</v>
      </c>
      <c r="C1667" s="493">
        <f t="shared" si="24"/>
        <v>217392.12</v>
      </c>
      <c r="D1667" s="751">
        <v>200</v>
      </c>
    </row>
    <row r="1668" spans="1:4" x14ac:dyDescent="0.2">
      <c r="A1668" s="516">
        <v>44700</v>
      </c>
      <c r="B1668" s="493">
        <f t="shared" si="23"/>
        <v>221731.08</v>
      </c>
      <c r="C1668" s="493">
        <v>221531.08</v>
      </c>
      <c r="D1668" s="751">
        <v>200</v>
      </c>
    </row>
    <row r="1669" spans="1:4" x14ac:dyDescent="0.2">
      <c r="A1669" s="516">
        <v>44701</v>
      </c>
      <c r="B1669" s="493">
        <f t="shared" si="23"/>
        <v>217798.74</v>
      </c>
      <c r="C1669" s="493">
        <v>217598.74</v>
      </c>
      <c r="D1669" s="751">
        <v>200</v>
      </c>
    </row>
    <row r="1670" spans="1:4" x14ac:dyDescent="0.2">
      <c r="A1670" s="516">
        <v>44704</v>
      </c>
      <c r="B1670" s="493">
        <f t="shared" si="23"/>
        <v>176485.8</v>
      </c>
      <c r="C1670" s="493">
        <v>176285.8</v>
      </c>
      <c r="D1670" s="751">
        <v>200</v>
      </c>
    </row>
    <row r="1671" spans="1:4" x14ac:dyDescent="0.2">
      <c r="A1671" s="516">
        <v>44705</v>
      </c>
      <c r="B1671" s="493">
        <f t="shared" si="23"/>
        <v>176485.8</v>
      </c>
      <c r="C1671" s="493">
        <f t="shared" si="24"/>
        <v>176285.8</v>
      </c>
      <c r="D1671" s="751">
        <v>200</v>
      </c>
    </row>
    <row r="1672" spans="1:4" x14ac:dyDescent="0.2">
      <c r="A1672" s="516">
        <v>44706</v>
      </c>
      <c r="B1672" s="493">
        <f t="shared" si="23"/>
        <v>176485.8</v>
      </c>
      <c r="C1672" s="493">
        <f t="shared" si="24"/>
        <v>176285.8</v>
      </c>
      <c r="D1672" s="751">
        <v>200</v>
      </c>
    </row>
    <row r="1673" spans="1:4" x14ac:dyDescent="0.2">
      <c r="A1673" s="516">
        <v>44707</v>
      </c>
      <c r="B1673" s="493">
        <f t="shared" si="23"/>
        <v>317719.40999999997</v>
      </c>
      <c r="C1673" s="493">
        <v>317519.40999999997</v>
      </c>
      <c r="D1673" s="751">
        <v>200</v>
      </c>
    </row>
    <row r="1674" spans="1:4" x14ac:dyDescent="0.2">
      <c r="A1674" s="516">
        <v>44708</v>
      </c>
      <c r="B1674" s="493">
        <f t="shared" si="23"/>
        <v>317244.43</v>
      </c>
      <c r="C1674" s="493">
        <v>317044.43</v>
      </c>
      <c r="D1674" s="751">
        <v>200</v>
      </c>
    </row>
    <row r="1675" spans="1:4" x14ac:dyDescent="0.2">
      <c r="A1675" s="516">
        <v>44711</v>
      </c>
      <c r="B1675" s="493">
        <f t="shared" si="23"/>
        <v>317244.43</v>
      </c>
      <c r="C1675" s="493">
        <f t="shared" si="24"/>
        <v>317044.43</v>
      </c>
      <c r="D1675" s="751">
        <v>200</v>
      </c>
    </row>
    <row r="1676" spans="1:4" x14ac:dyDescent="0.2">
      <c r="A1676" s="516">
        <v>44712</v>
      </c>
      <c r="B1676" s="493">
        <f t="shared" si="23"/>
        <v>317244.43</v>
      </c>
      <c r="C1676" s="493">
        <f t="shared" si="24"/>
        <v>317044.43</v>
      </c>
      <c r="D1676" s="751">
        <v>200</v>
      </c>
    </row>
    <row r="1677" spans="1:4" x14ac:dyDescent="0.2">
      <c r="A1677" s="516">
        <v>44713</v>
      </c>
      <c r="B1677" s="493">
        <f t="shared" si="23"/>
        <v>317244.43</v>
      </c>
      <c r="C1677" s="493">
        <f t="shared" si="24"/>
        <v>317044.43</v>
      </c>
      <c r="D1677" s="751">
        <v>200</v>
      </c>
    </row>
    <row r="1678" spans="1:4" x14ac:dyDescent="0.2">
      <c r="A1678" s="516">
        <v>44714</v>
      </c>
      <c r="B1678" s="493">
        <f t="shared" si="23"/>
        <v>317244.43</v>
      </c>
      <c r="C1678" s="493">
        <f t="shared" si="24"/>
        <v>317044.43</v>
      </c>
      <c r="D1678" s="751">
        <v>200</v>
      </c>
    </row>
    <row r="1679" spans="1:4" x14ac:dyDescent="0.2">
      <c r="A1679" s="516">
        <v>44715</v>
      </c>
      <c r="B1679" s="493">
        <f t="shared" si="23"/>
        <v>311632.77</v>
      </c>
      <c r="C1679" s="493">
        <v>311432.77</v>
      </c>
      <c r="D1679" s="751">
        <v>200</v>
      </c>
    </row>
    <row r="1680" spans="1:4" x14ac:dyDescent="0.2">
      <c r="A1680" s="516">
        <v>44718</v>
      </c>
      <c r="B1680" s="493">
        <f t="shared" si="23"/>
        <v>311632.77</v>
      </c>
      <c r="C1680" s="493">
        <f t="shared" si="24"/>
        <v>311432.77</v>
      </c>
      <c r="D1680" s="751">
        <v>200</v>
      </c>
    </row>
    <row r="1681" spans="1:4" x14ac:dyDescent="0.2">
      <c r="A1681" s="516">
        <v>44719</v>
      </c>
      <c r="B1681" s="493">
        <f t="shared" si="23"/>
        <v>272576.3</v>
      </c>
      <c r="C1681" s="493">
        <v>272376.3</v>
      </c>
      <c r="D1681" s="751">
        <v>200</v>
      </c>
    </row>
    <row r="1682" spans="1:4" x14ac:dyDescent="0.2">
      <c r="A1682" s="516">
        <v>44720</v>
      </c>
      <c r="B1682" s="493">
        <f t="shared" si="23"/>
        <v>272576.3</v>
      </c>
      <c r="C1682" s="493">
        <f t="shared" si="24"/>
        <v>272376.3</v>
      </c>
      <c r="D1682" s="751">
        <v>200</v>
      </c>
    </row>
    <row r="1683" spans="1:4" x14ac:dyDescent="0.2">
      <c r="A1683" s="516">
        <v>44721</v>
      </c>
      <c r="B1683" s="493">
        <f t="shared" si="23"/>
        <v>262789.33</v>
      </c>
      <c r="C1683" s="493">
        <v>262589.33</v>
      </c>
      <c r="D1683" s="751">
        <v>200</v>
      </c>
    </row>
    <row r="1684" spans="1:4" x14ac:dyDescent="0.2">
      <c r="A1684" s="516">
        <v>44722</v>
      </c>
      <c r="B1684" s="493">
        <f t="shared" si="23"/>
        <v>262314.34999999998</v>
      </c>
      <c r="C1684" s="493">
        <v>262114.35</v>
      </c>
      <c r="D1684" s="751">
        <v>200</v>
      </c>
    </row>
    <row r="1685" spans="1:4" x14ac:dyDescent="0.2">
      <c r="A1685" s="516">
        <v>44725</v>
      </c>
      <c r="B1685" s="493">
        <f t="shared" si="23"/>
        <v>262577.34999999998</v>
      </c>
      <c r="C1685" s="493">
        <v>262377.34999999998</v>
      </c>
      <c r="D1685" s="751">
        <v>200</v>
      </c>
    </row>
    <row r="1686" spans="1:4" x14ac:dyDescent="0.2">
      <c r="A1686" s="516">
        <v>44726</v>
      </c>
      <c r="B1686" s="493">
        <f t="shared" si="23"/>
        <v>262577.34999999998</v>
      </c>
      <c r="C1686" s="493">
        <f t="shared" si="24"/>
        <v>262377.34999999998</v>
      </c>
      <c r="D1686" s="751">
        <v>200</v>
      </c>
    </row>
    <row r="1687" spans="1:4" x14ac:dyDescent="0.2">
      <c r="A1687" s="516">
        <v>44727</v>
      </c>
      <c r="B1687" s="493">
        <f t="shared" si="23"/>
        <v>359115.13</v>
      </c>
      <c r="C1687" s="493">
        <v>358915.13</v>
      </c>
      <c r="D1687" s="751">
        <v>200</v>
      </c>
    </row>
    <row r="1688" spans="1:4" x14ac:dyDescent="0.2">
      <c r="A1688" s="516">
        <v>44728</v>
      </c>
      <c r="B1688" s="493">
        <f t="shared" si="23"/>
        <v>359115.13</v>
      </c>
      <c r="C1688" s="493">
        <f t="shared" si="24"/>
        <v>358915.13</v>
      </c>
      <c r="D1688" s="751">
        <v>200</v>
      </c>
    </row>
    <row r="1689" spans="1:4" x14ac:dyDescent="0.2">
      <c r="A1689" s="516">
        <v>44729</v>
      </c>
      <c r="B1689" s="493">
        <f t="shared" si="23"/>
        <v>359115.13</v>
      </c>
      <c r="C1689" s="493">
        <f t="shared" si="24"/>
        <v>358915.13</v>
      </c>
      <c r="D1689" s="751">
        <v>200</v>
      </c>
    </row>
    <row r="1690" spans="1:4" x14ac:dyDescent="0.2">
      <c r="A1690" s="516">
        <v>44732</v>
      </c>
      <c r="B1690" s="493">
        <f t="shared" si="23"/>
        <v>317912.34000000003</v>
      </c>
      <c r="C1690" s="493">
        <v>317712.34000000003</v>
      </c>
      <c r="D1690" s="751">
        <v>200</v>
      </c>
    </row>
    <row r="1691" spans="1:4" x14ac:dyDescent="0.2">
      <c r="A1691" s="516">
        <v>44733</v>
      </c>
      <c r="B1691" s="493">
        <f t="shared" si="23"/>
        <v>318373.34000000003</v>
      </c>
      <c r="C1691" s="493">
        <v>318173.34000000003</v>
      </c>
      <c r="D1691" s="751">
        <v>200</v>
      </c>
    </row>
    <row r="1692" spans="1:4" x14ac:dyDescent="0.2">
      <c r="A1692" s="516">
        <v>44734</v>
      </c>
      <c r="B1692" s="493">
        <f t="shared" si="23"/>
        <v>319350.08</v>
      </c>
      <c r="C1692" s="493">
        <v>319150.08000000002</v>
      </c>
      <c r="D1692" s="751">
        <v>200</v>
      </c>
    </row>
    <row r="1693" spans="1:4" x14ac:dyDescent="0.2">
      <c r="A1693" s="516">
        <v>44735</v>
      </c>
      <c r="B1693" s="493">
        <f t="shared" si="23"/>
        <v>329131.38</v>
      </c>
      <c r="C1693" s="493">
        <v>328931.38</v>
      </c>
      <c r="D1693" s="751">
        <v>200</v>
      </c>
    </row>
    <row r="1694" spans="1:4" x14ac:dyDescent="0.2">
      <c r="A1694" s="516">
        <v>44736</v>
      </c>
      <c r="B1694" s="493">
        <f t="shared" si="23"/>
        <v>329131.38</v>
      </c>
      <c r="C1694" s="493">
        <f t="shared" si="24"/>
        <v>328931.38</v>
      </c>
      <c r="D1694" s="751">
        <v>200</v>
      </c>
    </row>
    <row r="1695" spans="1:4" x14ac:dyDescent="0.2">
      <c r="A1695" s="516">
        <v>44739</v>
      </c>
      <c r="B1695" s="493">
        <f t="shared" si="23"/>
        <v>329131.38</v>
      </c>
      <c r="C1695" s="493">
        <f t="shared" si="24"/>
        <v>328931.38</v>
      </c>
      <c r="D1695" s="751">
        <v>200</v>
      </c>
    </row>
    <row r="1696" spans="1:4" x14ac:dyDescent="0.2">
      <c r="A1696" s="516">
        <v>44740</v>
      </c>
      <c r="B1696" s="493">
        <f t="shared" si="23"/>
        <v>329131.38</v>
      </c>
      <c r="C1696" s="493">
        <f t="shared" si="24"/>
        <v>328931.38</v>
      </c>
      <c r="D1696" s="751">
        <v>200</v>
      </c>
    </row>
    <row r="1697" spans="1:4" x14ac:dyDescent="0.2">
      <c r="A1697" s="516">
        <v>44741</v>
      </c>
      <c r="B1697" s="493">
        <f t="shared" si="23"/>
        <v>358518.98</v>
      </c>
      <c r="C1697" s="493">
        <v>358318.98</v>
      </c>
      <c r="D1697" s="751">
        <v>200</v>
      </c>
    </row>
    <row r="1698" spans="1:4" x14ac:dyDescent="0.2">
      <c r="A1698" s="516">
        <v>44742</v>
      </c>
      <c r="B1698" s="493">
        <f t="shared" si="23"/>
        <v>388026.98</v>
      </c>
      <c r="C1698" s="493">
        <v>387826.98</v>
      </c>
      <c r="D1698" s="751">
        <v>200</v>
      </c>
    </row>
    <row r="1699" spans="1:4" x14ac:dyDescent="0.2">
      <c r="A1699" s="516">
        <v>44743</v>
      </c>
      <c r="B1699" s="493">
        <f t="shared" si="23"/>
        <v>388026.98</v>
      </c>
      <c r="C1699" s="493">
        <f t="shared" si="24"/>
        <v>387826.98</v>
      </c>
      <c r="D1699" s="751">
        <v>200</v>
      </c>
    </row>
    <row r="1700" spans="1:4" x14ac:dyDescent="0.2">
      <c r="A1700" s="516">
        <v>44746</v>
      </c>
      <c r="B1700" s="493">
        <f t="shared" si="23"/>
        <v>388026.98</v>
      </c>
      <c r="C1700" s="493">
        <f t="shared" si="24"/>
        <v>387826.98</v>
      </c>
      <c r="D1700" s="751">
        <v>200</v>
      </c>
    </row>
    <row r="1701" spans="1:4" x14ac:dyDescent="0.2">
      <c r="A1701" s="516">
        <v>44747</v>
      </c>
      <c r="B1701" s="493">
        <f t="shared" si="23"/>
        <v>347383.35</v>
      </c>
      <c r="C1701" s="493">
        <v>347183.35</v>
      </c>
      <c r="D1701" s="751">
        <v>200</v>
      </c>
    </row>
    <row r="1702" spans="1:4" x14ac:dyDescent="0.2">
      <c r="A1702" s="516">
        <v>44748</v>
      </c>
      <c r="B1702" s="493">
        <f t="shared" si="23"/>
        <v>347507.35</v>
      </c>
      <c r="C1702" s="493">
        <v>347307.35</v>
      </c>
      <c r="D1702" s="751">
        <v>200</v>
      </c>
    </row>
    <row r="1703" spans="1:4" x14ac:dyDescent="0.2">
      <c r="A1703" s="516">
        <v>44749</v>
      </c>
      <c r="B1703" s="493">
        <f t="shared" si="23"/>
        <v>347648.35</v>
      </c>
      <c r="C1703" s="493">
        <v>347448.35</v>
      </c>
      <c r="D1703" s="751">
        <v>200</v>
      </c>
    </row>
    <row r="1704" spans="1:4" x14ac:dyDescent="0.2">
      <c r="A1704" s="516">
        <v>44750</v>
      </c>
      <c r="B1704" s="493">
        <f t="shared" si="23"/>
        <v>347173.37</v>
      </c>
      <c r="C1704" s="493">
        <v>346973.37</v>
      </c>
      <c r="D1704" s="751">
        <v>200</v>
      </c>
    </row>
    <row r="1705" spans="1:4" x14ac:dyDescent="0.2">
      <c r="A1705" s="516">
        <v>44753</v>
      </c>
      <c r="B1705" s="493">
        <f t="shared" si="23"/>
        <v>347173.37</v>
      </c>
      <c r="C1705" s="493">
        <f t="shared" si="24"/>
        <v>346973.37</v>
      </c>
      <c r="D1705" s="751">
        <v>200</v>
      </c>
    </row>
    <row r="1706" spans="1:4" x14ac:dyDescent="0.2">
      <c r="A1706" s="516">
        <v>44754</v>
      </c>
      <c r="B1706" s="493">
        <f t="shared" si="23"/>
        <v>347422.37</v>
      </c>
      <c r="C1706" s="493">
        <v>347222.37</v>
      </c>
      <c r="D1706" s="751">
        <v>200</v>
      </c>
    </row>
    <row r="1707" spans="1:4" x14ac:dyDescent="0.2">
      <c r="A1707" s="516">
        <v>44755</v>
      </c>
      <c r="B1707" s="493">
        <f t="shared" si="23"/>
        <v>347422.37</v>
      </c>
      <c r="C1707" s="493">
        <f t="shared" si="24"/>
        <v>347222.37</v>
      </c>
      <c r="D1707" s="751">
        <v>200</v>
      </c>
    </row>
    <row r="1708" spans="1:4" x14ac:dyDescent="0.2">
      <c r="A1708" s="516">
        <v>44756</v>
      </c>
      <c r="B1708" s="493">
        <f t="shared" si="23"/>
        <v>353674.1</v>
      </c>
      <c r="C1708" s="493">
        <v>353474.1</v>
      </c>
      <c r="D1708" s="751">
        <v>200</v>
      </c>
    </row>
    <row r="1709" spans="1:4" x14ac:dyDescent="0.2">
      <c r="A1709" s="516">
        <v>44757</v>
      </c>
      <c r="B1709" s="493">
        <f t="shared" si="23"/>
        <v>355815.56</v>
      </c>
      <c r="C1709" s="493">
        <v>355615.56</v>
      </c>
      <c r="D1709" s="751">
        <v>200</v>
      </c>
    </row>
    <row r="1710" spans="1:4" x14ac:dyDescent="0.2">
      <c r="A1710" s="516">
        <v>44760</v>
      </c>
      <c r="B1710" s="493">
        <f t="shared" si="23"/>
        <v>319836.78000000003</v>
      </c>
      <c r="C1710" s="493">
        <v>319636.78000000003</v>
      </c>
      <c r="D1710" s="751">
        <v>200</v>
      </c>
    </row>
    <row r="1711" spans="1:4" x14ac:dyDescent="0.2">
      <c r="A1711" s="516">
        <v>44761</v>
      </c>
      <c r="B1711" s="493">
        <f t="shared" si="23"/>
        <v>296807.06</v>
      </c>
      <c r="C1711" s="493">
        <v>296607.06</v>
      </c>
      <c r="D1711" s="751">
        <v>200</v>
      </c>
    </row>
    <row r="1712" spans="1:4" x14ac:dyDescent="0.2">
      <c r="A1712" s="516">
        <v>44762</v>
      </c>
      <c r="B1712" s="493">
        <f t="shared" si="23"/>
        <v>296807.06</v>
      </c>
      <c r="C1712" s="493">
        <f t="shared" ref="C1712:C1774" si="25">C1711</f>
        <v>296607.06</v>
      </c>
      <c r="D1712" s="751">
        <v>200</v>
      </c>
    </row>
    <row r="1713" spans="1:4" x14ac:dyDescent="0.2">
      <c r="A1713" s="516">
        <v>44763</v>
      </c>
      <c r="B1713" s="493">
        <f t="shared" si="23"/>
        <v>291257.96000000002</v>
      </c>
      <c r="C1713" s="493">
        <v>291057.96000000002</v>
      </c>
      <c r="D1713" s="751">
        <v>200</v>
      </c>
    </row>
    <row r="1714" spans="1:4" x14ac:dyDescent="0.2">
      <c r="A1714" s="516">
        <v>44764</v>
      </c>
      <c r="B1714" s="493">
        <f t="shared" si="23"/>
        <v>290782.98</v>
      </c>
      <c r="C1714" s="493">
        <v>290582.98</v>
      </c>
      <c r="D1714" s="751">
        <v>200</v>
      </c>
    </row>
    <row r="1715" spans="1:4" x14ac:dyDescent="0.2">
      <c r="A1715" s="516">
        <v>44767</v>
      </c>
      <c r="B1715" s="493">
        <f t="shared" si="23"/>
        <v>290782.98</v>
      </c>
      <c r="C1715" s="493">
        <f t="shared" si="25"/>
        <v>290582.98</v>
      </c>
      <c r="D1715" s="751">
        <v>200</v>
      </c>
    </row>
    <row r="1716" spans="1:4" x14ac:dyDescent="0.2">
      <c r="A1716" s="516">
        <v>44768</v>
      </c>
      <c r="B1716" s="493">
        <f t="shared" si="23"/>
        <v>290754.14</v>
      </c>
      <c r="C1716" s="493">
        <v>290554.14</v>
      </c>
      <c r="D1716" s="751">
        <v>200</v>
      </c>
    </row>
    <row r="1717" spans="1:4" x14ac:dyDescent="0.2">
      <c r="A1717" s="516">
        <v>44769</v>
      </c>
      <c r="B1717" s="493">
        <f t="shared" si="23"/>
        <v>290450.96000000002</v>
      </c>
      <c r="C1717" s="493">
        <v>290250.96000000002</v>
      </c>
      <c r="D1717" s="751">
        <v>200</v>
      </c>
    </row>
    <row r="1718" spans="1:4" x14ac:dyDescent="0.2">
      <c r="A1718" s="516">
        <v>44770</v>
      </c>
      <c r="B1718" s="493">
        <f t="shared" si="23"/>
        <v>282840.40000000002</v>
      </c>
      <c r="C1718" s="493">
        <v>282640.40000000002</v>
      </c>
      <c r="D1718" s="751">
        <v>200</v>
      </c>
    </row>
    <row r="1719" spans="1:4" x14ac:dyDescent="0.2">
      <c r="A1719" s="516">
        <v>44771</v>
      </c>
      <c r="B1719" s="493">
        <f t="shared" si="23"/>
        <v>318945.52</v>
      </c>
      <c r="C1719" s="493">
        <v>318745.52</v>
      </c>
      <c r="D1719" s="751">
        <v>200</v>
      </c>
    </row>
    <row r="1720" spans="1:4" x14ac:dyDescent="0.2">
      <c r="A1720" s="516">
        <v>44774</v>
      </c>
      <c r="B1720" s="493">
        <f t="shared" si="23"/>
        <v>318945.52</v>
      </c>
      <c r="C1720" s="493">
        <f t="shared" si="25"/>
        <v>318745.52</v>
      </c>
      <c r="D1720" s="751">
        <v>200</v>
      </c>
    </row>
    <row r="1721" spans="1:4" x14ac:dyDescent="0.2">
      <c r="A1721" s="516">
        <v>44775</v>
      </c>
      <c r="B1721" s="493">
        <f t="shared" si="23"/>
        <v>278401.03999999998</v>
      </c>
      <c r="C1721" s="493">
        <v>278201.03999999998</v>
      </c>
      <c r="D1721" s="751">
        <v>200</v>
      </c>
    </row>
    <row r="1722" spans="1:4" x14ac:dyDescent="0.2">
      <c r="A1722" s="516">
        <v>44776</v>
      </c>
      <c r="B1722" s="493">
        <f t="shared" si="23"/>
        <v>277801.03999999998</v>
      </c>
      <c r="C1722" s="493">
        <v>277601.03999999998</v>
      </c>
      <c r="D1722" s="751">
        <v>200</v>
      </c>
    </row>
    <row r="1723" spans="1:4" x14ac:dyDescent="0.2">
      <c r="A1723" s="516">
        <v>44777</v>
      </c>
      <c r="B1723" s="493">
        <f t="shared" si="23"/>
        <v>277801.03999999998</v>
      </c>
      <c r="C1723" s="493">
        <f t="shared" si="25"/>
        <v>277601.03999999998</v>
      </c>
      <c r="D1723" s="751">
        <v>200</v>
      </c>
    </row>
    <row r="1724" spans="1:4" x14ac:dyDescent="0.2">
      <c r="A1724" s="516">
        <v>44778</v>
      </c>
      <c r="B1724" s="493">
        <f t="shared" si="23"/>
        <v>277326.06</v>
      </c>
      <c r="C1724" s="493">
        <v>277126.06</v>
      </c>
      <c r="D1724" s="751">
        <v>200</v>
      </c>
    </row>
    <row r="1725" spans="1:4" x14ac:dyDescent="0.2">
      <c r="A1725" s="516">
        <v>44781</v>
      </c>
      <c r="B1725" s="493">
        <f t="shared" si="23"/>
        <v>277326.06</v>
      </c>
      <c r="C1725" s="493">
        <f t="shared" si="25"/>
        <v>277126.06</v>
      </c>
      <c r="D1725" s="751">
        <v>200</v>
      </c>
    </row>
    <row r="1726" spans="1:4" x14ac:dyDescent="0.2">
      <c r="A1726" s="516">
        <v>44782</v>
      </c>
      <c r="B1726" s="493">
        <f t="shared" si="23"/>
        <v>254730.8</v>
      </c>
      <c r="C1726" s="493">
        <v>254530.8</v>
      </c>
      <c r="D1726" s="751">
        <v>200</v>
      </c>
    </row>
    <row r="1727" spans="1:4" x14ac:dyDescent="0.2">
      <c r="A1727" s="516">
        <v>44783</v>
      </c>
      <c r="B1727" s="493">
        <f t="shared" si="23"/>
        <v>254730.8</v>
      </c>
      <c r="C1727" s="493">
        <f t="shared" si="25"/>
        <v>254530.8</v>
      </c>
      <c r="D1727" s="751">
        <v>200</v>
      </c>
    </row>
    <row r="1728" spans="1:4" x14ac:dyDescent="0.2">
      <c r="A1728" s="516">
        <v>44784</v>
      </c>
      <c r="B1728" s="493">
        <f t="shared" si="23"/>
        <v>277867.62</v>
      </c>
      <c r="C1728" s="493">
        <v>277667.62</v>
      </c>
      <c r="D1728" s="751">
        <v>200</v>
      </c>
    </row>
    <row r="1729" spans="1:4" x14ac:dyDescent="0.2">
      <c r="A1729" s="516">
        <v>44785</v>
      </c>
      <c r="B1729" s="493">
        <f t="shared" si="23"/>
        <v>278679.81</v>
      </c>
      <c r="C1729" s="493">
        <v>278479.81</v>
      </c>
      <c r="D1729" s="751">
        <v>200</v>
      </c>
    </row>
    <row r="1730" spans="1:4" x14ac:dyDescent="0.2">
      <c r="A1730" s="516">
        <v>44788</v>
      </c>
      <c r="B1730" s="493">
        <f t="shared" si="23"/>
        <v>278711.32</v>
      </c>
      <c r="C1730" s="493">
        <v>278511.32</v>
      </c>
      <c r="D1730" s="751">
        <v>200</v>
      </c>
    </row>
    <row r="1731" spans="1:4" x14ac:dyDescent="0.2">
      <c r="A1731" s="516">
        <v>44789</v>
      </c>
      <c r="B1731" s="493">
        <f t="shared" si="23"/>
        <v>238555.14</v>
      </c>
      <c r="C1731" s="493">
        <v>238355.14</v>
      </c>
      <c r="D1731" s="751">
        <v>200</v>
      </c>
    </row>
    <row r="1732" spans="1:4" x14ac:dyDescent="0.2">
      <c r="A1732" s="516">
        <v>44790</v>
      </c>
      <c r="B1732" s="493">
        <f t="shared" si="23"/>
        <v>238555.14</v>
      </c>
      <c r="C1732" s="493">
        <f t="shared" si="25"/>
        <v>238355.14</v>
      </c>
      <c r="D1732" s="751">
        <v>200</v>
      </c>
    </row>
    <row r="1733" spans="1:4" x14ac:dyDescent="0.2">
      <c r="A1733" s="516">
        <v>44791</v>
      </c>
      <c r="B1733" s="493">
        <f t="shared" si="23"/>
        <v>238555.14</v>
      </c>
      <c r="C1733" s="493">
        <f t="shared" si="25"/>
        <v>238355.14</v>
      </c>
      <c r="D1733" s="751">
        <v>200</v>
      </c>
    </row>
    <row r="1734" spans="1:4" x14ac:dyDescent="0.2">
      <c r="A1734" s="516">
        <v>44792</v>
      </c>
      <c r="B1734" s="493">
        <f t="shared" si="23"/>
        <v>227371.3</v>
      </c>
      <c r="C1734" s="493">
        <v>227171.3</v>
      </c>
      <c r="D1734" s="751">
        <v>200</v>
      </c>
    </row>
    <row r="1735" spans="1:4" x14ac:dyDescent="0.2">
      <c r="A1735" s="516">
        <v>44795</v>
      </c>
      <c r="B1735" s="493">
        <f t="shared" si="23"/>
        <v>227907.61</v>
      </c>
      <c r="C1735" s="493">
        <v>227707.61</v>
      </c>
      <c r="D1735" s="751">
        <v>200</v>
      </c>
    </row>
    <row r="1736" spans="1:4" x14ac:dyDescent="0.2">
      <c r="A1736" s="516">
        <v>44796</v>
      </c>
      <c r="B1736" s="493">
        <f t="shared" si="23"/>
        <v>227907.61</v>
      </c>
      <c r="C1736" s="493">
        <f t="shared" si="25"/>
        <v>227707.61</v>
      </c>
      <c r="D1736" s="751">
        <v>200</v>
      </c>
    </row>
    <row r="1737" spans="1:4" x14ac:dyDescent="0.2">
      <c r="A1737" s="516">
        <v>44797</v>
      </c>
      <c r="B1737" s="493">
        <f t="shared" si="23"/>
        <v>250036.67</v>
      </c>
      <c r="C1737" s="493">
        <v>249836.67</v>
      </c>
      <c r="D1737" s="751">
        <v>200</v>
      </c>
    </row>
    <row r="1738" spans="1:4" x14ac:dyDescent="0.2">
      <c r="A1738" s="516">
        <v>44798</v>
      </c>
      <c r="B1738" s="493">
        <f t="shared" si="23"/>
        <v>255964.71</v>
      </c>
      <c r="C1738" s="493">
        <v>255764.71</v>
      </c>
      <c r="D1738" s="751">
        <v>200</v>
      </c>
    </row>
    <row r="1739" spans="1:4" x14ac:dyDescent="0.2">
      <c r="A1739" s="516">
        <v>44799</v>
      </c>
      <c r="B1739" s="493">
        <f t="shared" si="23"/>
        <v>315493.2</v>
      </c>
      <c r="C1739" s="493">
        <v>315293.2</v>
      </c>
      <c r="D1739" s="751">
        <v>200</v>
      </c>
    </row>
    <row r="1740" spans="1:4" x14ac:dyDescent="0.2">
      <c r="A1740" s="516">
        <v>44802</v>
      </c>
      <c r="B1740" s="493">
        <f t="shared" si="23"/>
        <v>315493.2</v>
      </c>
      <c r="C1740" s="493">
        <f t="shared" si="25"/>
        <v>315293.2</v>
      </c>
      <c r="D1740" s="751">
        <v>200</v>
      </c>
    </row>
    <row r="1741" spans="1:4" x14ac:dyDescent="0.2">
      <c r="A1741" s="516">
        <v>44803</v>
      </c>
      <c r="B1741" s="493">
        <f t="shared" si="23"/>
        <v>332334.94</v>
      </c>
      <c r="C1741" s="493">
        <v>332134.94</v>
      </c>
      <c r="D1741" s="751">
        <v>200</v>
      </c>
    </row>
    <row r="1742" spans="1:4" x14ac:dyDescent="0.2">
      <c r="A1742" s="516">
        <v>44804</v>
      </c>
      <c r="B1742" s="493">
        <f t="shared" si="23"/>
        <v>332334.94</v>
      </c>
      <c r="C1742" s="493">
        <f t="shared" si="25"/>
        <v>332134.94</v>
      </c>
      <c r="D1742" s="751">
        <v>200</v>
      </c>
    </row>
    <row r="1743" spans="1:4" x14ac:dyDescent="0.2">
      <c r="A1743" s="516">
        <v>44805</v>
      </c>
      <c r="B1743" s="493">
        <f t="shared" si="23"/>
        <v>370869.56</v>
      </c>
      <c r="C1743" s="493">
        <v>370669.56</v>
      </c>
      <c r="D1743" s="751">
        <v>200</v>
      </c>
    </row>
    <row r="1744" spans="1:4" x14ac:dyDescent="0.2">
      <c r="A1744" s="516">
        <v>44806</v>
      </c>
      <c r="B1744" s="493">
        <f t="shared" si="23"/>
        <v>370394.58</v>
      </c>
      <c r="C1744" s="493">
        <v>370194.58</v>
      </c>
      <c r="D1744" s="751">
        <v>200</v>
      </c>
    </row>
    <row r="1745" spans="1:4" x14ac:dyDescent="0.2">
      <c r="A1745" s="516">
        <v>44809</v>
      </c>
      <c r="B1745" s="493">
        <f t="shared" si="23"/>
        <v>370394.58</v>
      </c>
      <c r="C1745" s="493">
        <f t="shared" si="25"/>
        <v>370194.58</v>
      </c>
      <c r="D1745" s="751">
        <v>200</v>
      </c>
    </row>
    <row r="1746" spans="1:4" x14ac:dyDescent="0.2">
      <c r="A1746" s="516">
        <v>44810</v>
      </c>
      <c r="B1746" s="493">
        <f t="shared" si="23"/>
        <v>346842.59</v>
      </c>
      <c r="C1746" s="493">
        <v>346642.59</v>
      </c>
      <c r="D1746" s="751">
        <v>200</v>
      </c>
    </row>
    <row r="1747" spans="1:4" x14ac:dyDescent="0.2">
      <c r="A1747" s="516">
        <v>44811</v>
      </c>
      <c r="B1747" s="493">
        <f t="shared" si="23"/>
        <v>346842.59</v>
      </c>
      <c r="C1747" s="493">
        <f t="shared" si="25"/>
        <v>346642.59</v>
      </c>
      <c r="D1747" s="751">
        <v>200</v>
      </c>
    </row>
    <row r="1748" spans="1:4" x14ac:dyDescent="0.2">
      <c r="A1748" s="516">
        <v>44812</v>
      </c>
      <c r="B1748" s="493">
        <f t="shared" si="23"/>
        <v>346842.59</v>
      </c>
      <c r="C1748" s="493">
        <f t="shared" si="25"/>
        <v>346642.59</v>
      </c>
      <c r="D1748" s="751">
        <v>200</v>
      </c>
    </row>
    <row r="1749" spans="1:4" x14ac:dyDescent="0.2">
      <c r="A1749" s="516">
        <v>44813</v>
      </c>
      <c r="B1749" s="493">
        <f t="shared" si="23"/>
        <v>347076.59</v>
      </c>
      <c r="C1749" s="493">
        <v>346876.59</v>
      </c>
      <c r="D1749" s="751">
        <v>200</v>
      </c>
    </row>
    <row r="1750" spans="1:4" x14ac:dyDescent="0.2">
      <c r="A1750" s="516">
        <v>44816</v>
      </c>
      <c r="B1750" s="493">
        <f t="shared" si="23"/>
        <v>308665.48</v>
      </c>
      <c r="C1750" s="493">
        <v>308465.48</v>
      </c>
      <c r="D1750" s="751">
        <v>200</v>
      </c>
    </row>
    <row r="1751" spans="1:4" x14ac:dyDescent="0.2">
      <c r="A1751" s="516">
        <v>44817</v>
      </c>
      <c r="B1751" s="493">
        <f t="shared" si="23"/>
        <v>308665.48</v>
      </c>
      <c r="C1751" s="493">
        <f t="shared" si="25"/>
        <v>308465.48</v>
      </c>
      <c r="D1751" s="751">
        <v>200</v>
      </c>
    </row>
    <row r="1752" spans="1:4" x14ac:dyDescent="0.2">
      <c r="A1752" s="516">
        <v>44818</v>
      </c>
      <c r="B1752" s="493">
        <f t="shared" si="23"/>
        <v>320782.46999999997</v>
      </c>
      <c r="C1752" s="493">
        <v>320582.46999999997</v>
      </c>
      <c r="D1752" s="751">
        <v>200</v>
      </c>
    </row>
    <row r="1753" spans="1:4" x14ac:dyDescent="0.2">
      <c r="A1753" s="516">
        <v>44819</v>
      </c>
      <c r="B1753" s="493">
        <f t="shared" si="23"/>
        <v>317911.17</v>
      </c>
      <c r="C1753" s="493">
        <v>317711.17</v>
      </c>
      <c r="D1753" s="751">
        <v>200</v>
      </c>
    </row>
    <row r="1754" spans="1:4" x14ac:dyDescent="0.2">
      <c r="A1754" s="516">
        <v>44820</v>
      </c>
      <c r="B1754" s="493">
        <f t="shared" si="23"/>
        <v>317436.19</v>
      </c>
      <c r="C1754" s="493">
        <v>317236.19</v>
      </c>
      <c r="D1754" s="751">
        <v>200</v>
      </c>
    </row>
    <row r="1755" spans="1:4" x14ac:dyDescent="0.2">
      <c r="A1755" s="516">
        <v>44823</v>
      </c>
      <c r="B1755" s="493">
        <f t="shared" si="23"/>
        <v>317436.19</v>
      </c>
      <c r="C1755" s="493">
        <f t="shared" si="25"/>
        <v>317236.19</v>
      </c>
      <c r="D1755" s="751">
        <v>200</v>
      </c>
    </row>
    <row r="1756" spans="1:4" x14ac:dyDescent="0.2">
      <c r="A1756" s="516">
        <v>44824</v>
      </c>
      <c r="B1756" s="493">
        <f t="shared" si="23"/>
        <v>428386.24</v>
      </c>
      <c r="C1756" s="493">
        <v>428186.24</v>
      </c>
      <c r="D1756" s="751">
        <v>200</v>
      </c>
    </row>
    <row r="1757" spans="1:4" x14ac:dyDescent="0.2">
      <c r="A1757" s="516">
        <v>44825</v>
      </c>
      <c r="B1757" s="493">
        <f t="shared" si="23"/>
        <v>428386.24</v>
      </c>
      <c r="C1757" s="493">
        <f t="shared" si="25"/>
        <v>428186.24</v>
      </c>
      <c r="D1757" s="751">
        <v>200</v>
      </c>
    </row>
    <row r="1758" spans="1:4" x14ac:dyDescent="0.2">
      <c r="A1758" s="516">
        <v>44826</v>
      </c>
      <c r="B1758" s="493">
        <f t="shared" si="23"/>
        <v>425851.86</v>
      </c>
      <c r="C1758" s="493">
        <v>425651.86</v>
      </c>
      <c r="D1758" s="751">
        <v>200</v>
      </c>
    </row>
    <row r="1759" spans="1:4" x14ac:dyDescent="0.2">
      <c r="A1759" s="516">
        <v>44827</v>
      </c>
      <c r="B1759" s="493">
        <f t="shared" si="23"/>
        <v>453679.91</v>
      </c>
      <c r="C1759" s="493">
        <v>453479.91</v>
      </c>
      <c r="D1759" s="751">
        <v>200</v>
      </c>
    </row>
    <row r="1760" spans="1:4" x14ac:dyDescent="0.2">
      <c r="A1760" s="516">
        <v>44830</v>
      </c>
      <c r="B1760" s="493">
        <f t="shared" si="23"/>
        <v>412431.05</v>
      </c>
      <c r="C1760" s="493">
        <v>412231.05</v>
      </c>
      <c r="D1760" s="751">
        <v>200</v>
      </c>
    </row>
    <row r="1761" spans="1:4" x14ac:dyDescent="0.2">
      <c r="A1761" s="516">
        <v>44831</v>
      </c>
      <c r="B1761" s="493">
        <f t="shared" si="23"/>
        <v>412402.21</v>
      </c>
      <c r="C1761" s="493">
        <v>412202.21</v>
      </c>
      <c r="D1761" s="751">
        <v>200</v>
      </c>
    </row>
    <row r="1762" spans="1:4" x14ac:dyDescent="0.2">
      <c r="A1762" s="516">
        <v>44832</v>
      </c>
      <c r="B1762" s="493">
        <f t="shared" si="23"/>
        <v>417372.63</v>
      </c>
      <c r="C1762" s="493">
        <v>417172.63</v>
      </c>
      <c r="D1762" s="751">
        <v>200</v>
      </c>
    </row>
    <row r="1763" spans="1:4" x14ac:dyDescent="0.2">
      <c r="A1763" s="516">
        <v>44833</v>
      </c>
      <c r="B1763" s="493">
        <f t="shared" si="23"/>
        <v>415449.23</v>
      </c>
      <c r="C1763" s="493">
        <v>415249.23</v>
      </c>
      <c r="D1763" s="751">
        <v>200</v>
      </c>
    </row>
    <row r="1764" spans="1:4" x14ac:dyDescent="0.2">
      <c r="A1764" s="516">
        <v>44834</v>
      </c>
      <c r="B1764" s="493">
        <f t="shared" si="23"/>
        <v>435708</v>
      </c>
      <c r="C1764" s="493">
        <v>435508</v>
      </c>
      <c r="D1764" s="751">
        <v>200</v>
      </c>
    </row>
    <row r="1765" spans="1:4" x14ac:dyDescent="0.2">
      <c r="A1765" s="516">
        <v>44835</v>
      </c>
      <c r="B1765" s="493">
        <f t="shared" si="23"/>
        <v>435708</v>
      </c>
      <c r="C1765" s="493">
        <f t="shared" si="25"/>
        <v>435508</v>
      </c>
      <c r="D1765" s="751">
        <v>200</v>
      </c>
    </row>
    <row r="1766" spans="1:4" x14ac:dyDescent="0.2">
      <c r="A1766" s="516">
        <v>44836</v>
      </c>
      <c r="B1766" s="493">
        <f t="shared" si="23"/>
        <v>435708</v>
      </c>
      <c r="C1766" s="493">
        <f t="shared" si="25"/>
        <v>435508</v>
      </c>
      <c r="D1766" s="751">
        <v>200</v>
      </c>
    </row>
    <row r="1767" spans="1:4" x14ac:dyDescent="0.2">
      <c r="A1767" s="516">
        <v>44837</v>
      </c>
      <c r="B1767" s="493">
        <f t="shared" si="23"/>
        <v>435708</v>
      </c>
      <c r="C1767" s="493">
        <f t="shared" si="25"/>
        <v>435508</v>
      </c>
      <c r="D1767" s="751">
        <v>200</v>
      </c>
    </row>
    <row r="1768" spans="1:4" x14ac:dyDescent="0.2">
      <c r="A1768" s="516">
        <v>44838</v>
      </c>
      <c r="B1768" s="493">
        <f t="shared" si="23"/>
        <v>435708</v>
      </c>
      <c r="C1768" s="493">
        <f t="shared" si="25"/>
        <v>435508</v>
      </c>
      <c r="D1768" s="751">
        <v>200</v>
      </c>
    </row>
    <row r="1769" spans="1:4" x14ac:dyDescent="0.2">
      <c r="A1769" s="516">
        <v>44839</v>
      </c>
      <c r="B1769" s="493">
        <f t="shared" si="23"/>
        <v>436040</v>
      </c>
      <c r="C1769" s="493">
        <v>435840</v>
      </c>
      <c r="D1769" s="751">
        <v>200</v>
      </c>
    </row>
    <row r="1770" spans="1:4" x14ac:dyDescent="0.2">
      <c r="A1770" s="516">
        <v>44840</v>
      </c>
      <c r="B1770" s="493">
        <f t="shared" si="23"/>
        <v>427559.36</v>
      </c>
      <c r="C1770" s="493">
        <v>427359.36</v>
      </c>
      <c r="D1770" s="751">
        <v>200</v>
      </c>
    </row>
    <row r="1771" spans="1:4" x14ac:dyDescent="0.2">
      <c r="A1771" s="516">
        <v>44841</v>
      </c>
      <c r="B1771" s="493">
        <f t="shared" si="23"/>
        <v>427559.36</v>
      </c>
      <c r="C1771" s="493">
        <f t="shared" si="25"/>
        <v>427359.36</v>
      </c>
      <c r="D1771" s="751">
        <v>200</v>
      </c>
    </row>
    <row r="1772" spans="1:4" x14ac:dyDescent="0.2">
      <c r="A1772" s="516">
        <v>44844</v>
      </c>
      <c r="B1772" s="493">
        <f t="shared" si="23"/>
        <v>427559.36</v>
      </c>
      <c r="C1772" s="493">
        <f t="shared" si="25"/>
        <v>427359.36</v>
      </c>
      <c r="D1772" s="751">
        <v>200</v>
      </c>
    </row>
    <row r="1773" spans="1:4" x14ac:dyDescent="0.2">
      <c r="A1773" s="516">
        <v>44845</v>
      </c>
      <c r="B1773" s="493">
        <f t="shared" si="23"/>
        <v>388161.54</v>
      </c>
      <c r="C1773" s="493">
        <v>387961.54</v>
      </c>
      <c r="D1773" s="751">
        <v>200</v>
      </c>
    </row>
    <row r="1774" spans="1:4" x14ac:dyDescent="0.2">
      <c r="A1774" s="516">
        <v>44846</v>
      </c>
      <c r="B1774" s="493">
        <f t="shared" si="23"/>
        <v>388161.54</v>
      </c>
      <c r="C1774" s="493">
        <f t="shared" si="25"/>
        <v>387961.54</v>
      </c>
      <c r="D1774" s="751">
        <v>200</v>
      </c>
    </row>
    <row r="1775" spans="1:4" x14ac:dyDescent="0.2">
      <c r="A1775" s="516">
        <v>44847</v>
      </c>
      <c r="B1775" s="493">
        <f t="shared" si="23"/>
        <v>381514.53</v>
      </c>
      <c r="C1775" s="493">
        <v>381314.53</v>
      </c>
      <c r="D1775" s="751">
        <v>200</v>
      </c>
    </row>
    <row r="1776" spans="1:4" x14ac:dyDescent="0.2">
      <c r="A1776" s="516">
        <v>44848</v>
      </c>
      <c r="B1776" s="493">
        <f t="shared" si="23"/>
        <v>389507.01</v>
      </c>
      <c r="C1776" s="493">
        <v>389307.01</v>
      </c>
      <c r="D1776" s="751">
        <v>200</v>
      </c>
    </row>
    <row r="1777" spans="1:4" x14ac:dyDescent="0.2">
      <c r="A1777" s="516">
        <v>44849</v>
      </c>
      <c r="B1777" s="493">
        <f t="shared" si="23"/>
        <v>389507.01</v>
      </c>
      <c r="C1777" s="493">
        <f t="shared" ref="C1777:C1840" si="26">C1776</f>
        <v>389307.01</v>
      </c>
      <c r="D1777" s="751">
        <v>200</v>
      </c>
    </row>
    <row r="1778" spans="1:4" x14ac:dyDescent="0.2">
      <c r="A1778" s="516">
        <v>44850</v>
      </c>
      <c r="B1778" s="493">
        <f t="shared" si="23"/>
        <v>389507.01</v>
      </c>
      <c r="C1778" s="493">
        <f t="shared" si="26"/>
        <v>389307.01</v>
      </c>
      <c r="D1778" s="751">
        <v>200</v>
      </c>
    </row>
    <row r="1779" spans="1:4" x14ac:dyDescent="0.2">
      <c r="A1779" s="516">
        <v>44851</v>
      </c>
      <c r="B1779" s="493">
        <f t="shared" si="23"/>
        <v>414035.71</v>
      </c>
      <c r="C1779" s="493">
        <v>413835.71</v>
      </c>
      <c r="D1779" s="751">
        <v>200</v>
      </c>
    </row>
    <row r="1780" spans="1:4" x14ac:dyDescent="0.2">
      <c r="A1780" s="516">
        <v>44852</v>
      </c>
      <c r="B1780" s="493">
        <f t="shared" si="23"/>
        <v>413985.71</v>
      </c>
      <c r="C1780" s="493">
        <v>413785.71</v>
      </c>
      <c r="D1780" s="751">
        <v>200</v>
      </c>
    </row>
    <row r="1781" spans="1:4" x14ac:dyDescent="0.2">
      <c r="A1781" s="516">
        <v>44853</v>
      </c>
      <c r="B1781" s="493">
        <f t="shared" si="23"/>
        <v>413985.71</v>
      </c>
      <c r="C1781" s="493">
        <f t="shared" si="26"/>
        <v>413785.71</v>
      </c>
      <c r="D1781" s="751">
        <v>200</v>
      </c>
    </row>
    <row r="1782" spans="1:4" x14ac:dyDescent="0.2">
      <c r="A1782" s="516">
        <v>44854</v>
      </c>
      <c r="B1782" s="493">
        <f t="shared" si="23"/>
        <v>411319.14</v>
      </c>
      <c r="C1782" s="493">
        <v>411119.14</v>
      </c>
      <c r="D1782" s="751">
        <v>200</v>
      </c>
    </row>
    <row r="1783" spans="1:4" x14ac:dyDescent="0.2">
      <c r="A1783" s="516">
        <v>44855</v>
      </c>
      <c r="B1783" s="493">
        <f t="shared" si="23"/>
        <v>411160.29</v>
      </c>
      <c r="C1783" s="493">
        <v>410960.29</v>
      </c>
      <c r="D1783" s="751">
        <v>200</v>
      </c>
    </row>
    <row r="1784" spans="1:4" x14ac:dyDescent="0.2">
      <c r="A1784" s="516">
        <v>44856</v>
      </c>
      <c r="B1784" s="493">
        <f t="shared" si="23"/>
        <v>411160.29</v>
      </c>
      <c r="C1784" s="493">
        <f t="shared" si="26"/>
        <v>410960.29</v>
      </c>
      <c r="D1784" s="751">
        <v>200</v>
      </c>
    </row>
    <row r="1785" spans="1:4" x14ac:dyDescent="0.2">
      <c r="A1785" s="516">
        <v>44857</v>
      </c>
      <c r="B1785" s="493">
        <f t="shared" si="23"/>
        <v>411160.29</v>
      </c>
      <c r="C1785" s="493">
        <f t="shared" si="26"/>
        <v>410960.29</v>
      </c>
      <c r="D1785" s="751">
        <v>200</v>
      </c>
    </row>
    <row r="1786" spans="1:4" x14ac:dyDescent="0.2">
      <c r="A1786" s="516">
        <v>44858</v>
      </c>
      <c r="B1786" s="493">
        <f t="shared" si="23"/>
        <v>372476.51</v>
      </c>
      <c r="C1786" s="493">
        <v>372276.51</v>
      </c>
      <c r="D1786" s="751">
        <v>200</v>
      </c>
    </row>
    <row r="1787" spans="1:4" x14ac:dyDescent="0.2">
      <c r="A1787" s="516">
        <v>44859</v>
      </c>
      <c r="B1787" s="493">
        <f t="shared" si="23"/>
        <v>376660.01</v>
      </c>
      <c r="C1787" s="493">
        <v>376460.01</v>
      </c>
      <c r="D1787" s="751">
        <v>200</v>
      </c>
    </row>
    <row r="1788" spans="1:4" x14ac:dyDescent="0.2">
      <c r="A1788" s="516">
        <v>44860</v>
      </c>
      <c r="B1788" s="493">
        <f t="shared" si="23"/>
        <v>397613.66</v>
      </c>
      <c r="C1788" s="493">
        <v>397413.66</v>
      </c>
      <c r="D1788" s="751">
        <v>200</v>
      </c>
    </row>
    <row r="1789" spans="1:4" x14ac:dyDescent="0.2">
      <c r="A1789" s="516">
        <v>44861</v>
      </c>
      <c r="B1789" s="493">
        <f t="shared" si="23"/>
        <v>387878.55</v>
      </c>
      <c r="C1789" s="493">
        <v>387678.55</v>
      </c>
      <c r="D1789" s="751">
        <v>200</v>
      </c>
    </row>
    <row r="1790" spans="1:4" x14ac:dyDescent="0.2">
      <c r="A1790" s="516">
        <v>44862</v>
      </c>
      <c r="B1790" s="493">
        <f t="shared" si="23"/>
        <v>387403.57</v>
      </c>
      <c r="C1790" s="493">
        <v>387203.57</v>
      </c>
      <c r="D1790" s="751">
        <v>200</v>
      </c>
    </row>
    <row r="1791" spans="1:4" x14ac:dyDescent="0.2">
      <c r="A1791" s="516">
        <v>44863</v>
      </c>
      <c r="B1791" s="493">
        <f t="shared" si="23"/>
        <v>387403.57</v>
      </c>
      <c r="C1791" s="493">
        <f t="shared" si="26"/>
        <v>387203.57</v>
      </c>
      <c r="D1791" s="751">
        <v>200</v>
      </c>
    </row>
    <row r="1792" spans="1:4" x14ac:dyDescent="0.2">
      <c r="A1792" s="516">
        <v>44864</v>
      </c>
      <c r="B1792" s="493">
        <f t="shared" si="23"/>
        <v>387403.57</v>
      </c>
      <c r="C1792" s="493">
        <f t="shared" si="26"/>
        <v>387203.57</v>
      </c>
      <c r="D1792" s="751">
        <v>200</v>
      </c>
    </row>
    <row r="1793" spans="1:4" x14ac:dyDescent="0.2">
      <c r="A1793" s="516">
        <v>44865</v>
      </c>
      <c r="B1793" s="493">
        <f t="shared" si="23"/>
        <v>417270.82</v>
      </c>
      <c r="C1793" s="493">
        <v>417070.82</v>
      </c>
      <c r="D1793" s="751">
        <v>200</v>
      </c>
    </row>
    <row r="1794" spans="1:4" x14ac:dyDescent="0.2">
      <c r="A1794" s="516">
        <v>44866</v>
      </c>
      <c r="B1794" s="493">
        <f t="shared" si="23"/>
        <v>417270.82</v>
      </c>
      <c r="C1794" s="493">
        <f t="shared" si="26"/>
        <v>417070.82</v>
      </c>
      <c r="D1794" s="751">
        <v>200</v>
      </c>
    </row>
    <row r="1795" spans="1:4" x14ac:dyDescent="0.2">
      <c r="A1795" s="516">
        <v>44867</v>
      </c>
      <c r="B1795" s="493">
        <f t="shared" si="23"/>
        <v>417270.82</v>
      </c>
      <c r="C1795" s="493">
        <f t="shared" si="26"/>
        <v>417070.82</v>
      </c>
      <c r="D1795" s="751">
        <v>200</v>
      </c>
    </row>
    <row r="1796" spans="1:4" x14ac:dyDescent="0.2">
      <c r="A1796" s="516">
        <v>44868</v>
      </c>
      <c r="B1796" s="493">
        <f t="shared" si="23"/>
        <v>411865.95</v>
      </c>
      <c r="C1796" s="493">
        <v>411665.95</v>
      </c>
      <c r="D1796" s="751">
        <v>200</v>
      </c>
    </row>
    <row r="1797" spans="1:4" x14ac:dyDescent="0.2">
      <c r="A1797" s="516">
        <v>44869</v>
      </c>
      <c r="B1797" s="493">
        <f t="shared" si="23"/>
        <v>411865.95</v>
      </c>
      <c r="C1797" s="493">
        <f t="shared" si="26"/>
        <v>411665.95</v>
      </c>
      <c r="D1797" s="751">
        <v>200</v>
      </c>
    </row>
    <row r="1798" spans="1:4" x14ac:dyDescent="0.2">
      <c r="A1798" s="516">
        <v>44870</v>
      </c>
      <c r="B1798" s="493">
        <f t="shared" si="23"/>
        <v>411865.95</v>
      </c>
      <c r="C1798" s="493">
        <f t="shared" si="26"/>
        <v>411665.95</v>
      </c>
      <c r="D1798" s="751">
        <v>200</v>
      </c>
    </row>
    <row r="1799" spans="1:4" x14ac:dyDescent="0.2">
      <c r="A1799" s="516">
        <v>44871</v>
      </c>
      <c r="B1799" s="493">
        <f t="shared" si="23"/>
        <v>411865.95</v>
      </c>
      <c r="C1799" s="493">
        <f t="shared" si="26"/>
        <v>411665.95</v>
      </c>
      <c r="D1799" s="751">
        <v>200</v>
      </c>
    </row>
    <row r="1800" spans="1:4" x14ac:dyDescent="0.2">
      <c r="A1800" s="516">
        <v>44872</v>
      </c>
      <c r="B1800" s="493">
        <f t="shared" si="23"/>
        <v>368529.24</v>
      </c>
      <c r="C1800" s="493">
        <v>368329.24</v>
      </c>
      <c r="D1800" s="751">
        <v>200</v>
      </c>
    </row>
    <row r="1801" spans="1:4" x14ac:dyDescent="0.2">
      <c r="A1801" s="516">
        <v>44873</v>
      </c>
      <c r="B1801" s="493">
        <f t="shared" si="23"/>
        <v>369146.24</v>
      </c>
      <c r="C1801" s="493">
        <v>368946.24</v>
      </c>
      <c r="D1801" s="751">
        <v>200</v>
      </c>
    </row>
    <row r="1802" spans="1:4" x14ac:dyDescent="0.2">
      <c r="A1802" s="516">
        <v>44874</v>
      </c>
      <c r="B1802" s="493">
        <f t="shared" ref="B1802:B1844" si="27">C1802+D1802</f>
        <v>369146.24</v>
      </c>
      <c r="C1802" s="493">
        <f t="shared" si="26"/>
        <v>368946.24</v>
      </c>
      <c r="D1802" s="751">
        <v>200</v>
      </c>
    </row>
    <row r="1803" spans="1:4" x14ac:dyDescent="0.2">
      <c r="A1803" s="516">
        <v>44875</v>
      </c>
      <c r="B1803" s="493">
        <f t="shared" si="27"/>
        <v>423875.79</v>
      </c>
      <c r="C1803" s="493">
        <v>423675.79</v>
      </c>
      <c r="D1803" s="751">
        <v>200</v>
      </c>
    </row>
    <row r="1804" spans="1:4" x14ac:dyDescent="0.2">
      <c r="A1804" s="516">
        <v>44876</v>
      </c>
      <c r="B1804" s="493">
        <f t="shared" si="27"/>
        <v>423875.79</v>
      </c>
      <c r="C1804" s="493">
        <f t="shared" si="26"/>
        <v>423675.79</v>
      </c>
      <c r="D1804" s="751">
        <v>200</v>
      </c>
    </row>
    <row r="1805" spans="1:4" x14ac:dyDescent="0.2">
      <c r="A1805" s="516">
        <v>44879</v>
      </c>
      <c r="B1805" s="493">
        <f t="shared" si="27"/>
        <v>423400.81</v>
      </c>
      <c r="C1805" s="493">
        <v>423200.81</v>
      </c>
      <c r="D1805" s="751">
        <v>200</v>
      </c>
    </row>
    <row r="1806" spans="1:4" x14ac:dyDescent="0.2">
      <c r="A1806" s="516">
        <v>44880</v>
      </c>
      <c r="B1806" s="493">
        <f t="shared" si="27"/>
        <v>423210.99</v>
      </c>
      <c r="C1806" s="493">
        <v>423010.99</v>
      </c>
      <c r="D1806" s="751">
        <v>200</v>
      </c>
    </row>
    <row r="1807" spans="1:4" x14ac:dyDescent="0.2">
      <c r="A1807" s="516">
        <v>44881</v>
      </c>
      <c r="B1807" s="493">
        <f t="shared" si="27"/>
        <v>473210.99</v>
      </c>
      <c r="C1807" s="493">
        <v>473010.99</v>
      </c>
      <c r="D1807" s="751">
        <v>200</v>
      </c>
    </row>
    <row r="1808" spans="1:4" x14ac:dyDescent="0.2">
      <c r="A1808" s="516">
        <v>44882</v>
      </c>
      <c r="B1808" s="493">
        <f t="shared" si="27"/>
        <v>470084.64</v>
      </c>
      <c r="C1808" s="493">
        <v>469884.64</v>
      </c>
      <c r="D1808" s="751">
        <v>200</v>
      </c>
    </row>
    <row r="1809" spans="1:4" x14ac:dyDescent="0.2">
      <c r="A1809" s="516">
        <v>44883</v>
      </c>
      <c r="B1809" s="493">
        <f t="shared" si="27"/>
        <v>470084.64</v>
      </c>
      <c r="C1809" s="493">
        <f t="shared" si="26"/>
        <v>469884.64</v>
      </c>
      <c r="D1809" s="751">
        <v>200</v>
      </c>
    </row>
    <row r="1810" spans="1:4" x14ac:dyDescent="0.2">
      <c r="A1810" s="516">
        <v>44886</v>
      </c>
      <c r="B1810" s="493">
        <f t="shared" si="27"/>
        <v>424767.46</v>
      </c>
      <c r="C1810" s="493">
        <v>424567.46</v>
      </c>
      <c r="D1810" s="751">
        <v>200</v>
      </c>
    </row>
    <row r="1811" spans="1:4" x14ac:dyDescent="0.2">
      <c r="A1811" s="516">
        <v>44887</v>
      </c>
      <c r="B1811" s="493">
        <f t="shared" si="27"/>
        <v>424767.46</v>
      </c>
      <c r="C1811" s="493">
        <f t="shared" si="26"/>
        <v>424567.46</v>
      </c>
      <c r="D1811" s="751">
        <v>200</v>
      </c>
    </row>
    <row r="1812" spans="1:4" x14ac:dyDescent="0.2">
      <c r="A1812" s="516">
        <v>44888</v>
      </c>
      <c r="B1812" s="493">
        <f t="shared" si="27"/>
        <v>424767.46</v>
      </c>
      <c r="C1812" s="493">
        <f t="shared" si="26"/>
        <v>424567.46</v>
      </c>
      <c r="D1812" s="751">
        <v>200</v>
      </c>
    </row>
    <row r="1813" spans="1:4" x14ac:dyDescent="0.2">
      <c r="A1813" s="516">
        <v>44889</v>
      </c>
      <c r="B1813" s="493">
        <f t="shared" si="27"/>
        <v>424767.46</v>
      </c>
      <c r="C1813" s="493">
        <f t="shared" si="26"/>
        <v>424567.46</v>
      </c>
      <c r="D1813" s="751">
        <v>200</v>
      </c>
    </row>
    <row r="1814" spans="1:4" x14ac:dyDescent="0.2">
      <c r="A1814" s="516">
        <v>44890</v>
      </c>
      <c r="B1814" s="493">
        <f t="shared" si="27"/>
        <v>442650.11</v>
      </c>
      <c r="C1814" s="493">
        <v>442450.11</v>
      </c>
      <c r="D1814" s="751">
        <v>200</v>
      </c>
    </row>
    <row r="1815" spans="1:4" x14ac:dyDescent="0.2">
      <c r="A1815" s="516">
        <v>44893</v>
      </c>
      <c r="B1815" s="493">
        <f t="shared" si="27"/>
        <v>442518.27</v>
      </c>
      <c r="C1815" s="493">
        <v>442318.27</v>
      </c>
      <c r="D1815" s="751">
        <v>200</v>
      </c>
    </row>
    <row r="1816" spans="1:4" x14ac:dyDescent="0.2">
      <c r="A1816" s="516">
        <v>44894</v>
      </c>
      <c r="B1816" s="493">
        <f t="shared" si="27"/>
        <v>442518.27</v>
      </c>
      <c r="C1816" s="493">
        <f t="shared" si="26"/>
        <v>442318.27</v>
      </c>
      <c r="D1816" s="751">
        <v>200</v>
      </c>
    </row>
    <row r="1817" spans="1:4" x14ac:dyDescent="0.2">
      <c r="A1817" s="516">
        <v>44895</v>
      </c>
      <c r="B1817" s="493">
        <f t="shared" si="27"/>
        <v>442518.27</v>
      </c>
      <c r="C1817" s="493">
        <f t="shared" si="26"/>
        <v>442318.27</v>
      </c>
      <c r="D1817" s="751">
        <v>200</v>
      </c>
    </row>
    <row r="1818" spans="1:4" x14ac:dyDescent="0.2">
      <c r="A1818" s="516">
        <v>44896</v>
      </c>
      <c r="B1818" s="493">
        <f t="shared" si="27"/>
        <v>442518.27</v>
      </c>
      <c r="C1818" s="493">
        <f t="shared" si="26"/>
        <v>442318.27</v>
      </c>
      <c r="D1818" s="751">
        <v>200</v>
      </c>
    </row>
    <row r="1819" spans="1:4" x14ac:dyDescent="0.2">
      <c r="A1819" s="516">
        <v>44897</v>
      </c>
      <c r="B1819" s="493">
        <f t="shared" si="27"/>
        <v>420942.38</v>
      </c>
      <c r="C1819" s="493">
        <v>420742.38</v>
      </c>
      <c r="D1819" s="751">
        <v>200</v>
      </c>
    </row>
    <row r="1820" spans="1:4" x14ac:dyDescent="0.2">
      <c r="A1820" s="516">
        <v>44900</v>
      </c>
      <c r="B1820" s="493">
        <f t="shared" si="27"/>
        <v>379216.39</v>
      </c>
      <c r="C1820" s="493">
        <v>379016.39</v>
      </c>
      <c r="D1820" s="751">
        <v>200</v>
      </c>
    </row>
    <row r="1821" spans="1:4" x14ac:dyDescent="0.2">
      <c r="A1821" s="516">
        <v>44901</v>
      </c>
      <c r="B1821" s="493">
        <f t="shared" si="27"/>
        <v>379216.39</v>
      </c>
      <c r="C1821" s="493">
        <f t="shared" si="26"/>
        <v>379016.39</v>
      </c>
      <c r="D1821" s="751">
        <v>200</v>
      </c>
    </row>
    <row r="1822" spans="1:4" x14ac:dyDescent="0.2">
      <c r="A1822" s="516">
        <v>44902</v>
      </c>
      <c r="B1822" s="493">
        <f t="shared" si="27"/>
        <v>379216.39</v>
      </c>
      <c r="C1822" s="493">
        <f t="shared" si="26"/>
        <v>379016.39</v>
      </c>
      <c r="D1822" s="751">
        <v>200</v>
      </c>
    </row>
    <row r="1823" spans="1:4" x14ac:dyDescent="0.2">
      <c r="A1823" s="516">
        <v>44903</v>
      </c>
      <c r="B1823" s="493">
        <f t="shared" si="27"/>
        <v>379216.39</v>
      </c>
      <c r="C1823" s="493">
        <f t="shared" si="26"/>
        <v>379016.39</v>
      </c>
      <c r="D1823" s="751">
        <v>200</v>
      </c>
    </row>
    <row r="1824" spans="1:4" x14ac:dyDescent="0.2">
      <c r="A1824" s="516">
        <v>44904</v>
      </c>
      <c r="B1824" s="493">
        <f t="shared" si="27"/>
        <v>383318.34</v>
      </c>
      <c r="C1824" s="493">
        <v>383118.34</v>
      </c>
      <c r="D1824" s="751">
        <v>200</v>
      </c>
    </row>
    <row r="1825" spans="1:4" x14ac:dyDescent="0.2">
      <c r="A1825" s="516">
        <v>44907</v>
      </c>
      <c r="B1825" s="493">
        <f t="shared" si="27"/>
        <v>383318.34</v>
      </c>
      <c r="C1825" s="493">
        <f t="shared" si="26"/>
        <v>383118.34</v>
      </c>
      <c r="D1825" s="751">
        <v>200</v>
      </c>
    </row>
    <row r="1826" spans="1:4" x14ac:dyDescent="0.2">
      <c r="A1826" s="516">
        <v>44908</v>
      </c>
      <c r="B1826" s="493">
        <f t="shared" si="27"/>
        <v>383318.34</v>
      </c>
      <c r="C1826" s="493">
        <f t="shared" si="26"/>
        <v>383118.34</v>
      </c>
      <c r="D1826" s="751">
        <v>200</v>
      </c>
    </row>
    <row r="1827" spans="1:4" x14ac:dyDescent="0.2">
      <c r="A1827" s="516">
        <v>44909</v>
      </c>
      <c r="B1827" s="493">
        <f t="shared" si="27"/>
        <v>378306.47</v>
      </c>
      <c r="C1827" s="493">
        <v>378106.47</v>
      </c>
      <c r="D1827" s="751">
        <v>200</v>
      </c>
    </row>
    <row r="1828" spans="1:4" x14ac:dyDescent="0.2">
      <c r="A1828" s="516">
        <v>44910</v>
      </c>
      <c r="B1828" s="493">
        <f t="shared" si="27"/>
        <v>385097.98</v>
      </c>
      <c r="C1828" s="493">
        <v>384897.98</v>
      </c>
      <c r="D1828" s="751">
        <v>200</v>
      </c>
    </row>
    <row r="1829" spans="1:4" x14ac:dyDescent="0.2">
      <c r="A1829" s="516">
        <v>44911</v>
      </c>
      <c r="B1829" s="493">
        <f t="shared" si="27"/>
        <v>385399.2</v>
      </c>
      <c r="C1829" s="493">
        <v>385199.2</v>
      </c>
      <c r="D1829" s="751">
        <v>200</v>
      </c>
    </row>
    <row r="1830" spans="1:4" x14ac:dyDescent="0.2">
      <c r="A1830" s="516">
        <v>44914</v>
      </c>
      <c r="B1830" s="493">
        <f t="shared" si="27"/>
        <v>385399.2</v>
      </c>
      <c r="C1830" s="493">
        <f t="shared" si="26"/>
        <v>385199.2</v>
      </c>
      <c r="D1830" s="751">
        <v>200</v>
      </c>
    </row>
    <row r="1831" spans="1:4" x14ac:dyDescent="0.2">
      <c r="A1831" s="516">
        <v>44915</v>
      </c>
      <c r="B1831" s="493">
        <f t="shared" si="27"/>
        <v>343338.22</v>
      </c>
      <c r="C1831" s="493">
        <v>343138.22</v>
      </c>
      <c r="D1831" s="751">
        <v>200</v>
      </c>
    </row>
    <row r="1832" spans="1:4" x14ac:dyDescent="0.2">
      <c r="A1832" s="516">
        <v>44916</v>
      </c>
      <c r="B1832" s="493">
        <f t="shared" si="27"/>
        <v>339355.16</v>
      </c>
      <c r="C1832" s="493">
        <v>339155.16</v>
      </c>
      <c r="D1832" s="751">
        <v>200</v>
      </c>
    </row>
    <row r="1833" spans="1:4" x14ac:dyDescent="0.2">
      <c r="A1833" s="516">
        <v>44917</v>
      </c>
      <c r="B1833" s="493">
        <f t="shared" si="27"/>
        <v>346945.63</v>
      </c>
      <c r="C1833" s="493">
        <v>346745.63</v>
      </c>
      <c r="D1833" s="751">
        <v>200</v>
      </c>
    </row>
    <row r="1834" spans="1:4" x14ac:dyDescent="0.2">
      <c r="A1834" s="516">
        <v>44918</v>
      </c>
      <c r="B1834" s="493">
        <f t="shared" si="27"/>
        <v>346470.13</v>
      </c>
      <c r="C1834" s="493">
        <v>346270.13</v>
      </c>
      <c r="D1834" s="751">
        <v>200</v>
      </c>
    </row>
    <row r="1835" spans="1:4" x14ac:dyDescent="0.2">
      <c r="A1835" s="516">
        <v>44921</v>
      </c>
      <c r="B1835" s="493">
        <f t="shared" si="27"/>
        <v>346470.13</v>
      </c>
      <c r="C1835" s="493">
        <f t="shared" si="26"/>
        <v>346270.13</v>
      </c>
      <c r="D1835" s="751">
        <v>200</v>
      </c>
    </row>
    <row r="1836" spans="1:4" x14ac:dyDescent="0.2">
      <c r="A1836" s="516">
        <v>44922</v>
      </c>
      <c r="B1836" s="493">
        <f t="shared" si="27"/>
        <v>346470.13</v>
      </c>
      <c r="C1836" s="493">
        <f t="shared" si="26"/>
        <v>346270.13</v>
      </c>
      <c r="D1836" s="751">
        <v>200</v>
      </c>
    </row>
    <row r="1837" spans="1:4" x14ac:dyDescent="0.2">
      <c r="A1837" s="516">
        <v>44923</v>
      </c>
      <c r="B1837" s="493">
        <f t="shared" si="27"/>
        <v>432503.36</v>
      </c>
      <c r="C1837" s="493">
        <v>432303.35999999999</v>
      </c>
      <c r="D1837" s="751">
        <v>200</v>
      </c>
    </row>
    <row r="1838" spans="1:4" x14ac:dyDescent="0.2">
      <c r="A1838" s="516">
        <v>44924</v>
      </c>
      <c r="B1838" s="493">
        <f t="shared" si="27"/>
        <v>432600.88</v>
      </c>
      <c r="C1838" s="493">
        <v>432400.88</v>
      </c>
      <c r="D1838" s="751">
        <v>200</v>
      </c>
    </row>
    <row r="1839" spans="1:4" x14ac:dyDescent="0.2">
      <c r="A1839" s="516">
        <v>44925</v>
      </c>
      <c r="B1839" s="493">
        <f t="shared" si="27"/>
        <v>432600.88</v>
      </c>
      <c r="C1839" s="493">
        <f t="shared" si="26"/>
        <v>432400.88</v>
      </c>
      <c r="D1839" s="751">
        <v>200</v>
      </c>
    </row>
    <row r="1840" spans="1:4" x14ac:dyDescent="0.2">
      <c r="A1840" s="516">
        <v>44928</v>
      </c>
      <c r="B1840" s="493">
        <f t="shared" si="27"/>
        <v>432600.88</v>
      </c>
      <c r="C1840" s="493">
        <f t="shared" si="26"/>
        <v>432400.88</v>
      </c>
      <c r="D1840" s="751">
        <v>200</v>
      </c>
    </row>
    <row r="1841" spans="1:4" x14ac:dyDescent="0.2">
      <c r="A1841" s="516">
        <v>44929</v>
      </c>
      <c r="B1841" s="493">
        <f t="shared" si="27"/>
        <v>432600.88</v>
      </c>
      <c r="C1841" s="493">
        <f t="shared" ref="C1841:C1844" si="28">C1840</f>
        <v>432400.88</v>
      </c>
      <c r="D1841" s="751">
        <v>200</v>
      </c>
    </row>
    <row r="1842" spans="1:4" x14ac:dyDescent="0.2">
      <c r="A1842" s="516">
        <v>44930</v>
      </c>
      <c r="B1842" s="493">
        <f t="shared" si="27"/>
        <v>432600.88</v>
      </c>
      <c r="C1842" s="493">
        <f t="shared" si="28"/>
        <v>432400.88</v>
      </c>
      <c r="D1842" s="751">
        <v>200</v>
      </c>
    </row>
    <row r="1843" spans="1:4" x14ac:dyDescent="0.2">
      <c r="A1843" s="516">
        <v>44931</v>
      </c>
      <c r="B1843" s="493">
        <f t="shared" si="27"/>
        <v>432600.88</v>
      </c>
      <c r="C1843" s="493">
        <f t="shared" si="28"/>
        <v>432400.88</v>
      </c>
      <c r="D1843" s="751">
        <v>200</v>
      </c>
    </row>
    <row r="1844" spans="1:4" x14ac:dyDescent="0.2">
      <c r="A1844" s="516">
        <v>44932</v>
      </c>
      <c r="B1844" s="493">
        <f t="shared" si="27"/>
        <v>432600.88</v>
      </c>
      <c r="C1844" s="493">
        <f t="shared" si="28"/>
        <v>432400.88</v>
      </c>
      <c r="D1844" s="751">
        <v>200</v>
      </c>
    </row>
    <row r="1845" spans="1:4" x14ac:dyDescent="0.2">
      <c r="A1845" s="516"/>
      <c r="C1845" s="493"/>
      <c r="D1845" s="751"/>
    </row>
    <row r="1846" spans="1:4" x14ac:dyDescent="0.2">
      <c r="A1846" s="516"/>
      <c r="C1846" s="493"/>
      <c r="D1846" s="751"/>
    </row>
    <row r="1847" spans="1:4" x14ac:dyDescent="0.2">
      <c r="A1847" s="516"/>
      <c r="C1847" s="493"/>
      <c r="D1847" s="751"/>
    </row>
    <row r="1848" spans="1:4" x14ac:dyDescent="0.2">
      <c r="A1848" s="516"/>
      <c r="C1848" s="493"/>
      <c r="D1848" s="751"/>
    </row>
    <row r="1849" spans="1:4" x14ac:dyDescent="0.2">
      <c r="A1849" s="516"/>
      <c r="C1849" s="493"/>
      <c r="D1849" s="751"/>
    </row>
    <row r="1850" spans="1:4" x14ac:dyDescent="0.2">
      <c r="A1850" s="516"/>
      <c r="C1850" s="493"/>
      <c r="D1850" s="751"/>
    </row>
    <row r="1851" spans="1:4" x14ac:dyDescent="0.2">
      <c r="A1851" s="516"/>
      <c r="C1851" s="493"/>
      <c r="D1851" s="751"/>
    </row>
    <row r="1852" spans="1:4" x14ac:dyDescent="0.2">
      <c r="A1852" s="516"/>
      <c r="C1852" s="493"/>
      <c r="D1852" s="751"/>
    </row>
    <row r="1853" spans="1:4" x14ac:dyDescent="0.2">
      <c r="A1853" s="516"/>
      <c r="C1853" s="493"/>
      <c r="D1853" s="751"/>
    </row>
    <row r="1854" spans="1:4" x14ac:dyDescent="0.2">
      <c r="A1854" s="516"/>
      <c r="C1854" s="493"/>
      <c r="D1854" s="751"/>
    </row>
    <row r="1855" spans="1:4" x14ac:dyDescent="0.2">
      <c r="A1855" s="516"/>
      <c r="C1855" s="493"/>
      <c r="D1855" s="751"/>
    </row>
    <row r="1856" spans="1:4" x14ac:dyDescent="0.2">
      <c r="A1856" s="516"/>
      <c r="C1856" s="493"/>
      <c r="D1856" s="751"/>
    </row>
    <row r="1857" spans="1:4" x14ac:dyDescent="0.2">
      <c r="A1857" s="516"/>
      <c r="C1857" s="493"/>
      <c r="D1857" s="751"/>
    </row>
    <row r="1858" spans="1:4" x14ac:dyDescent="0.2">
      <c r="A1858" s="516"/>
      <c r="C1858" s="493"/>
      <c r="D1858" s="751"/>
    </row>
    <row r="1859" spans="1:4" x14ac:dyDescent="0.2">
      <c r="A1859" s="516"/>
      <c r="C1859" s="493"/>
      <c r="D1859" s="751"/>
    </row>
    <row r="1860" spans="1:4" x14ac:dyDescent="0.2">
      <c r="A1860" s="521" t="s">
        <v>269</v>
      </c>
      <c r="B1860" s="493">
        <f>MAX(B$1570:B1859)</f>
        <v>473210.99</v>
      </c>
    </row>
    <row r="1861" spans="1:4" x14ac:dyDescent="0.2">
      <c r="A1861" s="521" t="s">
        <v>270</v>
      </c>
      <c r="B1861" s="493">
        <f>MIN(B$1570:B1844)</f>
        <v>140708.63</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413</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414</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77" t="s">
        <v>49</v>
      </c>
      <c r="H5" s="977"/>
      <c r="I5" s="977"/>
      <c r="J5" s="977"/>
      <c r="K5" s="977"/>
      <c r="L5" s="415" t="s">
        <v>181</v>
      </c>
      <c r="M5" s="412"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48" t="s">
        <v>409</v>
      </c>
      <c r="H7" s="749" t="s">
        <v>410</v>
      </c>
      <c r="I7" s="749" t="s">
        <v>415</v>
      </c>
      <c r="J7" s="749"/>
      <c r="K7" s="748" t="s">
        <v>416</v>
      </c>
      <c r="L7" s="978" t="s">
        <v>417</v>
      </c>
      <c r="M7" s="97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101</v>
      </c>
      <c r="D8" s="420"/>
      <c r="E8" s="420"/>
      <c r="F8" s="73"/>
      <c r="G8" s="326">
        <v>360098</v>
      </c>
      <c r="H8" s="326">
        <v>315760.04333000001</v>
      </c>
      <c r="I8" s="326">
        <v>675858.04333000001</v>
      </c>
      <c r="J8" s="326"/>
      <c r="K8" s="263">
        <v>811777</v>
      </c>
      <c r="L8" s="378">
        <v>-135918.95666999999</v>
      </c>
      <c r="M8" s="413">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150</v>
      </c>
      <c r="D9" s="420"/>
      <c r="E9" s="420"/>
      <c r="F9" s="73"/>
      <c r="G9" s="322">
        <v>41504</v>
      </c>
      <c r="H9" s="322">
        <v>25300</v>
      </c>
      <c r="I9" s="322">
        <v>66804</v>
      </c>
      <c r="J9" s="322"/>
      <c r="K9" s="264">
        <v>175000</v>
      </c>
      <c r="L9" s="508">
        <v>-108196</v>
      </c>
      <c r="M9" s="413">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179</v>
      </c>
      <c r="D10" s="420"/>
      <c r="E10" s="420"/>
      <c r="F10" s="73"/>
      <c r="G10" s="322">
        <v>14147</v>
      </c>
      <c r="H10" s="322">
        <v>24011.0864</v>
      </c>
      <c r="I10" s="322">
        <v>38158.0864</v>
      </c>
      <c r="J10" s="322"/>
      <c r="K10" s="264">
        <v>49619</v>
      </c>
      <c r="L10" s="508">
        <v>-11460.9136</v>
      </c>
      <c r="M10" s="413">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102</v>
      </c>
      <c r="D11" s="420"/>
      <c r="E11" s="420"/>
      <c r="F11" s="73"/>
      <c r="G11" s="322"/>
      <c r="H11" s="322"/>
      <c r="I11" s="322">
        <v>0</v>
      </c>
      <c r="J11" s="322"/>
      <c r="K11" s="264"/>
      <c r="L11" s="508"/>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139</v>
      </c>
      <c r="E12" s="420"/>
      <c r="F12" s="73"/>
      <c r="G12" s="322">
        <v>103487</v>
      </c>
      <c r="H12" s="322">
        <v>87197.56</v>
      </c>
      <c r="I12" s="322">
        <v>190684.56</v>
      </c>
      <c r="J12" s="322"/>
      <c r="K12" s="264">
        <v>196175</v>
      </c>
      <c r="L12" s="508">
        <v>-5490.4400000000023</v>
      </c>
      <c r="M12" s="413">
        <v>-2.7987460175863399E-2</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159</v>
      </c>
      <c r="E13" s="420"/>
      <c r="F13" s="73"/>
      <c r="G13" s="322">
        <v>9000</v>
      </c>
      <c r="H13" s="322">
        <v>9000</v>
      </c>
      <c r="I13" s="322">
        <v>18000</v>
      </c>
      <c r="J13" s="322"/>
      <c r="K13" s="264">
        <v>18000</v>
      </c>
      <c r="L13" s="508">
        <v>0</v>
      </c>
      <c r="M13" s="413">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405</v>
      </c>
      <c r="E14" s="420"/>
      <c r="F14" s="73"/>
      <c r="G14" s="322">
        <v>48393</v>
      </c>
      <c r="H14" s="322">
        <v>58479.097600000001</v>
      </c>
      <c r="I14" s="322">
        <v>106872.09760000001</v>
      </c>
      <c r="J14" s="322"/>
      <c r="K14" s="264">
        <v>169400</v>
      </c>
      <c r="L14" s="508">
        <v>-62527.902399999992</v>
      </c>
      <c r="M14" s="413">
        <v>-0.36911394569067291</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377</v>
      </c>
      <c r="D15" s="420"/>
      <c r="E15" s="420"/>
      <c r="F15" s="73"/>
      <c r="G15" s="322">
        <v>5140</v>
      </c>
      <c r="H15" s="322">
        <v>5045</v>
      </c>
      <c r="I15" s="322">
        <v>10185</v>
      </c>
      <c r="J15" s="322"/>
      <c r="K15" s="264">
        <v>17000</v>
      </c>
      <c r="L15" s="508">
        <v>-6815</v>
      </c>
      <c r="M15" s="413">
        <v>-0.40088235294117647</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110</v>
      </c>
      <c r="D16" s="420"/>
      <c r="E16" s="420"/>
      <c r="F16" s="73"/>
      <c r="G16" s="322">
        <v>701</v>
      </c>
      <c r="H16" s="322">
        <v>592.29</v>
      </c>
      <c r="I16" s="322">
        <v>1293.29</v>
      </c>
      <c r="J16" s="322"/>
      <c r="K16" s="264">
        <v>1200</v>
      </c>
      <c r="L16" s="508">
        <v>93.289999999999964</v>
      </c>
      <c r="M16" s="413">
        <v>7.7741666666666639E-2</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237</v>
      </c>
      <c r="D17" s="420"/>
      <c r="E17" s="420"/>
      <c r="F17" s="73"/>
      <c r="G17" s="322">
        <v>2152</v>
      </c>
      <c r="H17" s="322">
        <v>1900</v>
      </c>
      <c r="I17" s="322">
        <v>4052</v>
      </c>
      <c r="J17" s="322"/>
      <c r="K17" s="264">
        <v>4200</v>
      </c>
      <c r="L17" s="508">
        <v>-148</v>
      </c>
      <c r="M17" s="413">
        <v>-3.5238095238095235E-2</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320</v>
      </c>
      <c r="D18" s="420"/>
      <c r="E18" s="420"/>
      <c r="F18" s="73"/>
      <c r="G18" s="322">
        <v>-2942</v>
      </c>
      <c r="H18" s="322">
        <v>0</v>
      </c>
      <c r="I18" s="322">
        <v>-2942</v>
      </c>
      <c r="J18" s="322"/>
      <c r="K18" s="264">
        <v>1500</v>
      </c>
      <c r="L18" s="508">
        <v>-4442</v>
      </c>
      <c r="M18" s="413">
        <v>-2.9613333333333332</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418</v>
      </c>
      <c r="D19" s="420"/>
      <c r="E19" s="420"/>
      <c r="F19" s="73"/>
      <c r="G19" s="322"/>
      <c r="H19" s="322"/>
      <c r="I19" s="322">
        <v>0</v>
      </c>
      <c r="J19" s="322"/>
      <c r="K19" s="264"/>
      <c r="L19" s="508">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v>15479.72</v>
      </c>
      <c r="H20" s="322">
        <v>16194.880000000001</v>
      </c>
      <c r="I20" s="322">
        <v>31674.6</v>
      </c>
      <c r="J20" s="322"/>
      <c r="K20" s="264">
        <v>29543</v>
      </c>
      <c r="L20" s="508">
        <v>2131.5999999999985</v>
      </c>
      <c r="M20" s="413">
        <v>7.2152455742477015E-2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0"/>
      <c r="D21" s="420" t="s">
        <v>395</v>
      </c>
      <c r="E21" s="420"/>
      <c r="F21" s="420"/>
      <c r="G21" s="322">
        <v>4073</v>
      </c>
      <c r="H21" s="322">
        <v>1960.0200000000002</v>
      </c>
      <c r="I21" s="322">
        <v>6033.02</v>
      </c>
      <c r="J21" s="322"/>
      <c r="K21" s="264">
        <v>5000</v>
      </c>
      <c r="L21" s="508">
        <v>1033.0200000000004</v>
      </c>
      <c r="M21" s="413">
        <v>0.20660400000000009</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44"/>
      <c r="D22" s="420" t="s">
        <v>17</v>
      </c>
      <c r="E22" s="744"/>
      <c r="F22" s="744"/>
      <c r="G22" s="322">
        <v>25000</v>
      </c>
      <c r="H22" s="322">
        <v>25000</v>
      </c>
      <c r="I22" s="322">
        <v>50000</v>
      </c>
      <c r="J22" s="322"/>
      <c r="K22" s="264">
        <v>50000</v>
      </c>
      <c r="L22" s="508">
        <v>0</v>
      </c>
      <c r="M22" s="413">
        <v>0</v>
      </c>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44"/>
      <c r="D23" s="420" t="s">
        <v>419</v>
      </c>
      <c r="E23" s="744"/>
      <c r="F23" s="744"/>
      <c r="G23" s="322">
        <v>15000</v>
      </c>
      <c r="H23" s="322">
        <v>0</v>
      </c>
      <c r="I23" s="322">
        <v>15000</v>
      </c>
      <c r="J23" s="322"/>
      <c r="K23" s="264">
        <v>0</v>
      </c>
      <c r="L23" s="508">
        <v>15000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44"/>
      <c r="D24" s="420" t="s">
        <v>420</v>
      </c>
      <c r="E24" s="744"/>
      <c r="F24" s="744"/>
      <c r="G24" s="322">
        <v>5488</v>
      </c>
      <c r="H24" s="322">
        <v>0</v>
      </c>
      <c r="I24" s="322">
        <v>5488</v>
      </c>
      <c r="J24" s="322"/>
      <c r="K24" s="264">
        <v>0</v>
      </c>
      <c r="L24" s="508">
        <v>5488</v>
      </c>
      <c r="M24" s="413"/>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322</v>
      </c>
      <c r="D25" s="744"/>
      <c r="E25" s="744"/>
      <c r="F25" s="744"/>
      <c r="G25" s="322">
        <v>0</v>
      </c>
      <c r="H25" s="322">
        <v>0</v>
      </c>
      <c r="I25" s="322">
        <v>0</v>
      </c>
      <c r="J25" s="322"/>
      <c r="K25" s="264">
        <v>2000</v>
      </c>
      <c r="L25" s="508">
        <v>-2000</v>
      </c>
      <c r="M25" s="413">
        <v>-1</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109</v>
      </c>
      <c r="D26" s="744"/>
      <c r="E26" s="744"/>
      <c r="F26" s="744"/>
      <c r="G26" s="322">
        <v>23288</v>
      </c>
      <c r="H26" s="322">
        <v>23288</v>
      </c>
      <c r="I26" s="322">
        <v>46576</v>
      </c>
      <c r="J26" s="322"/>
      <c r="K26" s="322">
        <v>46576</v>
      </c>
      <c r="L26" s="508">
        <v>0</v>
      </c>
      <c r="M26" s="413">
        <v>0</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421</v>
      </c>
      <c r="D27" s="744"/>
      <c r="E27" s="744"/>
      <c r="F27" s="744"/>
      <c r="G27" s="322">
        <v>11328.2</v>
      </c>
      <c r="H27" s="322">
        <v>10450</v>
      </c>
      <c r="I27" s="322">
        <v>21778.2</v>
      </c>
      <c r="J27" s="322"/>
      <c r="K27" s="322">
        <v>3500</v>
      </c>
      <c r="L27" s="508">
        <v>18278.2</v>
      </c>
      <c r="M27" s="413">
        <v>5.2223428571428574</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102</v>
      </c>
      <c r="D28" s="744"/>
      <c r="E28" s="744"/>
      <c r="F28" s="744"/>
      <c r="G28" s="322">
        <v>9500</v>
      </c>
      <c r="H28" s="322">
        <v>9499.7799999999988</v>
      </c>
      <c r="I28" s="322">
        <v>18999.78</v>
      </c>
      <c r="J28" s="322"/>
      <c r="K28" s="322">
        <v>19000</v>
      </c>
      <c r="L28" s="508">
        <v>-0.22000000000116415</v>
      </c>
      <c r="M28" s="413">
        <v>-1.1578947368482324E-5</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t="s">
        <v>319</v>
      </c>
      <c r="D29" s="744"/>
      <c r="E29" s="744"/>
      <c r="F29" s="744"/>
      <c r="G29" s="322">
        <v>26000</v>
      </c>
      <c r="H29" s="322">
        <v>20800.019999999997</v>
      </c>
      <c r="I29" s="322">
        <v>46800.02</v>
      </c>
      <c r="J29" s="322"/>
      <c r="K29" s="322">
        <v>53000</v>
      </c>
      <c r="L29" s="508">
        <v>-6199.9800000000032</v>
      </c>
      <c r="M29" s="413">
        <v>-0.11698075471698119</v>
      </c>
      <c r="N29" s="68"/>
      <c r="O29" s="387"/>
      <c r="P29" s="470"/>
      <c r="Q29" s="36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t="s">
        <v>321</v>
      </c>
      <c r="D30" s="744"/>
      <c r="E30" s="744"/>
      <c r="F30" s="744"/>
      <c r="G30" s="322">
        <v>5764.37</v>
      </c>
      <c r="H30" s="322">
        <v>5781</v>
      </c>
      <c r="I30" s="322">
        <v>11545.369999999999</v>
      </c>
      <c r="J30" s="322"/>
      <c r="K30" s="322">
        <v>16835</v>
      </c>
      <c r="L30" s="508">
        <v>-5289.630000000001</v>
      </c>
      <c r="M30" s="413">
        <v>-0.31420433620433624</v>
      </c>
      <c r="N30" s="68"/>
      <c r="O30" s="387"/>
      <c r="P30" s="470"/>
      <c r="Q30" s="361"/>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0"/>
      <c r="D31" s="73" t="s">
        <v>105</v>
      </c>
      <c r="E31" s="420"/>
      <c r="F31" s="73"/>
      <c r="G31" s="753">
        <v>722601.28999999992</v>
      </c>
      <c r="H31" s="753">
        <v>640258.77733000007</v>
      </c>
      <c r="I31" s="753">
        <v>1362860.0673300002</v>
      </c>
      <c r="J31" s="753"/>
      <c r="K31" s="753">
        <v>1669325</v>
      </c>
      <c r="L31" s="754">
        <v>-306464.93267000001</v>
      </c>
      <c r="M31" s="755">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0"/>
      <c r="D32" s="73"/>
      <c r="E32" s="420"/>
      <c r="F32" s="73"/>
      <c r="G32" s="322"/>
      <c r="H32" s="322"/>
      <c r="I32" s="322"/>
      <c r="J32" s="322"/>
      <c r="K32" s="594"/>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56">
        <v>1102996</v>
      </c>
      <c r="L34" s="508">
        <v>-215358.93999999994</v>
      </c>
      <c r="M34" s="436">
        <v>-0.19524906708637196</v>
      </c>
    </row>
    <row r="35" spans="1:57" s="68" customFormat="1" ht="20.25" x14ac:dyDescent="0.2">
      <c r="A35" s="67"/>
      <c r="B35" s="67"/>
      <c r="C35" s="79" t="s">
        <v>113</v>
      </c>
      <c r="D35" s="79"/>
      <c r="E35" s="79"/>
      <c r="F35" s="79"/>
      <c r="G35" s="232">
        <v>102132.08</v>
      </c>
      <c r="H35" s="322">
        <v>85992.050000000017</v>
      </c>
      <c r="I35" s="322">
        <v>188124.13</v>
      </c>
      <c r="J35" s="322"/>
      <c r="K35" s="757">
        <v>224967</v>
      </c>
      <c r="L35" s="508">
        <v>-36842.869999999995</v>
      </c>
      <c r="M35" s="436">
        <v>-0.16377010850480292</v>
      </c>
    </row>
    <row r="36" spans="1:57" s="68" customFormat="1" ht="20.25" x14ac:dyDescent="0.2">
      <c r="A36" s="67"/>
      <c r="B36" s="67"/>
      <c r="C36" s="79" t="s">
        <v>114</v>
      </c>
      <c r="D36" s="79"/>
      <c r="E36" s="79"/>
      <c r="F36" s="79"/>
      <c r="G36" s="232">
        <v>900</v>
      </c>
      <c r="H36" s="322">
        <v>900</v>
      </c>
      <c r="I36" s="322">
        <v>1800</v>
      </c>
      <c r="J36" s="322"/>
      <c r="K36" s="757">
        <v>1800</v>
      </c>
      <c r="L36" s="508">
        <v>0</v>
      </c>
      <c r="M36" s="436">
        <v>0</v>
      </c>
    </row>
    <row r="37" spans="1:57" s="68" customFormat="1" ht="20.25" x14ac:dyDescent="0.2">
      <c r="A37" s="67"/>
      <c r="B37" s="67"/>
      <c r="C37" s="79" t="s">
        <v>104</v>
      </c>
      <c r="D37" s="79"/>
      <c r="E37" s="79"/>
      <c r="F37" s="79"/>
      <c r="G37" s="232">
        <v>23288</v>
      </c>
      <c r="H37" s="322">
        <v>23288</v>
      </c>
      <c r="I37" s="322">
        <v>46576</v>
      </c>
      <c r="J37" s="322"/>
      <c r="K37" s="757">
        <v>46576</v>
      </c>
      <c r="L37" s="508">
        <v>0</v>
      </c>
      <c r="M37" s="436">
        <v>0</v>
      </c>
    </row>
    <row r="38" spans="1:57" s="68" customFormat="1" ht="20.25" x14ac:dyDescent="0.2">
      <c r="A38" s="67"/>
      <c r="B38" s="67"/>
      <c r="C38" s="79" t="s">
        <v>115</v>
      </c>
      <c r="D38" s="79"/>
      <c r="E38" s="79"/>
      <c r="F38" s="79"/>
      <c r="G38" s="232">
        <v>10831.87</v>
      </c>
      <c r="H38" s="322">
        <v>10418.370000000001</v>
      </c>
      <c r="I38" s="322">
        <v>21250.240000000002</v>
      </c>
      <c r="J38" s="322"/>
      <c r="K38" s="757">
        <v>19050</v>
      </c>
      <c r="L38" s="508">
        <v>2200.2400000000016</v>
      </c>
      <c r="M38" s="436">
        <v>0.11549816272965888</v>
      </c>
    </row>
    <row r="39" spans="1:57" s="68" customFormat="1" ht="20.25" x14ac:dyDescent="0.2">
      <c r="A39" s="67"/>
      <c r="B39" s="67"/>
      <c r="C39" s="79" t="s">
        <v>116</v>
      </c>
      <c r="D39" s="79"/>
      <c r="E39" s="79"/>
      <c r="F39" s="79"/>
      <c r="G39" s="232">
        <v>1224.3499999999999</v>
      </c>
      <c r="H39" s="322">
        <v>1207.24</v>
      </c>
      <c r="I39" s="322">
        <v>2431.59</v>
      </c>
      <c r="J39" s="322"/>
      <c r="K39" s="757">
        <v>3377</v>
      </c>
      <c r="L39" s="508">
        <v>-945.40999999999985</v>
      </c>
      <c r="M39" s="436">
        <v>-0.27995558187740593</v>
      </c>
    </row>
    <row r="40" spans="1:57" s="68" customFormat="1" ht="20.25" x14ac:dyDescent="0.2">
      <c r="A40" s="67"/>
      <c r="B40" s="67"/>
      <c r="C40" s="79" t="s">
        <v>117</v>
      </c>
      <c r="D40" s="79"/>
      <c r="E40" s="79"/>
      <c r="F40" s="79"/>
      <c r="G40" s="232">
        <v>1941.95</v>
      </c>
      <c r="H40" s="322">
        <v>1791.4500000000003</v>
      </c>
      <c r="I40" s="322">
        <v>3733.4000000000005</v>
      </c>
      <c r="J40" s="322"/>
      <c r="K40" s="757">
        <v>4254</v>
      </c>
      <c r="L40" s="508">
        <v>-520.59999999999945</v>
      </c>
      <c r="M40" s="436">
        <v>-0.12237893747061576</v>
      </c>
    </row>
    <row r="41" spans="1:57" s="68" customFormat="1" ht="20.25" x14ac:dyDescent="0.2">
      <c r="A41" s="67"/>
      <c r="B41" s="67"/>
      <c r="C41" s="79" t="s">
        <v>118</v>
      </c>
      <c r="D41" s="79"/>
      <c r="E41" s="79"/>
      <c r="F41" s="79"/>
      <c r="G41" s="232">
        <v>525.84</v>
      </c>
      <c r="H41" s="322">
        <v>1029.27</v>
      </c>
      <c r="I41" s="322">
        <v>1555.1100000000001</v>
      </c>
      <c r="J41" s="322"/>
      <c r="K41" s="757">
        <v>12334</v>
      </c>
      <c r="L41" s="508">
        <v>-10778.89</v>
      </c>
      <c r="M41" s="436">
        <v>-0.8739168153072806</v>
      </c>
    </row>
    <row r="42" spans="1:57" s="68" customFormat="1" ht="20.25" x14ac:dyDescent="0.2">
      <c r="A42" s="67"/>
      <c r="B42" s="67"/>
      <c r="C42" s="79" t="s">
        <v>119</v>
      </c>
      <c r="D42" s="79"/>
      <c r="E42" s="79"/>
      <c r="F42" s="79"/>
      <c r="G42" s="232">
        <v>18906.52</v>
      </c>
      <c r="H42" s="322">
        <v>15450</v>
      </c>
      <c r="I42" s="322">
        <v>34356.520000000004</v>
      </c>
      <c r="J42" s="322"/>
      <c r="K42" s="757">
        <v>38115</v>
      </c>
      <c r="L42" s="508">
        <v>-3758.4799999999959</v>
      </c>
      <c r="M42" s="436">
        <v>-9.8608946608946507E-2</v>
      </c>
    </row>
    <row r="43" spans="1:57" s="68" customFormat="1" ht="20.25" x14ac:dyDescent="0.2">
      <c r="A43" s="67"/>
      <c r="B43" s="67"/>
      <c r="C43" s="79" t="s">
        <v>120</v>
      </c>
      <c r="D43" s="79"/>
      <c r="E43" s="79"/>
      <c r="F43" s="79"/>
      <c r="G43" s="232">
        <v>672.76</v>
      </c>
      <c r="H43" s="322">
        <v>828.07</v>
      </c>
      <c r="I43" s="322">
        <v>1500.83</v>
      </c>
      <c r="J43" s="322"/>
      <c r="K43" s="757">
        <v>5448</v>
      </c>
      <c r="L43" s="508">
        <v>-3947.17</v>
      </c>
      <c r="M43" s="436">
        <v>-0.72451725403817913</v>
      </c>
    </row>
    <row r="44" spans="1:57" s="68" customFormat="1" ht="20.25" x14ac:dyDescent="0.2">
      <c r="A44" s="67"/>
      <c r="B44" s="67"/>
      <c r="C44" s="79" t="s">
        <v>121</v>
      </c>
      <c r="D44" s="79"/>
      <c r="E44" s="79"/>
      <c r="F44" s="79"/>
      <c r="G44" s="232">
        <v>419</v>
      </c>
      <c r="H44" s="322">
        <v>588.96333333333337</v>
      </c>
      <c r="I44" s="322">
        <v>1007.9633333333334</v>
      </c>
      <c r="J44" s="322"/>
      <c r="K44" s="757">
        <v>1262</v>
      </c>
      <c r="L44" s="508">
        <v>-254.03666666666663</v>
      </c>
      <c r="M44" s="436">
        <v>-0.20129688325409401</v>
      </c>
    </row>
    <row r="45" spans="1:57" s="68" customFormat="1" ht="20.25" x14ac:dyDescent="0.2">
      <c r="A45" s="67"/>
      <c r="B45" s="67"/>
      <c r="C45" s="79" t="s">
        <v>166</v>
      </c>
      <c r="D45" s="79"/>
      <c r="E45" s="79"/>
      <c r="F45" s="79"/>
      <c r="G45" s="232">
        <v>7425</v>
      </c>
      <c r="H45" s="322">
        <v>2735</v>
      </c>
      <c r="I45" s="322">
        <v>10160</v>
      </c>
      <c r="J45" s="322"/>
      <c r="K45" s="757">
        <v>12600</v>
      </c>
      <c r="L45" s="508">
        <v>-2440</v>
      </c>
      <c r="M45" s="436">
        <v>-0.19365079365079366</v>
      </c>
    </row>
    <row r="46" spans="1:57" s="68" customFormat="1" ht="20.25" x14ac:dyDescent="0.2">
      <c r="A46" s="67"/>
      <c r="B46" s="67"/>
      <c r="C46" s="979" t="s">
        <v>324</v>
      </c>
      <c r="D46" s="979"/>
      <c r="E46" s="979"/>
      <c r="F46" s="979"/>
      <c r="G46" s="232">
        <v>67</v>
      </c>
      <c r="H46" s="322">
        <v>0</v>
      </c>
      <c r="I46" s="322">
        <v>67</v>
      </c>
      <c r="J46" s="322"/>
      <c r="K46" s="757">
        <v>0</v>
      </c>
      <c r="L46" s="508">
        <v>67</v>
      </c>
      <c r="M46" s="436"/>
      <c r="O46" s="736"/>
    </row>
    <row r="47" spans="1:57" s="68" customFormat="1" ht="20.25" x14ac:dyDescent="0.2">
      <c r="A47" s="67"/>
      <c r="B47" s="67"/>
      <c r="C47" s="79" t="s">
        <v>122</v>
      </c>
      <c r="D47" s="79"/>
      <c r="E47" s="79"/>
      <c r="F47" s="79"/>
      <c r="G47" s="322">
        <v>9698.2999999999993</v>
      </c>
      <c r="H47" s="322">
        <v>6282.170000000001</v>
      </c>
      <c r="I47" s="322">
        <v>15980.470000000001</v>
      </c>
      <c r="J47" s="322"/>
      <c r="K47" s="757">
        <v>12425</v>
      </c>
      <c r="L47" s="508">
        <v>3555.4700000000012</v>
      </c>
      <c r="M47" s="436">
        <v>0.28615452716297796</v>
      </c>
    </row>
    <row r="48" spans="1:57" s="68" customFormat="1" ht="20.25" x14ac:dyDescent="0.2">
      <c r="A48" s="67"/>
      <c r="B48" s="67"/>
      <c r="C48" s="79" t="s">
        <v>123</v>
      </c>
      <c r="D48" s="79"/>
      <c r="E48" s="79"/>
      <c r="F48" s="79"/>
      <c r="G48" s="322">
        <v>5409.5</v>
      </c>
      <c r="H48" s="322">
        <v>6493.7800000000007</v>
      </c>
      <c r="I48" s="322">
        <v>11903.28</v>
      </c>
      <c r="J48" s="322"/>
      <c r="K48" s="757">
        <v>11716</v>
      </c>
      <c r="L48" s="508">
        <v>187.28000000000065</v>
      </c>
      <c r="M48" s="436">
        <v>1.5984977808125696E-2</v>
      </c>
      <c r="O48" s="736"/>
    </row>
    <row r="49" spans="1:17" s="68" customFormat="1" ht="20.25" x14ac:dyDescent="0.2">
      <c r="A49" s="67"/>
      <c r="B49" s="67"/>
      <c r="C49" s="79" t="s">
        <v>130</v>
      </c>
      <c r="D49" s="79"/>
      <c r="E49" s="79"/>
      <c r="F49" s="79"/>
      <c r="G49" s="232">
        <v>733.4</v>
      </c>
      <c r="H49" s="322">
        <v>410</v>
      </c>
      <c r="I49" s="322">
        <v>1143.4000000000001</v>
      </c>
      <c r="J49" s="322"/>
      <c r="K49" s="757">
        <v>1280</v>
      </c>
      <c r="L49" s="508">
        <v>-136.59999999999991</v>
      </c>
      <c r="M49" s="436">
        <v>-0.10671874999999993</v>
      </c>
    </row>
    <row r="50" spans="1:17" s="68" customFormat="1" ht="20.25" x14ac:dyDescent="0.2">
      <c r="A50" s="67"/>
      <c r="B50" s="67"/>
      <c r="C50" s="79" t="s">
        <v>124</v>
      </c>
      <c r="D50" s="79"/>
      <c r="E50" s="79"/>
      <c r="F50" s="79"/>
      <c r="G50" s="322">
        <v>540.31999999999994</v>
      </c>
      <c r="H50" s="322">
        <v>0</v>
      </c>
      <c r="I50" s="322">
        <v>540.31999999999994</v>
      </c>
      <c r="J50" s="322"/>
      <c r="K50" s="757">
        <v>10470</v>
      </c>
      <c r="L50" s="508">
        <v>-9929.68</v>
      </c>
      <c r="M50" s="436">
        <v>-0.94839350525310417</v>
      </c>
      <c r="O50" s="736"/>
    </row>
    <row r="51" spans="1:17" s="68" customFormat="1" ht="20.25" customHeight="1" x14ac:dyDescent="0.2">
      <c r="A51" s="67"/>
      <c r="B51" s="67"/>
      <c r="C51" s="79" t="s">
        <v>199</v>
      </c>
      <c r="D51" s="79"/>
      <c r="E51" s="79"/>
      <c r="F51" s="79"/>
      <c r="G51" s="232">
        <v>2381.4</v>
      </c>
      <c r="H51" s="322">
        <v>300</v>
      </c>
      <c r="I51" s="322">
        <v>2681.4</v>
      </c>
      <c r="J51" s="322"/>
      <c r="K51" s="757">
        <v>20850</v>
      </c>
      <c r="L51" s="508">
        <v>-18168.599999999999</v>
      </c>
      <c r="M51" s="436">
        <v>-0.87139568345323737</v>
      </c>
    </row>
    <row r="52" spans="1:17" s="76" customFormat="1" ht="20.25" x14ac:dyDescent="0.2">
      <c r="A52" s="79"/>
      <c r="B52" s="79"/>
      <c r="C52" s="79" t="s">
        <v>126</v>
      </c>
      <c r="D52" s="79"/>
      <c r="E52" s="79"/>
      <c r="F52" s="79"/>
      <c r="G52" s="322">
        <v>23932</v>
      </c>
      <c r="H52" s="322">
        <v>4454</v>
      </c>
      <c r="I52" s="322">
        <v>28386</v>
      </c>
      <c r="J52" s="322"/>
      <c r="K52" s="757">
        <v>12937</v>
      </c>
      <c r="L52" s="508">
        <v>15449</v>
      </c>
      <c r="M52" s="436">
        <v>1.1941717554301616</v>
      </c>
    </row>
    <row r="53" spans="1:17" s="68" customFormat="1" ht="20.25" x14ac:dyDescent="0.2">
      <c r="A53" s="67"/>
      <c r="B53" s="67"/>
      <c r="C53" s="79" t="s">
        <v>165</v>
      </c>
      <c r="D53" s="79"/>
      <c r="E53" s="79"/>
      <c r="F53" s="79"/>
      <c r="G53" s="232">
        <v>31384.95</v>
      </c>
      <c r="H53" s="322">
        <v>23455</v>
      </c>
      <c r="I53" s="322">
        <v>54839.95</v>
      </c>
      <c r="J53" s="322"/>
      <c r="K53" s="757">
        <v>60011</v>
      </c>
      <c r="L53" s="508">
        <v>-5171.0500000000029</v>
      </c>
      <c r="M53" s="436">
        <v>-8.6168369132325784E-2</v>
      </c>
      <c r="Q53" s="341"/>
    </row>
    <row r="54" spans="1:17" s="68" customFormat="1" ht="20.25" x14ac:dyDescent="0.2">
      <c r="A54" s="67"/>
      <c r="B54" s="67"/>
      <c r="C54" s="79" t="s">
        <v>127</v>
      </c>
      <c r="D54" s="79"/>
      <c r="E54" s="79"/>
      <c r="F54" s="79"/>
      <c r="G54" s="232">
        <v>31753.16</v>
      </c>
      <c r="H54" s="322">
        <v>14675</v>
      </c>
      <c r="I54" s="322">
        <v>46428.160000000003</v>
      </c>
      <c r="J54" s="322"/>
      <c r="K54" s="757">
        <v>61119</v>
      </c>
      <c r="L54" s="508">
        <v>-14690.839999999997</v>
      </c>
      <c r="M54" s="436">
        <v>-0.2403645347600582</v>
      </c>
    </row>
    <row r="55" spans="1:17" s="68" customFormat="1" ht="21" thickBot="1" x14ac:dyDescent="0.25">
      <c r="A55" s="67"/>
      <c r="B55" s="67"/>
      <c r="C55" s="79" t="s">
        <v>407</v>
      </c>
      <c r="D55" s="79"/>
      <c r="E55" s="79"/>
      <c r="F55" s="79"/>
      <c r="G55" s="241">
        <v>297</v>
      </c>
      <c r="H55" s="398">
        <v>990</v>
      </c>
      <c r="I55" s="398">
        <v>1287</v>
      </c>
      <c r="J55" s="398"/>
      <c r="K55" s="758">
        <v>0</v>
      </c>
      <c r="L55" s="511">
        <v>1287</v>
      </c>
      <c r="M55" s="510"/>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55">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59" t="s">
        <v>422</v>
      </c>
      <c r="D58"/>
      <c r="E58" s="67"/>
      <c r="F58" s="67"/>
      <c r="G58" s="242">
        <v>1122.9000000000233</v>
      </c>
      <c r="H58" s="242">
        <v>-1652.6560033332789</v>
      </c>
      <c r="I58" s="242">
        <v>-529.75600333325565</v>
      </c>
      <c r="J58" s="232"/>
      <c r="K58" s="242">
        <v>5738</v>
      </c>
      <c r="L58" s="760">
        <v>-6267.7560033332556</v>
      </c>
      <c r="M58" s="755">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59" t="s">
        <v>423</v>
      </c>
      <c r="D62"/>
      <c r="E62"/>
      <c r="F62"/>
      <c r="G62" s="761">
        <v>-18377.099999999977</v>
      </c>
      <c r="H62" s="761">
        <v>-21372.656003333279</v>
      </c>
      <c r="I62" s="761">
        <v>-39749.756003333256</v>
      </c>
      <c r="J62" s="237"/>
      <c r="K62" s="761">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424</v>
      </c>
      <c r="G64" s="232"/>
      <c r="H64" s="232"/>
      <c r="I64" s="232"/>
      <c r="J64" s="232"/>
      <c r="K64" s="232"/>
    </row>
    <row r="65" spans="1:11" s="76" customFormat="1" ht="20.25" x14ac:dyDescent="0.2">
      <c r="A65" s="79"/>
      <c r="B65" s="79"/>
      <c r="D65" s="79"/>
      <c r="E65" s="79"/>
      <c r="F65" s="763" t="s">
        <v>425</v>
      </c>
      <c r="G65" s="232"/>
      <c r="H65" s="232"/>
      <c r="I65" s="232"/>
      <c r="J65" s="232"/>
      <c r="K65" s="232"/>
    </row>
    <row r="66" spans="1:11" s="76" customFormat="1" ht="20.25" x14ac:dyDescent="0.2">
      <c r="A66" s="79"/>
      <c r="B66" s="79"/>
      <c r="D66" s="79"/>
      <c r="E66" s="79"/>
      <c r="F66" s="763" t="s">
        <v>430</v>
      </c>
      <c r="G66" s="232"/>
      <c r="H66" s="232"/>
      <c r="I66" s="232"/>
      <c r="J66" s="232"/>
      <c r="K66" s="232"/>
    </row>
    <row r="67" spans="1:11" s="68" customFormat="1" ht="20.25" x14ac:dyDescent="0.2">
      <c r="A67" s="67"/>
      <c r="B67" s="67"/>
      <c r="D67" s="79"/>
      <c r="E67" s="67"/>
      <c r="F67" s="763" t="s">
        <v>426</v>
      </c>
      <c r="G67" s="232"/>
      <c r="H67" s="232"/>
      <c r="I67" s="232"/>
      <c r="J67" s="232"/>
      <c r="K67" s="232"/>
    </row>
    <row r="68" spans="1:11" s="68" customFormat="1" ht="23.25" x14ac:dyDescent="0.2">
      <c r="A68" s="67"/>
      <c r="B68" s="271"/>
      <c r="C68" s="67"/>
      <c r="D68" s="67"/>
      <c r="E68" s="67"/>
      <c r="F68" s="763" t="s">
        <v>427</v>
      </c>
      <c r="G68" s="237"/>
      <c r="H68" s="237"/>
      <c r="I68" s="237"/>
      <c r="J68" s="237"/>
      <c r="K68" s="237"/>
    </row>
    <row r="69" spans="1:11" s="68" customFormat="1" ht="20.25" x14ac:dyDescent="0.2">
      <c r="A69" s="67"/>
      <c r="B69" s="67"/>
      <c r="C69" s="67"/>
      <c r="D69" s="67"/>
      <c r="E69" s="67"/>
      <c r="F69" s="763" t="s">
        <v>428</v>
      </c>
      <c r="G69" s="232"/>
      <c r="H69" s="232"/>
      <c r="I69" s="232"/>
      <c r="J69" s="232"/>
      <c r="K69" s="232"/>
    </row>
    <row r="70" spans="1:11" s="82" customFormat="1" ht="26.25" x14ac:dyDescent="0.2">
      <c r="A70" s="268"/>
      <c r="B70" s="268"/>
      <c r="C70" s="268"/>
      <c r="D70" s="268"/>
      <c r="E70" s="268"/>
      <c r="F70" s="763" t="s">
        <v>429</v>
      </c>
      <c r="G70" s="237"/>
      <c r="H70" s="237"/>
      <c r="I70" s="237"/>
      <c r="J70" s="237"/>
      <c r="K70" s="237"/>
    </row>
    <row r="71" spans="1:11" s="18" customFormat="1" ht="20.25" x14ac:dyDescent="0.3">
      <c r="A71" s="122"/>
      <c r="B71" s="122"/>
      <c r="C71" s="122"/>
      <c r="D71" s="122"/>
      <c r="E71" s="122"/>
      <c r="F71" s="764"/>
      <c r="G71" s="277"/>
      <c r="H71" s="277"/>
      <c r="I71" s="277"/>
      <c r="J71" s="277"/>
      <c r="K71" s="277"/>
    </row>
    <row r="72" spans="1:11" ht="20.25" x14ac:dyDescent="0.3">
      <c r="F72" s="765"/>
      <c r="G72" s="277"/>
      <c r="H72" s="277"/>
      <c r="I72" s="277"/>
      <c r="J72" s="277"/>
      <c r="K72" s="277"/>
    </row>
    <row r="73" spans="1:11" ht="20.25" x14ac:dyDescent="0.3">
      <c r="F73" s="765"/>
      <c r="G73" s="762"/>
      <c r="H73" s="277"/>
      <c r="I73" s="277"/>
      <c r="J73" s="277"/>
      <c r="K73" s="277"/>
    </row>
    <row r="74" spans="1:11" ht="20.25" x14ac:dyDescent="0.3">
      <c r="F74" s="765"/>
      <c r="G74" s="274"/>
      <c r="H74" s="274"/>
      <c r="I74" s="274"/>
      <c r="J74" s="274"/>
      <c r="K74" s="274"/>
    </row>
    <row r="75" spans="1:11" ht="18" x14ac:dyDescent="0.25">
      <c r="F75" s="765"/>
    </row>
    <row r="76" spans="1:11" ht="18" x14ac:dyDescent="0.25">
      <c r="F76" s="765"/>
    </row>
    <row r="77" spans="1:11" ht="18" x14ac:dyDescent="0.25">
      <c r="F77" s="765"/>
    </row>
    <row r="78" spans="1:11" ht="18" x14ac:dyDescent="0.25">
      <c r="F78" s="765"/>
    </row>
    <row r="79" spans="1:11" ht="18" x14ac:dyDescent="0.25">
      <c r="F79" s="765"/>
    </row>
    <row r="80" spans="1:11" ht="18" x14ac:dyDescent="0.25">
      <c r="F80" s="765"/>
    </row>
    <row r="81" spans="6:6" ht="18" x14ac:dyDescent="0.25">
      <c r="F81" s="765"/>
    </row>
    <row r="82" spans="6:6" ht="18" x14ac:dyDescent="0.25">
      <c r="F82" s="765"/>
    </row>
    <row r="83" spans="6:6" ht="18" x14ac:dyDescent="0.25">
      <c r="F83" s="766"/>
    </row>
    <row r="84" spans="6:6" ht="18" x14ac:dyDescent="0.25">
      <c r="F84" s="766"/>
    </row>
  </sheetData>
  <mergeCells count="3">
    <mergeCell ref="G5:K5"/>
    <mergeCell ref="L7:M7"/>
    <mergeCell ref="C46:F4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S96"/>
  <sheetViews>
    <sheetView topLeftCell="A37" zoomScale="85" zoomScaleNormal="85" workbookViewId="0">
      <selection activeCell="H69" sqref="H69"/>
    </sheetView>
  </sheetViews>
  <sheetFormatPr defaultRowHeight="14.25" x14ac:dyDescent="0.2"/>
  <cols>
    <col min="1" max="1" width="50" style="4" customWidth="1"/>
    <col min="2" max="2" width="26" style="4" customWidth="1"/>
    <col min="3" max="3" width="17.25" style="778" customWidth="1"/>
    <col min="4" max="4" width="13.625" style="778" customWidth="1"/>
    <col min="5" max="5" width="12.75" style="778"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669" width="9" style="1"/>
  </cols>
  <sheetData>
    <row r="1" spans="1:669"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row>
    <row r="2" spans="1:669"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row>
    <row r="3" spans="1:669" s="15" customFormat="1" ht="18" x14ac:dyDescent="0.25">
      <c r="A3" s="16" t="s">
        <v>617</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row>
    <row r="4" spans="1:669"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row>
    <row r="5" spans="1:669"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row>
    <row r="6" spans="1:669" s="23" customFormat="1" ht="30.75" thickBot="1" x14ac:dyDescent="0.25">
      <c r="A6" s="314" t="s">
        <v>22</v>
      </c>
      <c r="B6" s="844" t="s">
        <v>12</v>
      </c>
      <c r="C6" s="314" t="s">
        <v>1</v>
      </c>
      <c r="D6" s="844" t="s">
        <v>2</v>
      </c>
      <c r="E6" s="314" t="s">
        <v>3</v>
      </c>
      <c r="F6" s="769" t="s">
        <v>9</v>
      </c>
      <c r="G6" s="319" t="s">
        <v>27</v>
      </c>
      <c r="H6" s="769" t="s">
        <v>196</v>
      </c>
      <c r="I6" s="968" t="s">
        <v>26</v>
      </c>
      <c r="J6" s="319" t="s">
        <v>19</v>
      </c>
      <c r="K6" s="971"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row>
    <row r="7" spans="1:669" hidden="1" x14ac:dyDescent="0.2">
      <c r="A7" s="716" t="s">
        <v>327</v>
      </c>
      <c r="B7" s="843" t="s">
        <v>14</v>
      </c>
      <c r="C7" s="291" t="s">
        <v>341</v>
      </c>
      <c r="D7" s="7">
        <v>43466</v>
      </c>
      <c r="E7" s="290">
        <v>43830</v>
      </c>
      <c r="F7" s="768"/>
      <c r="G7" s="293"/>
      <c r="H7" s="308"/>
      <c r="I7" s="969"/>
      <c r="J7" s="307"/>
      <c r="K7" s="972"/>
      <c r="L7" s="46"/>
      <c r="M7" s="29"/>
      <c r="N7" s="29"/>
    </row>
    <row r="8" spans="1:669" hidden="1" x14ac:dyDescent="0.2">
      <c r="A8" s="716" t="s">
        <v>504</v>
      </c>
      <c r="B8" s="920" t="s">
        <v>14</v>
      </c>
      <c r="C8" s="291"/>
      <c r="D8" s="921">
        <v>44287</v>
      </c>
      <c r="E8" s="290">
        <v>44635</v>
      </c>
      <c r="F8" s="922">
        <v>29668</v>
      </c>
      <c r="G8" s="293">
        <f>F8</f>
        <v>29668</v>
      </c>
      <c r="H8" s="923">
        <f>'December''22 AR Aging '!G6</f>
        <v>15310</v>
      </c>
      <c r="I8" s="847">
        <v>29668</v>
      </c>
      <c r="J8" s="739">
        <f>F8-I8</f>
        <v>0</v>
      </c>
      <c r="K8" s="973"/>
      <c r="L8" s="46"/>
      <c r="M8" s="29"/>
      <c r="N8" s="29"/>
    </row>
    <row r="9" spans="1:669" x14ac:dyDescent="0.2">
      <c r="A9" s="929" t="s">
        <v>618</v>
      </c>
      <c r="B9" s="938" t="s">
        <v>14</v>
      </c>
      <c r="C9" s="943"/>
      <c r="D9" s="924">
        <v>44652</v>
      </c>
      <c r="E9" s="846">
        <v>45016</v>
      </c>
      <c r="F9" s="953">
        <v>15310</v>
      </c>
      <c r="G9" s="925"/>
      <c r="H9" s="811">
        <f>'December''22 AR Aging '!G6</f>
        <v>15310</v>
      </c>
      <c r="I9" s="925">
        <v>15310</v>
      </c>
      <c r="J9" s="953">
        <v>0</v>
      </c>
      <c r="K9" s="974"/>
      <c r="L9" s="248"/>
      <c r="M9" s="282"/>
      <c r="N9" s="29"/>
    </row>
    <row r="10" spans="1:669" x14ac:dyDescent="0.2">
      <c r="A10" s="930" t="s">
        <v>474</v>
      </c>
      <c r="B10" s="939" t="s">
        <v>13</v>
      </c>
      <c r="C10" s="944" t="s">
        <v>341</v>
      </c>
      <c r="D10" s="723">
        <v>44562</v>
      </c>
      <c r="E10" s="783">
        <v>44926</v>
      </c>
      <c r="F10" s="954">
        <v>141001</v>
      </c>
      <c r="G10" s="770">
        <f>I10-H10</f>
        <v>100549.88</v>
      </c>
      <c r="H10" s="306">
        <f>'December''22 AR Aging '!G7</f>
        <v>40451.120000000003</v>
      </c>
      <c r="I10" s="770">
        <v>141001</v>
      </c>
      <c r="J10" s="957">
        <f>F10-I10</f>
        <v>0</v>
      </c>
      <c r="K10" s="949"/>
      <c r="L10" s="785"/>
      <c r="M10" s="282"/>
      <c r="N10" s="29"/>
    </row>
    <row r="11" spans="1:669" hidden="1" x14ac:dyDescent="0.2">
      <c r="A11" s="926" t="s">
        <v>466</v>
      </c>
      <c r="B11" s="620" t="s">
        <v>13</v>
      </c>
      <c r="C11" s="6" t="s">
        <v>340</v>
      </c>
      <c r="D11" s="290">
        <v>44378</v>
      </c>
      <c r="E11" s="7">
        <v>44742</v>
      </c>
      <c r="F11" s="955"/>
      <c r="G11" s="308"/>
      <c r="H11" s="293"/>
      <c r="I11" s="308"/>
      <c r="J11" s="307"/>
      <c r="K11" s="972"/>
      <c r="L11" s="785"/>
      <c r="M11" s="282"/>
      <c r="N11" s="29"/>
    </row>
    <row r="12" spans="1:669" x14ac:dyDescent="0.2">
      <c r="A12" s="928" t="s">
        <v>619</v>
      </c>
      <c r="B12" s="939" t="s">
        <v>13</v>
      </c>
      <c r="C12" s="919" t="s">
        <v>340</v>
      </c>
      <c r="D12" s="723">
        <v>44743</v>
      </c>
      <c r="E12" s="783">
        <v>45107</v>
      </c>
      <c r="F12" s="956">
        <v>300000</v>
      </c>
      <c r="G12" s="770">
        <f>I12-H12</f>
        <v>59600.869999999995</v>
      </c>
      <c r="H12" s="306">
        <f>'December''22 AR Aging '!G13</f>
        <v>85031.1</v>
      </c>
      <c r="I12" s="770">
        <v>144631.97</v>
      </c>
      <c r="J12" s="957">
        <f>F12-I12</f>
        <v>155368.03</v>
      </c>
      <c r="K12" s="975"/>
      <c r="L12" s="785"/>
      <c r="M12" s="282"/>
      <c r="N12" s="29"/>
    </row>
    <row r="13" spans="1:669" hidden="1" x14ac:dyDescent="0.2">
      <c r="A13" s="926" t="s">
        <v>342</v>
      </c>
      <c r="B13" s="620" t="s">
        <v>13</v>
      </c>
      <c r="C13" s="6" t="s">
        <v>155</v>
      </c>
      <c r="D13" s="290">
        <v>43374</v>
      </c>
      <c r="E13" s="7">
        <v>43585</v>
      </c>
      <c r="F13" s="307"/>
      <c r="G13" s="308"/>
      <c r="H13" s="293"/>
      <c r="I13" s="308"/>
      <c r="J13" s="307"/>
      <c r="K13" s="972"/>
      <c r="L13" s="785"/>
      <c r="M13" s="282"/>
      <c r="N13" s="29"/>
    </row>
    <row r="14" spans="1:669" hidden="1" x14ac:dyDescent="0.2">
      <c r="A14" s="926" t="s">
        <v>462</v>
      </c>
      <c r="B14" s="620" t="s">
        <v>13</v>
      </c>
      <c r="C14" s="6" t="s">
        <v>364</v>
      </c>
      <c r="D14" s="290">
        <v>44409</v>
      </c>
      <c r="E14" s="7">
        <v>44773</v>
      </c>
      <c r="F14" s="307"/>
      <c r="G14" s="308"/>
      <c r="H14" s="293"/>
      <c r="I14" s="308"/>
      <c r="J14" s="307"/>
      <c r="K14" s="927"/>
      <c r="L14" s="785"/>
      <c r="M14" s="282"/>
      <c r="N14" s="29"/>
    </row>
    <row r="15" spans="1:669" x14ac:dyDescent="0.2">
      <c r="A15" s="928" t="s">
        <v>620</v>
      </c>
      <c r="B15" s="939" t="s">
        <v>13</v>
      </c>
      <c r="C15" s="919" t="s">
        <v>364</v>
      </c>
      <c r="D15" s="723">
        <v>44774</v>
      </c>
      <c r="E15" s="783">
        <v>45137</v>
      </c>
      <c r="F15" s="957">
        <v>330000</v>
      </c>
      <c r="G15" s="770">
        <f>I15-H15</f>
        <v>0</v>
      </c>
      <c r="H15" s="306">
        <f>'December''22 AR Aging '!G31</f>
        <v>129389.37</v>
      </c>
      <c r="I15" s="770">
        <f>H15</f>
        <v>129389.37</v>
      </c>
      <c r="J15" s="957">
        <f>F15-I15</f>
        <v>200610.63</v>
      </c>
      <c r="K15" s="949"/>
      <c r="L15" s="786"/>
      <c r="M15" s="282"/>
      <c r="N15" s="29"/>
    </row>
    <row r="16" spans="1:669" s="3" customFormat="1" hidden="1" x14ac:dyDescent="0.2">
      <c r="A16" s="931" t="s">
        <v>401</v>
      </c>
      <c r="B16" s="940" t="s">
        <v>16</v>
      </c>
      <c r="C16" s="945" t="s">
        <v>5</v>
      </c>
      <c r="D16" s="724">
        <v>43831</v>
      </c>
      <c r="E16" s="784">
        <v>44196</v>
      </c>
      <c r="F16" s="958"/>
      <c r="G16" s="963"/>
      <c r="H16" s="293"/>
      <c r="I16" s="963"/>
      <c r="J16" s="958"/>
      <c r="K16" s="950"/>
      <c r="L16" s="785"/>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row>
    <row r="17" spans="1:669" s="3" customFormat="1" ht="13.5" hidden="1" customHeight="1" x14ac:dyDescent="0.2">
      <c r="A17" s="926"/>
      <c r="B17" s="620"/>
      <c r="C17" s="6"/>
      <c r="D17" s="290"/>
      <c r="E17" s="7"/>
      <c r="F17" s="307"/>
      <c r="G17" s="308"/>
      <c r="H17" s="293"/>
      <c r="I17" s="970"/>
      <c r="J17" s="307"/>
      <c r="K17" s="927"/>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row>
    <row r="18" spans="1:669" s="3" customFormat="1" hidden="1" x14ac:dyDescent="0.2">
      <c r="A18" s="932" t="s">
        <v>434</v>
      </c>
      <c r="B18" s="620" t="s">
        <v>16</v>
      </c>
      <c r="C18" s="6" t="s">
        <v>21</v>
      </c>
      <c r="D18" s="290">
        <v>44287</v>
      </c>
      <c r="E18" s="7">
        <v>44468</v>
      </c>
      <c r="F18" s="307"/>
      <c r="G18" s="308"/>
      <c r="H18" s="293"/>
      <c r="I18" s="308"/>
      <c r="J18" s="307"/>
      <c r="K18" s="927"/>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row>
    <row r="19" spans="1:669" s="3" customFormat="1" hidden="1" x14ac:dyDescent="0.2">
      <c r="A19" s="926"/>
      <c r="B19" s="620" t="s">
        <v>16</v>
      </c>
      <c r="C19" s="6" t="s">
        <v>21</v>
      </c>
      <c r="D19" s="290">
        <v>42644</v>
      </c>
      <c r="E19" s="7">
        <v>43008</v>
      </c>
      <c r="F19" s="307"/>
      <c r="G19" s="308"/>
      <c r="H19" s="307"/>
      <c r="I19" s="308"/>
      <c r="J19" s="307"/>
      <c r="K19" s="976"/>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row>
    <row r="20" spans="1:669" s="3" customFormat="1" hidden="1" x14ac:dyDescent="0.2">
      <c r="A20" s="926" t="s">
        <v>195</v>
      </c>
      <c r="B20" s="620" t="s">
        <v>16</v>
      </c>
      <c r="C20" s="6" t="s">
        <v>21</v>
      </c>
      <c r="D20" s="290">
        <v>43556</v>
      </c>
      <c r="E20" s="7">
        <v>43921</v>
      </c>
      <c r="F20" s="307"/>
      <c r="G20" s="308"/>
      <c r="H20" s="307"/>
      <c r="I20" s="308"/>
      <c r="J20" s="307"/>
      <c r="K20" s="976"/>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row>
    <row r="21" spans="1:669" s="3" customFormat="1" ht="12.75" hidden="1" customHeight="1" x14ac:dyDescent="0.2">
      <c r="A21" s="926" t="s">
        <v>195</v>
      </c>
      <c r="B21" s="620" t="s">
        <v>16</v>
      </c>
      <c r="C21" s="6" t="s">
        <v>21</v>
      </c>
      <c r="D21" s="290">
        <v>43922</v>
      </c>
      <c r="E21" s="7">
        <v>44286</v>
      </c>
      <c r="F21" s="959"/>
      <c r="G21" s="308"/>
      <c r="H21" s="307"/>
      <c r="I21" s="308"/>
      <c r="J21" s="307"/>
      <c r="K21" s="927"/>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row>
    <row r="22" spans="1:669" s="3" customFormat="1" ht="12.75" customHeight="1" x14ac:dyDescent="0.2">
      <c r="A22" s="926" t="s">
        <v>476</v>
      </c>
      <c r="B22" s="620" t="s">
        <v>16</v>
      </c>
      <c r="C22" s="6" t="s">
        <v>5</v>
      </c>
      <c r="D22" s="290">
        <v>44562</v>
      </c>
      <c r="E22" s="7">
        <v>44926</v>
      </c>
      <c r="F22" s="959">
        <v>46000</v>
      </c>
      <c r="G22" s="308">
        <f>I22-H22</f>
        <v>38333.5</v>
      </c>
      <c r="H22" s="307">
        <f>'December''22 AR Aging '!G39</f>
        <v>7666.5</v>
      </c>
      <c r="I22" s="308">
        <f>46000/12*12</f>
        <v>46000</v>
      </c>
      <c r="J22" s="307">
        <f>F22-I22</f>
        <v>0</v>
      </c>
      <c r="K22" s="927"/>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row>
    <row r="23" spans="1:669" s="3" customFormat="1" ht="12.95" customHeight="1" x14ac:dyDescent="0.2">
      <c r="A23" s="933" t="s">
        <v>621</v>
      </c>
      <c r="B23" s="620" t="s">
        <v>16</v>
      </c>
      <c r="C23" s="6" t="s">
        <v>21</v>
      </c>
      <c r="D23" s="290">
        <v>44927</v>
      </c>
      <c r="E23" s="7">
        <v>45291</v>
      </c>
      <c r="F23" s="959">
        <v>47500</v>
      </c>
      <c r="G23" s="308"/>
      <c r="H23" s="307"/>
      <c r="I23" s="308"/>
      <c r="J23" s="307"/>
      <c r="K23" s="927"/>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row>
    <row r="24" spans="1:669" s="3" customFormat="1" ht="12.75" customHeight="1" x14ac:dyDescent="0.25">
      <c r="A24" s="926" t="s">
        <v>624</v>
      </c>
      <c r="B24" s="620" t="s">
        <v>16</v>
      </c>
      <c r="C24" s="6" t="s">
        <v>21</v>
      </c>
      <c r="D24" s="290">
        <v>44866</v>
      </c>
      <c r="E24" s="7">
        <v>45199</v>
      </c>
      <c r="F24" s="959">
        <v>14282</v>
      </c>
      <c r="G24" s="308">
        <f>I24-H24</f>
        <v>0</v>
      </c>
      <c r="H24" s="307">
        <f>'December''22 AR Aging '!G48</f>
        <v>469</v>
      </c>
      <c r="I24" s="308">
        <f>H24</f>
        <v>469</v>
      </c>
      <c r="J24" s="307">
        <f>F24-I24</f>
        <v>13813</v>
      </c>
      <c r="K24" s="927"/>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row>
    <row r="25" spans="1:669" s="3" customFormat="1" ht="15" customHeight="1" x14ac:dyDescent="0.2">
      <c r="A25" s="928" t="s">
        <v>457</v>
      </c>
      <c r="B25" s="939" t="s">
        <v>16</v>
      </c>
      <c r="C25" s="919" t="s">
        <v>21</v>
      </c>
      <c r="D25" s="723">
        <v>44652</v>
      </c>
      <c r="E25" s="783">
        <v>45016</v>
      </c>
      <c r="F25" s="960">
        <v>147911</v>
      </c>
      <c r="G25" s="770">
        <f>I25-H25</f>
        <v>81165.52</v>
      </c>
      <c r="H25" s="957">
        <f>'December''22 AR Aging '!G50</f>
        <v>28525.97</v>
      </c>
      <c r="I25" s="770">
        <v>109691.49</v>
      </c>
      <c r="J25" s="957">
        <f>147911-I25</f>
        <v>38219.509999999995</v>
      </c>
      <c r="K25" s="949"/>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row>
    <row r="26" spans="1:669" s="3" customFormat="1" ht="12.75" hidden="1" customHeight="1" x14ac:dyDescent="0.2">
      <c r="A26" s="934" t="s">
        <v>439</v>
      </c>
      <c r="B26" s="941" t="s">
        <v>389</v>
      </c>
      <c r="C26" s="503" t="s">
        <v>21</v>
      </c>
      <c r="D26" s="790">
        <v>44256</v>
      </c>
      <c r="E26" s="789">
        <v>44621</v>
      </c>
      <c r="F26" s="959"/>
      <c r="G26" s="308"/>
      <c r="H26" s="307"/>
      <c r="I26" s="308"/>
      <c r="J26" s="307"/>
      <c r="K26" s="927"/>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row>
    <row r="27" spans="1:669" s="3" customFormat="1" ht="12.75" hidden="1" customHeight="1" x14ac:dyDescent="0.2">
      <c r="A27" s="934"/>
      <c r="B27" s="941"/>
      <c r="C27" s="503"/>
      <c r="D27" s="790"/>
      <c r="E27" s="789"/>
      <c r="F27" s="959"/>
      <c r="G27" s="308"/>
      <c r="H27" s="307"/>
      <c r="I27" s="308"/>
      <c r="J27" s="307"/>
      <c r="K27" s="927"/>
      <c r="L27" s="248"/>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row>
    <row r="28" spans="1:669" s="721" customFormat="1" ht="15.75" customHeight="1" x14ac:dyDescent="0.2">
      <c r="A28" s="934" t="s">
        <v>477</v>
      </c>
      <c r="B28" s="941" t="s">
        <v>389</v>
      </c>
      <c r="C28" s="503" t="s">
        <v>21</v>
      </c>
      <c r="D28" s="790">
        <v>44562</v>
      </c>
      <c r="E28" s="789">
        <v>44926</v>
      </c>
      <c r="F28" s="961">
        <v>119886</v>
      </c>
      <c r="G28" s="964">
        <f t="shared" ref="G28:G30" si="0">I28-H28</f>
        <v>89538.73000000001</v>
      </c>
      <c r="H28" s="966">
        <f>'December''22 AR Aging '!G70</f>
        <v>20188.82</v>
      </c>
      <c r="I28" s="964">
        <v>109727.55</v>
      </c>
      <c r="J28" s="966">
        <f>F28-I28</f>
        <v>10158.449999999997</v>
      </c>
      <c r="K28" s="951"/>
      <c r="L28" s="717"/>
      <c r="M28" s="718"/>
      <c r="N28" s="719"/>
      <c r="O28" s="719"/>
      <c r="P28" s="719"/>
      <c r="Q28" s="719"/>
      <c r="R28" s="719"/>
      <c r="S28" s="719"/>
      <c r="T28" s="719"/>
      <c r="U28" s="719"/>
      <c r="V28" s="719"/>
      <c r="W28" s="719"/>
      <c r="X28" s="719"/>
      <c r="Y28" s="719"/>
      <c r="Z28" s="719"/>
      <c r="AA28" s="719"/>
      <c r="AB28" s="720"/>
      <c r="AC28" s="720"/>
      <c r="AD28" s="720"/>
      <c r="AE28" s="720"/>
      <c r="AF28" s="720"/>
      <c r="AG28" s="720"/>
      <c r="AH28" s="720"/>
      <c r="AI28" s="720"/>
      <c r="AJ28" s="720"/>
      <c r="AK28" s="720"/>
      <c r="AL28" s="720"/>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8"/>
      <c r="DT28" s="368"/>
      <c r="DU28" s="368"/>
      <c r="DV28" s="368"/>
      <c r="DW28" s="368"/>
      <c r="DX28" s="368"/>
      <c r="DY28" s="368"/>
      <c r="DZ28" s="368"/>
      <c r="EA28" s="368"/>
      <c r="EB28" s="368"/>
      <c r="EC28" s="368"/>
      <c r="ED28" s="368"/>
      <c r="EE28" s="368"/>
      <c r="EF28" s="368"/>
      <c r="EG28" s="368"/>
      <c r="EH28" s="368"/>
      <c r="EI28" s="368"/>
      <c r="EJ28" s="368"/>
      <c r="EK28" s="368"/>
      <c r="EL28" s="368"/>
      <c r="EM28" s="368"/>
      <c r="EN28" s="368"/>
      <c r="EO28" s="368"/>
      <c r="EP28" s="368"/>
      <c r="EQ28" s="368"/>
      <c r="ER28" s="368"/>
      <c r="ES28" s="368"/>
      <c r="ET28" s="368"/>
      <c r="EU28" s="368"/>
      <c r="EV28" s="368"/>
      <c r="EW28" s="368"/>
      <c r="EX28" s="368"/>
      <c r="EY28" s="368"/>
      <c r="EZ28" s="368"/>
      <c r="FA28" s="368"/>
      <c r="FB28" s="368"/>
      <c r="FC28" s="368"/>
      <c r="FD28" s="368"/>
      <c r="FE28" s="368"/>
      <c r="FF28" s="368"/>
      <c r="FG28" s="368"/>
      <c r="FH28" s="368"/>
      <c r="FI28" s="368"/>
      <c r="FJ28" s="368"/>
      <c r="FK28" s="368"/>
      <c r="FL28" s="368"/>
      <c r="FM28" s="368"/>
      <c r="FN28" s="368"/>
      <c r="FO28" s="368"/>
      <c r="FP28" s="368"/>
      <c r="FQ28" s="368"/>
      <c r="FR28" s="368"/>
      <c r="FS28" s="368"/>
      <c r="FT28" s="368"/>
      <c r="FU28" s="368"/>
      <c r="FV28" s="368"/>
      <c r="FW28" s="368"/>
      <c r="FX28" s="368"/>
      <c r="FY28" s="368"/>
      <c r="FZ28" s="368"/>
      <c r="GA28" s="368"/>
      <c r="GB28" s="368"/>
      <c r="GC28" s="368"/>
      <c r="GD28" s="368"/>
      <c r="GE28" s="368"/>
      <c r="GF28" s="368"/>
      <c r="GG28" s="368"/>
      <c r="GH28" s="368"/>
      <c r="GI28" s="368"/>
      <c r="GJ28" s="368"/>
      <c r="GK28" s="368"/>
      <c r="GL28" s="368"/>
      <c r="GM28" s="368"/>
      <c r="GN28" s="368"/>
      <c r="GO28" s="368"/>
      <c r="GP28" s="368"/>
      <c r="GQ28" s="368"/>
      <c r="GR28" s="368"/>
      <c r="GS28" s="368"/>
      <c r="GT28" s="368"/>
      <c r="GU28" s="368"/>
      <c r="GV28" s="368"/>
      <c r="GW28" s="368"/>
      <c r="GX28" s="368"/>
      <c r="GY28" s="368"/>
      <c r="GZ28" s="368"/>
      <c r="HA28" s="368"/>
      <c r="HB28" s="368"/>
      <c r="HC28" s="368"/>
      <c r="HD28" s="368"/>
      <c r="HE28" s="368"/>
      <c r="HF28" s="368"/>
      <c r="HG28" s="368"/>
      <c r="HH28" s="368"/>
      <c r="HI28" s="368"/>
      <c r="HJ28" s="368"/>
      <c r="HK28" s="368"/>
      <c r="HL28" s="368"/>
      <c r="HM28" s="368"/>
      <c r="HN28" s="368"/>
      <c r="HO28" s="368"/>
      <c r="HP28" s="368"/>
      <c r="HQ28" s="368"/>
      <c r="HR28" s="368"/>
      <c r="HS28" s="368"/>
      <c r="HT28" s="368"/>
      <c r="HU28" s="368"/>
      <c r="HV28" s="368"/>
      <c r="HW28" s="368"/>
      <c r="HX28" s="368"/>
      <c r="HY28" s="368"/>
      <c r="HZ28" s="368"/>
      <c r="IA28" s="368"/>
      <c r="IB28" s="368"/>
      <c r="IC28" s="368"/>
      <c r="ID28" s="368"/>
      <c r="IE28" s="368"/>
      <c r="IF28" s="368"/>
      <c r="IG28" s="368"/>
      <c r="IH28" s="368"/>
      <c r="II28" s="368"/>
      <c r="IJ28" s="368"/>
      <c r="IK28" s="368"/>
      <c r="IL28" s="368"/>
      <c r="IM28" s="368"/>
      <c r="IN28" s="368"/>
      <c r="IO28" s="368"/>
      <c r="IP28" s="368"/>
      <c r="IQ28" s="368"/>
      <c r="IR28" s="368"/>
      <c r="IS28" s="368"/>
      <c r="IT28" s="368"/>
      <c r="IU28" s="368"/>
      <c r="IV28" s="368"/>
      <c r="IW28" s="368"/>
      <c r="IX28" s="368"/>
      <c r="IY28" s="368"/>
      <c r="IZ28" s="368"/>
      <c r="JA28" s="368"/>
      <c r="JB28" s="368"/>
      <c r="JC28" s="368"/>
      <c r="JD28" s="368"/>
      <c r="JE28" s="368"/>
      <c r="JF28" s="368"/>
      <c r="JG28" s="368"/>
      <c r="JH28" s="368"/>
      <c r="JI28" s="368"/>
      <c r="JJ28" s="368"/>
      <c r="JK28" s="368"/>
      <c r="JL28" s="368"/>
      <c r="JM28" s="368"/>
      <c r="JN28" s="368"/>
      <c r="JO28" s="368"/>
      <c r="JP28" s="368"/>
      <c r="JQ28" s="368"/>
      <c r="JR28" s="368"/>
      <c r="JS28" s="368"/>
      <c r="JT28" s="368"/>
      <c r="JU28" s="368"/>
      <c r="JV28" s="368"/>
      <c r="JW28" s="368"/>
      <c r="JX28" s="368"/>
      <c r="JY28" s="368"/>
      <c r="JZ28" s="368"/>
      <c r="KA28" s="368"/>
      <c r="KB28" s="368"/>
      <c r="KC28" s="368"/>
      <c r="KD28" s="368"/>
      <c r="KE28" s="368"/>
      <c r="KF28" s="368"/>
      <c r="KG28" s="368"/>
      <c r="KH28" s="368"/>
      <c r="KI28" s="368"/>
      <c r="KJ28" s="368"/>
      <c r="KK28" s="368"/>
      <c r="KL28" s="368"/>
      <c r="KM28" s="368"/>
      <c r="KN28" s="368"/>
      <c r="KO28" s="368"/>
      <c r="KP28" s="368"/>
      <c r="KQ28" s="368"/>
      <c r="KR28" s="368"/>
      <c r="KS28" s="368"/>
      <c r="KT28" s="368"/>
      <c r="KU28" s="368"/>
      <c r="KV28" s="368"/>
      <c r="KW28" s="368"/>
      <c r="KX28" s="368"/>
      <c r="KY28" s="368"/>
      <c r="KZ28" s="368"/>
      <c r="LA28" s="368"/>
      <c r="LB28" s="368"/>
      <c r="LC28" s="368"/>
      <c r="LD28" s="368"/>
      <c r="LE28" s="368"/>
      <c r="LF28" s="368"/>
      <c r="LG28" s="368"/>
      <c r="LH28" s="368"/>
      <c r="LI28" s="368"/>
      <c r="LJ28" s="368"/>
      <c r="LK28" s="368"/>
      <c r="LL28" s="368"/>
      <c r="LM28" s="368"/>
      <c r="LN28" s="368"/>
      <c r="LO28" s="368"/>
      <c r="LP28" s="368"/>
      <c r="LQ28" s="368"/>
      <c r="LR28" s="368"/>
      <c r="LS28" s="368"/>
      <c r="LT28" s="368"/>
      <c r="LU28" s="368"/>
      <c r="LV28" s="368"/>
      <c r="LW28" s="368"/>
      <c r="LX28" s="368"/>
      <c r="LY28" s="368"/>
      <c r="LZ28" s="368"/>
      <c r="MA28" s="368"/>
      <c r="MB28" s="368"/>
      <c r="MC28" s="368"/>
      <c r="MD28" s="368"/>
      <c r="ME28" s="368"/>
      <c r="MF28" s="368"/>
      <c r="MG28" s="368"/>
      <c r="MH28" s="368"/>
      <c r="MI28" s="368"/>
      <c r="MJ28" s="368"/>
      <c r="MK28" s="368"/>
      <c r="ML28" s="368"/>
      <c r="MM28" s="368"/>
      <c r="MN28" s="368"/>
      <c r="MO28" s="368"/>
      <c r="MP28" s="368"/>
      <c r="MQ28" s="368"/>
      <c r="MR28" s="368"/>
      <c r="MS28" s="368"/>
      <c r="MT28" s="368"/>
      <c r="MU28" s="368"/>
      <c r="MV28" s="368"/>
      <c r="MW28" s="368"/>
      <c r="MX28" s="368"/>
      <c r="MY28" s="368"/>
      <c r="MZ28" s="368"/>
      <c r="NA28" s="368"/>
      <c r="NB28" s="368"/>
      <c r="NC28" s="368"/>
      <c r="ND28" s="368"/>
      <c r="NE28" s="368"/>
      <c r="NF28" s="368"/>
      <c r="NG28" s="368"/>
      <c r="NH28" s="368"/>
      <c r="NI28" s="368"/>
      <c r="NJ28" s="368"/>
      <c r="NK28" s="368"/>
      <c r="NL28" s="368"/>
      <c r="NM28" s="368"/>
      <c r="NN28" s="368"/>
      <c r="NO28" s="368"/>
      <c r="NP28" s="368"/>
      <c r="NQ28" s="368"/>
      <c r="NR28" s="368"/>
      <c r="NS28" s="368"/>
      <c r="NT28" s="368"/>
      <c r="NU28" s="368"/>
      <c r="NV28" s="368"/>
      <c r="NW28" s="368"/>
      <c r="NX28" s="368"/>
      <c r="NY28" s="368"/>
      <c r="NZ28" s="368"/>
      <c r="OA28" s="368"/>
      <c r="OB28" s="368"/>
      <c r="OC28" s="368"/>
      <c r="OD28" s="368"/>
      <c r="OE28" s="368"/>
      <c r="OF28" s="368"/>
      <c r="OG28" s="368"/>
      <c r="OH28" s="368"/>
      <c r="OI28" s="368"/>
      <c r="OJ28" s="368"/>
      <c r="OK28" s="368"/>
      <c r="OL28" s="368"/>
      <c r="OM28" s="368"/>
      <c r="ON28" s="368"/>
      <c r="OO28" s="368"/>
      <c r="OP28" s="368"/>
      <c r="OQ28" s="368"/>
      <c r="OR28" s="368"/>
      <c r="OS28" s="368"/>
      <c r="OT28" s="368"/>
      <c r="OU28" s="368"/>
      <c r="OV28" s="368"/>
      <c r="OW28" s="368"/>
      <c r="OX28" s="368"/>
      <c r="OY28" s="368"/>
      <c r="OZ28" s="368"/>
      <c r="PA28" s="368"/>
      <c r="PB28" s="368"/>
      <c r="PC28" s="368"/>
      <c r="PD28" s="368"/>
      <c r="PE28" s="368"/>
      <c r="PF28" s="368"/>
      <c r="PG28" s="368"/>
      <c r="PH28" s="368"/>
      <c r="PI28" s="368"/>
      <c r="PJ28" s="368"/>
      <c r="PK28" s="368"/>
      <c r="PL28" s="368"/>
      <c r="PM28" s="368"/>
      <c r="PN28" s="368"/>
      <c r="PO28" s="368"/>
      <c r="PP28" s="368"/>
      <c r="PQ28" s="368"/>
      <c r="PR28" s="368"/>
      <c r="PS28" s="368"/>
      <c r="PT28" s="368"/>
      <c r="PU28" s="368"/>
      <c r="PV28" s="368"/>
      <c r="PW28" s="368"/>
      <c r="PX28" s="368"/>
      <c r="PY28" s="368"/>
      <c r="PZ28" s="368"/>
      <c r="QA28" s="368"/>
      <c r="QB28" s="368"/>
      <c r="QC28" s="368"/>
      <c r="QD28" s="368"/>
      <c r="QE28" s="368"/>
      <c r="QF28" s="368"/>
      <c r="QG28" s="368"/>
      <c r="QH28" s="368"/>
      <c r="QI28" s="368"/>
      <c r="QJ28" s="368"/>
      <c r="QK28" s="368"/>
      <c r="QL28" s="368"/>
      <c r="QM28" s="368"/>
      <c r="QN28" s="368"/>
      <c r="QO28" s="368"/>
      <c r="QP28" s="368"/>
      <c r="QQ28" s="368"/>
      <c r="QR28" s="368"/>
      <c r="QS28" s="368"/>
      <c r="QT28" s="368"/>
      <c r="QU28" s="368"/>
      <c r="QV28" s="368"/>
      <c r="QW28" s="368"/>
      <c r="QX28" s="368"/>
      <c r="QY28" s="368"/>
      <c r="QZ28" s="368"/>
      <c r="RA28" s="368"/>
      <c r="RB28" s="368"/>
      <c r="RC28" s="368"/>
      <c r="RD28" s="368"/>
      <c r="RE28" s="368"/>
      <c r="RF28" s="368"/>
      <c r="RG28" s="368"/>
      <c r="RH28" s="368"/>
      <c r="RI28" s="368"/>
      <c r="RJ28" s="368"/>
      <c r="RK28" s="368"/>
      <c r="RL28" s="368"/>
      <c r="RM28" s="368"/>
      <c r="RN28" s="368"/>
      <c r="RO28" s="368"/>
      <c r="RP28" s="368"/>
      <c r="RQ28" s="368"/>
      <c r="RR28" s="368"/>
      <c r="RS28" s="368"/>
      <c r="RT28" s="368"/>
      <c r="RU28" s="368"/>
      <c r="RV28" s="368"/>
      <c r="RW28" s="368"/>
      <c r="RX28" s="368"/>
      <c r="RY28" s="368"/>
      <c r="RZ28" s="368"/>
      <c r="SA28" s="368"/>
      <c r="SB28" s="368"/>
      <c r="SC28" s="368"/>
      <c r="SD28" s="368"/>
      <c r="SE28" s="368"/>
      <c r="SF28" s="368"/>
      <c r="SG28" s="368"/>
      <c r="SH28" s="368"/>
      <c r="SI28" s="368"/>
      <c r="SJ28" s="368"/>
      <c r="SK28" s="368"/>
      <c r="SL28" s="368"/>
      <c r="SM28" s="368"/>
      <c r="SN28" s="368"/>
      <c r="SO28" s="368"/>
      <c r="SP28" s="368"/>
      <c r="SQ28" s="368"/>
      <c r="SR28" s="368"/>
      <c r="SS28" s="368"/>
      <c r="ST28" s="368"/>
      <c r="SU28" s="368"/>
      <c r="SV28" s="368"/>
      <c r="SW28" s="368"/>
      <c r="SX28" s="368"/>
      <c r="SY28" s="368"/>
      <c r="SZ28" s="368"/>
      <c r="TA28" s="368"/>
      <c r="TB28" s="368"/>
      <c r="TC28" s="368"/>
      <c r="TD28" s="368"/>
      <c r="TE28" s="368"/>
      <c r="TF28" s="368"/>
      <c r="TG28" s="368"/>
      <c r="TH28" s="368"/>
      <c r="TI28" s="368"/>
      <c r="TJ28" s="368"/>
      <c r="TK28" s="368"/>
      <c r="TL28" s="368"/>
      <c r="TM28" s="368"/>
      <c r="TN28" s="368"/>
      <c r="TO28" s="368"/>
      <c r="TP28" s="368"/>
      <c r="TQ28" s="368"/>
      <c r="TR28" s="368"/>
      <c r="TS28" s="368"/>
      <c r="TT28" s="368"/>
      <c r="TU28" s="368"/>
      <c r="TV28" s="368"/>
      <c r="TW28" s="368"/>
      <c r="TX28" s="368"/>
      <c r="TY28" s="368"/>
      <c r="TZ28" s="368"/>
      <c r="UA28" s="368"/>
      <c r="UB28" s="368"/>
      <c r="UC28" s="368"/>
      <c r="UD28" s="368"/>
      <c r="UE28" s="368"/>
      <c r="UF28" s="368"/>
      <c r="UG28" s="368"/>
      <c r="UH28" s="368"/>
      <c r="UI28" s="368"/>
      <c r="UJ28" s="368"/>
      <c r="UK28" s="368"/>
      <c r="UL28" s="368"/>
      <c r="UM28" s="368"/>
      <c r="UN28" s="368"/>
      <c r="UO28" s="368"/>
      <c r="UP28" s="368"/>
      <c r="UQ28" s="368"/>
      <c r="UR28" s="368"/>
      <c r="US28" s="368"/>
      <c r="UT28" s="368"/>
      <c r="UU28" s="368"/>
      <c r="UV28" s="368"/>
      <c r="UW28" s="368"/>
      <c r="UX28" s="368"/>
      <c r="UY28" s="368"/>
      <c r="UZ28" s="368"/>
      <c r="VA28" s="368"/>
      <c r="VB28" s="368"/>
      <c r="VC28" s="368"/>
      <c r="VD28" s="368"/>
      <c r="VE28" s="368"/>
      <c r="VF28" s="368"/>
      <c r="VG28" s="368"/>
      <c r="VH28" s="368"/>
      <c r="VI28" s="368"/>
      <c r="VJ28" s="368"/>
      <c r="VK28" s="368"/>
      <c r="VL28" s="368"/>
      <c r="VM28" s="368"/>
      <c r="VN28" s="368"/>
      <c r="VO28" s="368"/>
      <c r="VP28" s="368"/>
      <c r="VQ28" s="368"/>
      <c r="VR28" s="368"/>
      <c r="VS28" s="368"/>
      <c r="VT28" s="368"/>
      <c r="VU28" s="368"/>
      <c r="VV28" s="368"/>
      <c r="VW28" s="368"/>
      <c r="VX28" s="368"/>
      <c r="VY28" s="368"/>
      <c r="VZ28" s="368"/>
      <c r="WA28" s="368"/>
      <c r="WB28" s="368"/>
      <c r="WC28" s="368"/>
      <c r="WD28" s="368"/>
      <c r="WE28" s="368"/>
      <c r="WF28" s="368"/>
      <c r="WG28" s="368"/>
      <c r="WH28" s="368"/>
      <c r="WI28" s="368"/>
      <c r="WJ28" s="368"/>
      <c r="WK28" s="368"/>
      <c r="WL28" s="368"/>
      <c r="WM28" s="368"/>
      <c r="WN28" s="368"/>
      <c r="WO28" s="368"/>
      <c r="WP28" s="368"/>
      <c r="WQ28" s="368"/>
      <c r="WR28" s="368"/>
      <c r="WS28" s="368"/>
      <c r="WT28" s="368"/>
      <c r="WU28" s="368"/>
      <c r="WV28" s="368"/>
      <c r="WW28" s="368"/>
      <c r="WX28" s="368"/>
      <c r="WY28" s="368"/>
      <c r="WZ28" s="368"/>
      <c r="XA28" s="368"/>
      <c r="XB28" s="368"/>
      <c r="XC28" s="368"/>
      <c r="XD28" s="368"/>
      <c r="XE28" s="368"/>
      <c r="XF28" s="368"/>
      <c r="XG28" s="368"/>
      <c r="XH28" s="368"/>
      <c r="XI28" s="368"/>
      <c r="XJ28" s="368"/>
      <c r="XK28" s="368"/>
      <c r="XL28" s="368"/>
      <c r="XM28" s="368"/>
      <c r="XN28" s="368"/>
      <c r="XO28" s="368"/>
      <c r="XP28" s="368"/>
      <c r="XQ28" s="368"/>
      <c r="XR28" s="368"/>
      <c r="XS28" s="368"/>
      <c r="XT28" s="368"/>
      <c r="XU28" s="368"/>
      <c r="XV28" s="368"/>
      <c r="XW28" s="368"/>
      <c r="XX28" s="368"/>
      <c r="XY28" s="368"/>
      <c r="XZ28" s="368"/>
      <c r="YA28" s="368"/>
      <c r="YB28" s="368"/>
      <c r="YC28" s="368"/>
      <c r="YD28" s="368"/>
      <c r="YE28" s="368"/>
      <c r="YF28" s="368"/>
      <c r="YG28" s="368"/>
      <c r="YH28" s="368"/>
      <c r="YI28" s="368"/>
      <c r="YJ28" s="368"/>
      <c r="YK28" s="368"/>
      <c r="YL28" s="368"/>
      <c r="YM28" s="368"/>
      <c r="YN28" s="368"/>
      <c r="YO28" s="368"/>
      <c r="YP28" s="368"/>
      <c r="YQ28" s="368"/>
      <c r="YR28" s="368"/>
      <c r="YS28" s="368"/>
    </row>
    <row r="29" spans="1:669" s="3" customFormat="1" x14ac:dyDescent="0.2">
      <c r="A29" s="935" t="s">
        <v>622</v>
      </c>
      <c r="B29" s="942" t="s">
        <v>389</v>
      </c>
      <c r="C29" s="946" t="s">
        <v>21</v>
      </c>
      <c r="D29" s="788">
        <v>44927</v>
      </c>
      <c r="E29" s="787">
        <v>45016</v>
      </c>
      <c r="F29" s="962">
        <v>34809</v>
      </c>
      <c r="G29" s="965"/>
      <c r="H29" s="967"/>
      <c r="I29" s="965"/>
      <c r="J29" s="967"/>
      <c r="K29" s="949"/>
      <c r="L29" s="24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row>
    <row r="30" spans="1:669" s="3" customFormat="1" ht="15" x14ac:dyDescent="0.25">
      <c r="A30" s="926" t="s">
        <v>478</v>
      </c>
      <c r="B30" s="620" t="s">
        <v>305</v>
      </c>
      <c r="C30" s="6" t="s">
        <v>21</v>
      </c>
      <c r="D30" s="290">
        <v>44562</v>
      </c>
      <c r="E30" s="7">
        <v>44926</v>
      </c>
      <c r="F30" s="307">
        <v>18000</v>
      </c>
      <c r="G30" s="308">
        <f t="shared" si="0"/>
        <v>13500</v>
      </c>
      <c r="H30" s="307">
        <f>'December''22 AR Aging '!G40</f>
        <v>4500</v>
      </c>
      <c r="I30" s="308">
        <f>1500*12</f>
        <v>18000</v>
      </c>
      <c r="J30" s="307">
        <f>F30-I30</f>
        <v>0</v>
      </c>
      <c r="K30" s="927"/>
      <c r="L30" s="709"/>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row>
    <row r="31" spans="1:669" s="3" customFormat="1" ht="15" x14ac:dyDescent="0.25">
      <c r="A31" s="928" t="s">
        <v>623</v>
      </c>
      <c r="B31" s="939" t="s">
        <v>305</v>
      </c>
      <c r="C31" s="919" t="s">
        <v>21</v>
      </c>
      <c r="D31" s="723">
        <v>44927</v>
      </c>
      <c r="E31" s="783">
        <v>45291</v>
      </c>
      <c r="F31" s="957">
        <v>18000</v>
      </c>
      <c r="G31" s="770"/>
      <c r="H31" s="957"/>
      <c r="I31" s="770"/>
      <c r="J31" s="957"/>
      <c r="K31" s="949"/>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row>
    <row r="32" spans="1:669" s="3" customFormat="1" hidden="1" x14ac:dyDescent="0.2">
      <c r="A32" s="928"/>
      <c r="B32" s="939"/>
      <c r="C32" s="919"/>
      <c r="D32" s="723"/>
      <c r="E32" s="783"/>
      <c r="F32" s="957"/>
      <c r="G32" s="770"/>
      <c r="H32" s="957"/>
      <c r="I32" s="770"/>
      <c r="J32" s="957"/>
      <c r="K32" s="949"/>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row>
    <row r="33" spans="1:669" s="3" customFormat="1" hidden="1" x14ac:dyDescent="0.2">
      <c r="A33" s="936" t="s">
        <v>432</v>
      </c>
      <c r="B33" s="609" t="s">
        <v>179</v>
      </c>
      <c r="C33" s="6" t="s">
        <v>455</v>
      </c>
      <c r="D33" s="290">
        <v>44083</v>
      </c>
      <c r="E33" s="7">
        <v>44435</v>
      </c>
      <c r="F33" s="302"/>
      <c r="G33" s="308"/>
      <c r="H33" s="307"/>
      <c r="I33" s="308"/>
      <c r="J33" s="307"/>
      <c r="K33" s="927"/>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row>
    <row r="34" spans="1:669" s="3" customFormat="1" ht="15" thickBot="1" x14ac:dyDescent="0.25">
      <c r="A34" s="937" t="s">
        <v>525</v>
      </c>
      <c r="B34" s="381" t="s">
        <v>179</v>
      </c>
      <c r="C34" s="947" t="s">
        <v>455</v>
      </c>
      <c r="D34" s="382">
        <v>44783</v>
      </c>
      <c r="E34" s="774">
        <v>45142</v>
      </c>
      <c r="F34" s="738">
        <v>67748</v>
      </c>
      <c r="G34" s="775">
        <f>I34-H34</f>
        <v>12500.829999999998</v>
      </c>
      <c r="H34" s="303">
        <f>'December''22 AR Aging '!G60</f>
        <v>4361.59</v>
      </c>
      <c r="I34" s="775">
        <v>16862.419999999998</v>
      </c>
      <c r="J34" s="303">
        <f>F34-I34</f>
        <v>50885.58</v>
      </c>
      <c r="K34" s="952"/>
      <c r="L34" s="248"/>
      <c r="M34" s="282"/>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row>
    <row r="35" spans="1:669" s="17" customFormat="1" ht="16.5" thickBot="1" x14ac:dyDescent="0.3">
      <c r="A35" s="257" t="s">
        <v>33</v>
      </c>
      <c r="B35" s="258"/>
      <c r="C35" s="259"/>
      <c r="D35" s="260"/>
      <c r="E35" s="260"/>
      <c r="F35" s="284"/>
      <c r="G35" s="284">
        <f>SUM(G9:G34)</f>
        <v>395189.33</v>
      </c>
      <c r="H35" s="284">
        <f>SUM(H7:H34)</f>
        <v>351203.47</v>
      </c>
      <c r="I35" s="284">
        <f>SUM(I9:I34)</f>
        <v>731082.8</v>
      </c>
      <c r="J35" s="284">
        <f>SUM(J9:J34)</f>
        <v>469055.20000000007</v>
      </c>
      <c r="K35" s="284">
        <f>SUM(K9:K34)</f>
        <v>0</v>
      </c>
      <c r="L35" s="47"/>
      <c r="M35" s="37"/>
      <c r="N35" s="37"/>
      <c r="O35" s="37"/>
      <c r="P35" s="37"/>
      <c r="Q35" s="37"/>
      <c r="R35" s="37"/>
      <c r="S35" s="37"/>
      <c r="T35" s="37"/>
      <c r="U35" s="37"/>
      <c r="V35" s="37"/>
      <c r="W35" s="37"/>
      <c r="X35" s="37"/>
      <c r="Y35" s="37"/>
      <c r="Z35" s="37"/>
      <c r="AA35" s="37"/>
      <c r="AB35" s="38"/>
      <c r="AC35" s="38"/>
      <c r="AD35" s="38"/>
      <c r="AE35" s="38"/>
      <c r="AF35" s="38"/>
      <c r="AG35" s="38"/>
      <c r="AH35" s="38"/>
      <c r="AI35" s="38"/>
      <c r="AJ35" s="38"/>
      <c r="AK35" s="38"/>
      <c r="AL35" s="38"/>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c r="LY35" s="39"/>
      <c r="LZ35" s="39"/>
      <c r="MA35" s="39"/>
      <c r="MB35" s="39"/>
      <c r="MC35" s="39"/>
      <c r="MD35" s="39"/>
      <c r="ME35" s="39"/>
      <c r="MF35" s="39"/>
      <c r="MG35" s="39"/>
      <c r="MH35" s="39"/>
      <c r="MI35" s="39"/>
      <c r="MJ35" s="39"/>
      <c r="MK35" s="39"/>
      <c r="ML35" s="39"/>
      <c r="MM35" s="39"/>
      <c r="MN35" s="39"/>
      <c r="MO35" s="39"/>
      <c r="MP35" s="39"/>
      <c r="MQ35" s="39"/>
      <c r="MR35" s="39"/>
      <c r="MS35" s="39"/>
      <c r="MT35" s="39"/>
      <c r="MU35" s="39"/>
      <c r="MV35" s="39"/>
      <c r="MW35" s="39"/>
      <c r="MX35" s="39"/>
      <c r="MY35" s="39"/>
      <c r="MZ35" s="39"/>
      <c r="NA35" s="39"/>
      <c r="NB35" s="39"/>
      <c r="NC35" s="39"/>
      <c r="ND35" s="39"/>
      <c r="NE35" s="39"/>
      <c r="NF35" s="39"/>
      <c r="NG35" s="39"/>
      <c r="NH35" s="39"/>
      <c r="NI35" s="39"/>
      <c r="NJ35" s="39"/>
      <c r="NK35" s="39"/>
      <c r="NL35" s="39"/>
      <c r="NM35" s="39"/>
      <c r="NN35" s="39"/>
      <c r="NO35" s="39"/>
      <c r="NP35" s="39"/>
      <c r="NQ35" s="39"/>
      <c r="NR35" s="39"/>
      <c r="NS35" s="39"/>
      <c r="NT35" s="39"/>
      <c r="NU35" s="39"/>
      <c r="NV35" s="39"/>
      <c r="NW35" s="39"/>
      <c r="NX35" s="39"/>
      <c r="NY35" s="39"/>
      <c r="NZ35" s="39"/>
      <c r="OA35" s="39"/>
      <c r="OB35" s="39"/>
      <c r="OC35" s="39"/>
      <c r="OD35" s="39"/>
      <c r="OE35" s="39"/>
      <c r="OF35" s="39"/>
      <c r="OG35" s="39"/>
      <c r="OH35" s="39"/>
      <c r="OI35" s="39"/>
      <c r="OJ35" s="39"/>
      <c r="OK35" s="39"/>
      <c r="OL35" s="39"/>
      <c r="OM35" s="39"/>
      <c r="ON35" s="39"/>
      <c r="OO35" s="39"/>
      <c r="OP35" s="39"/>
      <c r="OQ35" s="39"/>
      <c r="OR35" s="39"/>
      <c r="OS35" s="39"/>
      <c r="OT35" s="39"/>
      <c r="OU35" s="39"/>
      <c r="OV35" s="39"/>
      <c r="OW35" s="39"/>
      <c r="OX35" s="39"/>
      <c r="OY35" s="39"/>
      <c r="OZ35" s="39"/>
      <c r="PA35" s="39"/>
      <c r="PB35" s="39"/>
      <c r="PC35" s="39"/>
      <c r="PD35" s="39"/>
      <c r="PE35" s="39"/>
      <c r="PF35" s="39"/>
      <c r="PG35" s="39"/>
      <c r="PH35" s="39"/>
      <c r="PI35" s="39"/>
      <c r="PJ35" s="39"/>
      <c r="PK35" s="39"/>
      <c r="PL35" s="39"/>
      <c r="PM35" s="39"/>
      <c r="PN35" s="39"/>
      <c r="PO35" s="39"/>
      <c r="PP35" s="39"/>
      <c r="PQ35" s="39"/>
      <c r="PR35" s="39"/>
      <c r="PS35" s="39"/>
      <c r="PT35" s="39"/>
      <c r="PU35" s="39"/>
      <c r="PV35" s="39"/>
      <c r="PW35" s="39"/>
      <c r="PX35" s="39"/>
      <c r="PY35" s="39"/>
      <c r="PZ35" s="39"/>
      <c r="QA35" s="39"/>
      <c r="QB35" s="39"/>
      <c r="QC35" s="39"/>
      <c r="QD35" s="39"/>
      <c r="QE35" s="39"/>
      <c r="QF35" s="39"/>
      <c r="QG35" s="39"/>
      <c r="QH35" s="39"/>
      <c r="QI35" s="39"/>
      <c r="QJ35" s="39"/>
      <c r="QK35" s="39"/>
      <c r="QL35" s="39"/>
      <c r="QM35" s="39"/>
      <c r="QN35" s="39"/>
      <c r="QO35" s="39"/>
      <c r="QP35" s="39"/>
      <c r="QQ35" s="39"/>
      <c r="QR35" s="39"/>
      <c r="QS35" s="39"/>
      <c r="QT35" s="39"/>
      <c r="QU35" s="39"/>
      <c r="QV35" s="39"/>
      <c r="QW35" s="39"/>
      <c r="QX35" s="39"/>
      <c r="QY35" s="39"/>
      <c r="QZ35" s="39"/>
      <c r="RA35" s="39"/>
      <c r="RB35" s="39"/>
      <c r="RC35" s="39"/>
      <c r="RD35" s="39"/>
      <c r="RE35" s="39"/>
      <c r="RF35" s="39"/>
      <c r="RG35" s="39"/>
      <c r="RH35" s="39"/>
      <c r="RI35" s="39"/>
      <c r="RJ35" s="39"/>
      <c r="RK35" s="39"/>
      <c r="RL35" s="39"/>
      <c r="RM35" s="39"/>
      <c r="RN35" s="39"/>
      <c r="RO35" s="39"/>
      <c r="RP35" s="39"/>
      <c r="RQ35" s="39"/>
      <c r="RR35" s="39"/>
      <c r="RS35" s="39"/>
      <c r="RT35" s="39"/>
      <c r="RU35" s="39"/>
      <c r="RV35" s="39"/>
      <c r="RW35" s="39"/>
      <c r="RX35" s="39"/>
      <c r="RY35" s="39"/>
      <c r="RZ35" s="39"/>
      <c r="SA35" s="39"/>
      <c r="SB35" s="39"/>
      <c r="SC35" s="39"/>
      <c r="SD35" s="39"/>
      <c r="SE35" s="39"/>
      <c r="SF35" s="39"/>
      <c r="SG35" s="39"/>
      <c r="SH35" s="39"/>
      <c r="SI35" s="39"/>
      <c r="SJ35" s="39"/>
      <c r="SK35" s="39"/>
      <c r="SL35" s="39"/>
      <c r="SM35" s="39"/>
      <c r="SN35" s="39"/>
      <c r="SO35" s="39"/>
      <c r="SP35" s="39"/>
      <c r="SQ35" s="39"/>
      <c r="SR35" s="39"/>
      <c r="SS35" s="39"/>
      <c r="ST35" s="39"/>
      <c r="SU35" s="39"/>
      <c r="SV35" s="39"/>
      <c r="SW35" s="39"/>
      <c r="SX35" s="39"/>
      <c r="SY35" s="39"/>
      <c r="SZ35" s="39"/>
      <c r="TA35" s="39"/>
      <c r="TB35" s="39"/>
      <c r="TC35" s="39"/>
      <c r="TD35" s="39"/>
      <c r="TE35" s="39"/>
      <c r="TF35" s="39"/>
      <c r="TG35" s="39"/>
      <c r="TH35" s="39"/>
      <c r="TI35" s="39"/>
      <c r="TJ35" s="39"/>
      <c r="TK35" s="39"/>
      <c r="TL35" s="39"/>
      <c r="TM35" s="39"/>
      <c r="TN35" s="39"/>
      <c r="TO35" s="39"/>
      <c r="TP35" s="39"/>
      <c r="TQ35" s="39"/>
      <c r="TR35" s="39"/>
      <c r="TS35" s="39"/>
      <c r="TT35" s="39"/>
      <c r="TU35" s="39"/>
      <c r="TV35" s="39"/>
      <c r="TW35" s="39"/>
      <c r="TX35" s="39"/>
      <c r="TY35" s="39"/>
      <c r="TZ35" s="39"/>
      <c r="UA35" s="39"/>
      <c r="UB35" s="39"/>
      <c r="UC35" s="39"/>
      <c r="UD35" s="39"/>
      <c r="UE35" s="39"/>
      <c r="UF35" s="39"/>
      <c r="UG35" s="39"/>
      <c r="UH35" s="39"/>
      <c r="UI35" s="39"/>
      <c r="UJ35" s="39"/>
      <c r="UK35" s="39"/>
      <c r="UL35" s="39"/>
      <c r="UM35" s="39"/>
      <c r="UN35" s="39"/>
      <c r="UO35" s="39"/>
      <c r="UP35" s="39"/>
      <c r="UQ35" s="39"/>
      <c r="UR35" s="39"/>
      <c r="US35" s="39"/>
      <c r="UT35" s="39"/>
      <c r="UU35" s="39"/>
      <c r="UV35" s="39"/>
      <c r="UW35" s="39"/>
      <c r="UX35" s="39"/>
      <c r="UY35" s="39"/>
      <c r="UZ35" s="39"/>
      <c r="VA35" s="39"/>
      <c r="VB35" s="39"/>
      <c r="VC35" s="39"/>
      <c r="VD35" s="39"/>
      <c r="VE35" s="39"/>
      <c r="VF35" s="39"/>
      <c r="VG35" s="39"/>
      <c r="VH35" s="39"/>
      <c r="VI35" s="39"/>
      <c r="VJ35" s="39"/>
      <c r="VK35" s="39"/>
      <c r="VL35" s="39"/>
      <c r="VM35" s="39"/>
      <c r="VN35" s="39"/>
      <c r="VO35" s="39"/>
      <c r="VP35" s="39"/>
      <c r="VQ35" s="39"/>
      <c r="VR35" s="39"/>
      <c r="VS35" s="39"/>
      <c r="VT35" s="39"/>
      <c r="VU35" s="39"/>
      <c r="VV35" s="39"/>
      <c r="VW35" s="39"/>
      <c r="VX35" s="39"/>
      <c r="VY35" s="39"/>
      <c r="VZ35" s="39"/>
      <c r="WA35" s="39"/>
      <c r="WB35" s="39"/>
      <c r="WC35" s="39"/>
      <c r="WD35" s="39"/>
      <c r="WE35" s="39"/>
      <c r="WF35" s="39"/>
      <c r="WG35" s="39"/>
      <c r="WH35" s="39"/>
      <c r="WI35" s="39"/>
      <c r="WJ35" s="39"/>
      <c r="WK35" s="39"/>
      <c r="WL35" s="39"/>
      <c r="WM35" s="39"/>
      <c r="WN35" s="39"/>
      <c r="WO35" s="39"/>
      <c r="WP35" s="39"/>
      <c r="WQ35" s="39"/>
      <c r="WR35" s="39"/>
      <c r="WS35" s="39"/>
      <c r="WT35" s="39"/>
      <c r="WU35" s="39"/>
      <c r="WV35" s="39"/>
      <c r="WW35" s="39"/>
      <c r="WX35" s="39"/>
      <c r="WY35" s="39"/>
      <c r="WZ35" s="39"/>
      <c r="XA35" s="39"/>
      <c r="XB35" s="39"/>
      <c r="XC35" s="39"/>
      <c r="XD35" s="39"/>
      <c r="XE35" s="39"/>
      <c r="XF35" s="39"/>
      <c r="XG35" s="39"/>
      <c r="XH35" s="39"/>
      <c r="XI35" s="39"/>
      <c r="XJ35" s="39"/>
      <c r="XK35" s="39"/>
      <c r="XL35" s="39"/>
      <c r="XM35" s="39"/>
      <c r="XN35" s="39"/>
      <c r="XO35" s="39"/>
      <c r="XP35" s="39"/>
      <c r="XQ35" s="39"/>
      <c r="XR35" s="39"/>
      <c r="XS35" s="39"/>
      <c r="XT35" s="39"/>
      <c r="XU35" s="39"/>
      <c r="XV35" s="39"/>
      <c r="XW35" s="39"/>
      <c r="XX35" s="39"/>
      <c r="XY35" s="39"/>
      <c r="XZ35" s="39"/>
      <c r="YA35" s="39"/>
      <c r="YB35" s="39"/>
      <c r="YC35" s="39"/>
      <c r="YD35" s="39"/>
      <c r="YE35" s="39"/>
      <c r="YF35" s="39"/>
      <c r="YG35" s="39"/>
      <c r="YH35" s="39"/>
      <c r="YI35" s="39"/>
      <c r="YJ35" s="39"/>
      <c r="YK35" s="39"/>
      <c r="YL35" s="39"/>
      <c r="YM35" s="39"/>
      <c r="YN35" s="39"/>
      <c r="YO35" s="39"/>
      <c r="YP35" s="39"/>
      <c r="YQ35" s="39"/>
      <c r="YR35" s="39"/>
      <c r="YS35" s="39"/>
    </row>
    <row r="36" spans="1:669" s="18" customFormat="1" x14ac:dyDescent="0.2">
      <c r="A36" s="781"/>
      <c r="B36" s="781"/>
      <c r="C36" s="19"/>
      <c r="D36" s="781"/>
      <c r="E36" s="283"/>
      <c r="F36" s="29"/>
      <c r="G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row>
    <row r="37" spans="1:669" s="18" customFormat="1" ht="10.5" customHeight="1" thickBot="1" x14ac:dyDescent="0.25">
      <c r="A37" s="1"/>
      <c r="B37" s="44"/>
      <c r="C37" s="6"/>
      <c r="D37" s="6"/>
      <c r="E37" s="6"/>
      <c r="F37" s="29"/>
      <c r="G37" s="29"/>
      <c r="H37" s="29"/>
      <c r="I37" s="29"/>
      <c r="J37" s="29"/>
      <c r="K37" s="2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row>
    <row r="38" spans="1:669" s="22" customFormat="1" ht="16.5" thickBot="1" x14ac:dyDescent="0.3">
      <c r="A38" s="298" t="s">
        <v>35</v>
      </c>
      <c r="B38" s="156"/>
      <c r="C38" s="157"/>
      <c r="D38" s="157"/>
      <c r="E38" s="157"/>
      <c r="F38" s="158"/>
      <c r="G38" s="158"/>
      <c r="H38" s="158"/>
      <c r="I38" s="158"/>
      <c r="J38" s="158"/>
      <c r="K38" s="159"/>
      <c r="L38" s="29"/>
      <c r="M38" s="29"/>
      <c r="N38" s="29"/>
      <c r="O38" s="29"/>
      <c r="P38" s="29"/>
      <c r="Q38" s="29"/>
      <c r="R38" s="29"/>
      <c r="S38" s="29"/>
      <c r="T38" s="29"/>
      <c r="U38" s="29"/>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row>
    <row r="39" spans="1:669" s="20" customFormat="1" ht="45.75" thickBot="1" x14ac:dyDescent="0.25">
      <c r="A39" s="314" t="s">
        <v>22</v>
      </c>
      <c r="B39" s="1015" t="s">
        <v>12</v>
      </c>
      <c r="C39" s="1016"/>
      <c r="D39" s="314" t="s">
        <v>2</v>
      </c>
      <c r="E39" s="912" t="s">
        <v>3</v>
      </c>
      <c r="F39" s="319" t="s">
        <v>23</v>
      </c>
      <c r="G39" s="319" t="s">
        <v>481</v>
      </c>
      <c r="H39" s="319" t="s">
        <v>163</v>
      </c>
      <c r="I39" s="319" t="s">
        <v>19</v>
      </c>
      <c r="J39" s="319" t="s">
        <v>331</v>
      </c>
      <c r="K39" s="319" t="s">
        <v>4</v>
      </c>
      <c r="L39" s="35"/>
      <c r="M39" s="35"/>
      <c r="N39" s="35"/>
      <c r="O39" s="35"/>
      <c r="P39" s="35"/>
      <c r="Q39" s="35"/>
      <c r="R39" s="35"/>
      <c r="S39" s="35"/>
      <c r="T39" s="35"/>
      <c r="U39" s="6"/>
      <c r="V39" s="35"/>
      <c r="W39" s="35"/>
      <c r="X39" s="35"/>
      <c r="Y39" s="35"/>
      <c r="Z39" s="35"/>
      <c r="AA39" s="35"/>
      <c r="AB39" s="36"/>
      <c r="AC39" s="36"/>
      <c r="AD39" s="36"/>
      <c r="AE39" s="36"/>
      <c r="AF39" s="36"/>
      <c r="AG39" s="36"/>
      <c r="AH39" s="36"/>
      <c r="AI39" s="36"/>
      <c r="AJ39" s="36"/>
      <c r="AK39" s="36"/>
      <c r="AL39" s="3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row>
    <row r="40" spans="1:669" hidden="1" x14ac:dyDescent="0.2">
      <c r="A40" s="286" t="s">
        <v>15</v>
      </c>
      <c r="B40" s="1021" t="s">
        <v>11</v>
      </c>
      <c r="C40" s="1022"/>
      <c r="D40" s="290">
        <v>41275</v>
      </c>
      <c r="E40" s="948">
        <v>41639</v>
      </c>
      <c r="F40" s="293"/>
      <c r="G40" s="293">
        <v>0</v>
      </c>
      <c r="H40" s="293"/>
      <c r="I40" s="293">
        <f>F40-H40</f>
        <v>0</v>
      </c>
      <c r="J40" s="293">
        <v>0</v>
      </c>
      <c r="K40" s="293">
        <f t="shared" ref="K40:K46" si="1">I40</f>
        <v>0</v>
      </c>
      <c r="L40" s="29"/>
      <c r="M40" s="29"/>
      <c r="N40" s="29"/>
    </row>
    <row r="41" spans="1:669" hidden="1" x14ac:dyDescent="0.2">
      <c r="A41" s="286" t="s">
        <v>262</v>
      </c>
      <c r="B41" s="1021" t="s">
        <v>11</v>
      </c>
      <c r="C41" s="1022"/>
      <c r="D41" s="290">
        <v>42736</v>
      </c>
      <c r="E41" s="948">
        <v>43100</v>
      </c>
      <c r="F41" s="293"/>
      <c r="G41" s="293">
        <v>0</v>
      </c>
      <c r="H41" s="293">
        <v>25000</v>
      </c>
      <c r="I41" s="293">
        <f>25000-H41</f>
        <v>0</v>
      </c>
      <c r="J41" s="293"/>
      <c r="K41" s="380">
        <f t="shared" si="1"/>
        <v>0</v>
      </c>
      <c r="L41" s="29"/>
      <c r="M41" s="29"/>
      <c r="N41" s="29"/>
    </row>
    <row r="42" spans="1:669" hidden="1" x14ac:dyDescent="0.2">
      <c r="A42" s="286" t="s">
        <v>316</v>
      </c>
      <c r="B42" s="1021" t="s">
        <v>11</v>
      </c>
      <c r="C42" s="1022"/>
      <c r="D42" s="290">
        <v>43466</v>
      </c>
      <c r="E42" s="948">
        <v>43830</v>
      </c>
      <c r="F42" s="293"/>
      <c r="G42" s="293"/>
      <c r="H42" s="293"/>
      <c r="I42" s="293"/>
      <c r="J42" s="293"/>
      <c r="K42" s="715"/>
      <c r="L42" s="29"/>
      <c r="M42" s="29"/>
      <c r="N42" s="29"/>
    </row>
    <row r="43" spans="1:669" ht="15" hidden="1" x14ac:dyDescent="0.25">
      <c r="A43" s="772" t="s">
        <v>402</v>
      </c>
      <c r="B43" s="1027" t="s">
        <v>11</v>
      </c>
      <c r="C43" s="1022"/>
      <c r="D43" s="773">
        <v>43831</v>
      </c>
      <c r="E43" s="7">
        <v>44196</v>
      </c>
      <c r="F43" s="739"/>
      <c r="G43" s="308"/>
      <c r="H43" s="739"/>
      <c r="I43" s="308">
        <f>F43-H43</f>
        <v>0</v>
      </c>
      <c r="J43" s="739"/>
      <c r="K43" s="777">
        <f>I43</f>
        <v>0</v>
      </c>
      <c r="L43" s="29"/>
      <c r="M43" s="29"/>
      <c r="N43" s="29"/>
    </row>
    <row r="44" spans="1:669" hidden="1" x14ac:dyDescent="0.2">
      <c r="A44" s="286"/>
      <c r="B44" s="1027"/>
      <c r="C44" s="1022"/>
      <c r="D44" s="290"/>
      <c r="E44" s="7"/>
      <c r="F44" s="293"/>
      <c r="G44" s="308"/>
      <c r="H44" s="293"/>
      <c r="I44" s="308"/>
      <c r="J44" s="293"/>
      <c r="K44" s="307"/>
      <c r="L44" s="29"/>
      <c r="M44" s="29"/>
      <c r="N44" s="29"/>
    </row>
    <row r="45" spans="1:669" hidden="1" x14ac:dyDescent="0.2">
      <c r="A45" s="286" t="s">
        <v>435</v>
      </c>
      <c r="B45" s="1027" t="s">
        <v>11</v>
      </c>
      <c r="C45" s="1022"/>
      <c r="D45" s="290">
        <v>44105</v>
      </c>
      <c r="E45" s="7" t="s">
        <v>404</v>
      </c>
      <c r="F45" s="293"/>
      <c r="G45" s="308"/>
      <c r="H45" s="293"/>
      <c r="I45" s="308"/>
      <c r="J45" s="293"/>
      <c r="K45" s="307"/>
      <c r="L45" s="29"/>
      <c r="M45" s="29"/>
      <c r="N45" s="29"/>
    </row>
    <row r="46" spans="1:669" ht="15" x14ac:dyDescent="0.25">
      <c r="A46" s="286" t="s">
        <v>479</v>
      </c>
      <c r="B46" s="1027" t="s">
        <v>11</v>
      </c>
      <c r="C46" s="1022"/>
      <c r="D46" s="290">
        <v>44562</v>
      </c>
      <c r="E46" s="7">
        <v>44926</v>
      </c>
      <c r="F46" s="293">
        <v>27500</v>
      </c>
      <c r="G46" s="308">
        <v>25000</v>
      </c>
      <c r="H46" s="293">
        <v>27500</v>
      </c>
      <c r="I46" s="308">
        <f>F46-H46</f>
        <v>0</v>
      </c>
      <c r="J46" s="293"/>
      <c r="K46" s="307">
        <f t="shared" si="1"/>
        <v>0</v>
      </c>
      <c r="L46" s="29"/>
      <c r="M46" s="29"/>
      <c r="N46" s="29"/>
    </row>
    <row r="47" spans="1:669" ht="15" x14ac:dyDescent="0.25">
      <c r="A47" s="286" t="s">
        <v>625</v>
      </c>
      <c r="B47" s="1027" t="s">
        <v>11</v>
      </c>
      <c r="C47" s="1022"/>
      <c r="D47" s="290">
        <v>44927</v>
      </c>
      <c r="E47" s="7">
        <v>45291</v>
      </c>
      <c r="F47" s="293">
        <v>27500</v>
      </c>
      <c r="G47" s="308"/>
      <c r="H47" s="293"/>
      <c r="I47" s="308">
        <f>F47-H47</f>
        <v>27500</v>
      </c>
      <c r="J47" s="293"/>
      <c r="K47" s="307">
        <f t="shared" ref="K47" si="2">I47</f>
        <v>27500</v>
      </c>
      <c r="L47" s="29"/>
      <c r="M47" s="29"/>
      <c r="N47" s="29"/>
    </row>
    <row r="48" spans="1:669" x14ac:dyDescent="0.2">
      <c r="A48" s="286" t="s">
        <v>470</v>
      </c>
      <c r="B48" s="1027" t="s">
        <v>11</v>
      </c>
      <c r="C48" s="1022"/>
      <c r="D48" s="290">
        <v>44228</v>
      </c>
      <c r="E48" s="7">
        <v>44592</v>
      </c>
      <c r="F48" s="293">
        <v>3900</v>
      </c>
      <c r="G48" s="308">
        <v>2943</v>
      </c>
      <c r="H48" s="293">
        <f>G48</f>
        <v>2943</v>
      </c>
      <c r="I48" s="308">
        <f>G48-H48</f>
        <v>0</v>
      </c>
      <c r="J48" s="293"/>
      <c r="K48" s="307">
        <f>I48</f>
        <v>0</v>
      </c>
      <c r="L48" s="29"/>
      <c r="M48" s="29"/>
      <c r="N48" s="29"/>
    </row>
    <row r="49" spans="1:669" x14ac:dyDescent="0.2">
      <c r="A49" s="286" t="s">
        <v>480</v>
      </c>
      <c r="B49" s="1027" t="s">
        <v>11</v>
      </c>
      <c r="C49" s="1022"/>
      <c r="D49" s="290">
        <v>44228</v>
      </c>
      <c r="E49" s="7">
        <v>44592</v>
      </c>
      <c r="F49" s="293">
        <v>3080</v>
      </c>
      <c r="G49" s="308"/>
      <c r="H49" s="293">
        <v>3080</v>
      </c>
      <c r="I49" s="308">
        <f>F49-H49</f>
        <v>0</v>
      </c>
      <c r="J49" s="293"/>
      <c r="K49" s="307">
        <f>I49</f>
        <v>0</v>
      </c>
      <c r="L49" s="29"/>
      <c r="M49" s="29"/>
      <c r="N49" s="29"/>
    </row>
    <row r="50" spans="1:669" ht="15" x14ac:dyDescent="0.25">
      <c r="A50" s="286" t="s">
        <v>626</v>
      </c>
      <c r="B50" s="1027" t="s">
        <v>11</v>
      </c>
      <c r="C50" s="1022"/>
      <c r="D50" s="290">
        <v>44228</v>
      </c>
      <c r="E50" s="7">
        <v>44592</v>
      </c>
      <c r="F50" s="293">
        <v>5000</v>
      </c>
      <c r="G50" s="308"/>
      <c r="H50" s="293">
        <v>1163.83</v>
      </c>
      <c r="I50" s="308">
        <f>F50-H50</f>
        <v>3836.17</v>
      </c>
      <c r="J50" s="293"/>
      <c r="K50" s="307">
        <f>I50</f>
        <v>3836.17</v>
      </c>
      <c r="L50" s="29"/>
      <c r="M50" s="29"/>
      <c r="N50" s="29"/>
    </row>
    <row r="51" spans="1:669" x14ac:dyDescent="0.2">
      <c r="A51" s="286" t="s">
        <v>526</v>
      </c>
      <c r="B51" s="1027" t="s">
        <v>11</v>
      </c>
      <c r="C51" s="1022"/>
      <c r="D51" s="290">
        <v>44743</v>
      </c>
      <c r="E51" s="7">
        <v>45107</v>
      </c>
      <c r="F51" s="293">
        <v>100000</v>
      </c>
      <c r="G51" s="308"/>
      <c r="H51" s="293"/>
      <c r="I51" s="308">
        <v>100000</v>
      </c>
      <c r="J51" s="293"/>
      <c r="K51" s="307">
        <f>I51</f>
        <v>100000</v>
      </c>
      <c r="L51" s="29"/>
      <c r="M51" s="29"/>
      <c r="N51" s="29"/>
    </row>
    <row r="52" spans="1:669" s="4" customFormat="1" x14ac:dyDescent="0.2">
      <c r="A52" s="286" t="s">
        <v>384</v>
      </c>
      <c r="B52" s="1025" t="s">
        <v>17</v>
      </c>
      <c r="C52" s="1026"/>
      <c r="D52" s="290">
        <v>44562</v>
      </c>
      <c r="E52" s="7">
        <v>45291</v>
      </c>
      <c r="F52" s="293">
        <v>100000</v>
      </c>
      <c r="G52" s="308">
        <v>0</v>
      </c>
      <c r="H52" s="293">
        <v>50000</v>
      </c>
      <c r="I52" s="308">
        <v>50000</v>
      </c>
      <c r="J52" s="293"/>
      <c r="K52" s="307">
        <f>I52</f>
        <v>50000</v>
      </c>
      <c r="L52" s="29"/>
      <c r="M52" s="29"/>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row>
    <row r="53" spans="1:669" s="4" customFormat="1" ht="15" hidden="1" x14ac:dyDescent="0.25">
      <c r="A53" s="286" t="s">
        <v>399</v>
      </c>
      <c r="B53" s="1018" t="s">
        <v>398</v>
      </c>
      <c r="C53" s="1018"/>
      <c r="D53" s="620"/>
      <c r="E53" s="781"/>
      <c r="F53" s="293"/>
      <c r="G53" s="308"/>
      <c r="H53" s="293"/>
      <c r="I53" s="308"/>
      <c r="J53" s="307"/>
      <c r="K53" s="380"/>
      <c r="L53" s="29"/>
      <c r="M53" s="29"/>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row>
    <row r="54" spans="1:669" s="18" customFormat="1" ht="15" x14ac:dyDescent="0.25">
      <c r="A54" s="286" t="s">
        <v>631</v>
      </c>
      <c r="B54" s="926" t="s">
        <v>403</v>
      </c>
      <c r="C54" s="910"/>
      <c r="D54" s="290">
        <v>44927</v>
      </c>
      <c r="E54" s="7">
        <v>45291</v>
      </c>
      <c r="F54" s="293">
        <v>50000</v>
      </c>
      <c r="G54" s="293"/>
      <c r="H54" s="293"/>
      <c r="I54" s="293">
        <v>5000</v>
      </c>
      <c r="J54" s="307">
        <v>50000</v>
      </c>
      <c r="K54" s="380"/>
      <c r="L54" s="969"/>
      <c r="M54" s="308"/>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row>
    <row r="55" spans="1:669" s="2" customFormat="1" ht="15" thickBot="1" x14ac:dyDescent="0.25">
      <c r="A55" s="286" t="s">
        <v>18</v>
      </c>
      <c r="B55" s="1018" t="s">
        <v>39</v>
      </c>
      <c r="C55" s="1018"/>
      <c r="D55" s="290">
        <v>40226</v>
      </c>
      <c r="E55" s="6" t="s">
        <v>25</v>
      </c>
      <c r="F55" s="293">
        <f>8007.78+5000+50</f>
        <v>13057.779999999999</v>
      </c>
      <c r="G55" s="308">
        <v>898.7</v>
      </c>
      <c r="H55" s="293"/>
      <c r="I55" s="308">
        <f>+G55-H55</f>
        <v>898.7</v>
      </c>
      <c r="J55" s="293">
        <f>I55</f>
        <v>898.7</v>
      </c>
      <c r="K55" s="307"/>
      <c r="L55" s="29"/>
      <c r="M55" s="29"/>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row>
    <row r="56" spans="1:669" s="2" customFormat="1" ht="15" hidden="1" thickBot="1" x14ac:dyDescent="0.25">
      <c r="A56" s="286" t="s">
        <v>385</v>
      </c>
      <c r="B56" s="1018" t="s">
        <v>403</v>
      </c>
      <c r="C56" s="1018"/>
      <c r="D56" s="290">
        <v>43770</v>
      </c>
      <c r="E56" s="7">
        <v>44196</v>
      </c>
      <c r="F56" s="293"/>
      <c r="G56" s="308"/>
      <c r="H56" s="293"/>
      <c r="I56" s="308"/>
      <c r="J56" s="293"/>
      <c r="K56" s="307"/>
      <c r="L56" s="29"/>
      <c r="M56" s="29"/>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row>
    <row r="57" spans="1:669" s="2" customFormat="1" ht="15.75" thickBot="1" x14ac:dyDescent="0.3">
      <c r="A57" s="287"/>
      <c r="B57" s="1023"/>
      <c r="C57" s="1024"/>
      <c r="D57" s="382"/>
      <c r="E57" s="774"/>
      <c r="F57" s="738"/>
      <c r="G57" s="775"/>
      <c r="H57" s="294"/>
      <c r="I57" s="308"/>
      <c r="J57" s="294"/>
      <c r="K57" s="303"/>
      <c r="L57" s="776" t="s">
        <v>98</v>
      </c>
      <c r="M57" s="29"/>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row>
    <row r="58" spans="1:669" s="252" customFormat="1" ht="15.75" thickBot="1" x14ac:dyDescent="0.3">
      <c r="A58" s="285" t="s">
        <v>28</v>
      </c>
      <c r="B58" s="288"/>
      <c r="C58" s="288"/>
      <c r="D58" s="289"/>
      <c r="E58" s="289"/>
      <c r="F58" s="292">
        <f t="shared" ref="F58:K58" si="3">SUM(F40:F57)</f>
        <v>330037.78000000003</v>
      </c>
      <c r="G58" s="295">
        <f t="shared" si="3"/>
        <v>28841.7</v>
      </c>
      <c r="H58" s="791">
        <f t="shared" si="3"/>
        <v>109686.83</v>
      </c>
      <c r="I58" s="792">
        <f t="shared" si="3"/>
        <v>187234.87</v>
      </c>
      <c r="J58" s="296">
        <f t="shared" si="3"/>
        <v>50898.7</v>
      </c>
      <c r="K58" s="297">
        <f t="shared" si="3"/>
        <v>181336.16999999998</v>
      </c>
      <c r="L58" s="434">
        <f>K35+K58</f>
        <v>181336.16999999998</v>
      </c>
      <c r="M58" s="250"/>
      <c r="N58" s="250"/>
      <c r="O58" s="250"/>
      <c r="P58" s="250"/>
      <c r="Q58" s="250"/>
      <c r="R58" s="250"/>
      <c r="S58" s="250"/>
      <c r="T58" s="250"/>
      <c r="U58" s="251"/>
      <c r="V58" s="250"/>
      <c r="W58" s="250"/>
      <c r="X58" s="250"/>
      <c r="Y58" s="250"/>
      <c r="Z58" s="250"/>
      <c r="AA58" s="250"/>
      <c r="AB58" s="250"/>
      <c r="AC58" s="250"/>
      <c r="AD58" s="250"/>
      <c r="AE58" s="250"/>
      <c r="AF58" s="250"/>
      <c r="AG58" s="250"/>
      <c r="AH58" s="250"/>
      <c r="AI58" s="250"/>
      <c r="AJ58" s="250"/>
      <c r="AK58" s="250"/>
      <c r="AL58" s="250"/>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1"/>
      <c r="IK58" s="251"/>
      <c r="IL58" s="251"/>
      <c r="IM58" s="251"/>
      <c r="IN58" s="251"/>
      <c r="IO58" s="251"/>
      <c r="IP58" s="251"/>
      <c r="IQ58" s="251"/>
      <c r="IR58" s="251"/>
      <c r="IS58" s="251"/>
      <c r="IT58" s="251"/>
      <c r="IU58" s="251"/>
      <c r="IV58" s="251"/>
      <c r="IW58" s="251"/>
      <c r="IX58" s="251"/>
      <c r="IY58" s="251"/>
      <c r="IZ58" s="251"/>
      <c r="JA58" s="251"/>
      <c r="JB58" s="251"/>
      <c r="JC58" s="251"/>
      <c r="JD58" s="251"/>
      <c r="JE58" s="251"/>
      <c r="JF58" s="251"/>
      <c r="JG58" s="251"/>
      <c r="JH58" s="251"/>
      <c r="JI58" s="251"/>
      <c r="JJ58" s="251"/>
      <c r="JK58" s="251"/>
      <c r="JL58" s="251"/>
      <c r="JM58" s="251"/>
      <c r="JN58" s="251"/>
      <c r="JO58" s="251"/>
      <c r="JP58" s="251"/>
      <c r="JQ58" s="251"/>
      <c r="JR58" s="251"/>
      <c r="JS58" s="251"/>
      <c r="JT58" s="251"/>
      <c r="JU58" s="251"/>
      <c r="JV58" s="251"/>
      <c r="JW58" s="251"/>
      <c r="JX58" s="251"/>
      <c r="JY58" s="251"/>
      <c r="JZ58" s="251"/>
      <c r="KA58" s="251"/>
      <c r="KB58" s="251"/>
      <c r="KC58" s="251"/>
      <c r="KD58" s="251"/>
      <c r="KE58" s="251"/>
      <c r="KF58" s="251"/>
      <c r="KG58" s="251"/>
      <c r="KH58" s="251"/>
      <c r="KI58" s="251"/>
      <c r="KJ58" s="251"/>
      <c r="KK58" s="251"/>
      <c r="KL58" s="251"/>
      <c r="KM58" s="251"/>
      <c r="KN58" s="251"/>
      <c r="KO58" s="251"/>
      <c r="KP58" s="251"/>
      <c r="KQ58" s="251"/>
      <c r="KR58" s="251"/>
      <c r="KS58" s="251"/>
      <c r="KT58" s="251"/>
      <c r="KU58" s="251"/>
      <c r="KV58" s="251"/>
      <c r="KW58" s="251"/>
      <c r="KX58" s="251"/>
      <c r="KY58" s="251"/>
      <c r="KZ58" s="251"/>
      <c r="LA58" s="251"/>
      <c r="LB58" s="251"/>
      <c r="LC58" s="251"/>
      <c r="LD58" s="251"/>
      <c r="LE58" s="251"/>
      <c r="LF58" s="251"/>
      <c r="LG58" s="251"/>
      <c r="LH58" s="251"/>
      <c r="LI58" s="251"/>
      <c r="LJ58" s="251"/>
      <c r="LK58" s="251"/>
      <c r="LL58" s="251"/>
      <c r="LM58" s="251"/>
      <c r="LN58" s="251"/>
      <c r="LO58" s="251"/>
      <c r="LP58" s="251"/>
      <c r="LQ58" s="251"/>
      <c r="LR58" s="251"/>
      <c r="LS58" s="251"/>
      <c r="LT58" s="251"/>
      <c r="LU58" s="251"/>
      <c r="LV58" s="251"/>
      <c r="LW58" s="251"/>
      <c r="LX58" s="251"/>
      <c r="LY58" s="251"/>
      <c r="LZ58" s="251"/>
      <c r="MA58" s="251"/>
      <c r="MB58" s="251"/>
      <c r="MC58" s="251"/>
      <c r="MD58" s="251"/>
      <c r="ME58" s="251"/>
      <c r="MF58" s="251"/>
      <c r="MG58" s="251"/>
      <c r="MH58" s="251"/>
      <c r="MI58" s="251"/>
      <c r="MJ58" s="251"/>
      <c r="MK58" s="251"/>
      <c r="ML58" s="251"/>
      <c r="MM58" s="251"/>
      <c r="MN58" s="251"/>
      <c r="MO58" s="251"/>
      <c r="MP58" s="251"/>
      <c r="MQ58" s="251"/>
      <c r="MR58" s="251"/>
      <c r="MS58" s="251"/>
      <c r="MT58" s="251"/>
      <c r="MU58" s="251"/>
      <c r="MV58" s="251"/>
      <c r="MW58" s="251"/>
      <c r="MX58" s="251"/>
      <c r="MY58" s="251"/>
      <c r="MZ58" s="251"/>
      <c r="NA58" s="251"/>
      <c r="NB58" s="251"/>
      <c r="NC58" s="251"/>
      <c r="ND58" s="251"/>
      <c r="NE58" s="251"/>
      <c r="NF58" s="251"/>
      <c r="NG58" s="251"/>
      <c r="NH58" s="251"/>
      <c r="NI58" s="251"/>
      <c r="NJ58" s="251"/>
      <c r="NK58" s="251"/>
      <c r="NL58" s="251"/>
      <c r="NM58" s="251"/>
      <c r="NN58" s="251"/>
      <c r="NO58" s="251"/>
      <c r="NP58" s="251"/>
      <c r="NQ58" s="251"/>
      <c r="NR58" s="251"/>
      <c r="NS58" s="251"/>
      <c r="NT58" s="251"/>
      <c r="NU58" s="251"/>
      <c r="NV58" s="251"/>
      <c r="NW58" s="251"/>
      <c r="NX58" s="251"/>
      <c r="NY58" s="251"/>
      <c r="NZ58" s="251"/>
      <c r="OA58" s="251"/>
      <c r="OB58" s="251"/>
      <c r="OC58" s="251"/>
      <c r="OD58" s="251"/>
      <c r="OE58" s="251"/>
      <c r="OF58" s="251"/>
      <c r="OG58" s="251"/>
      <c r="OH58" s="251"/>
      <c r="OI58" s="251"/>
      <c r="OJ58" s="251"/>
      <c r="OK58" s="251"/>
      <c r="OL58" s="251"/>
      <c r="OM58" s="251"/>
      <c r="ON58" s="251"/>
      <c r="OO58" s="251"/>
      <c r="OP58" s="251"/>
      <c r="OQ58" s="251"/>
      <c r="OR58" s="251"/>
      <c r="OS58" s="251"/>
      <c r="OT58" s="251"/>
      <c r="OU58" s="251"/>
      <c r="OV58" s="251"/>
      <c r="OW58" s="251"/>
      <c r="OX58" s="251"/>
      <c r="OY58" s="251"/>
      <c r="OZ58" s="251"/>
      <c r="PA58" s="251"/>
      <c r="PB58" s="251"/>
      <c r="PC58" s="251"/>
      <c r="PD58" s="251"/>
      <c r="PE58" s="251"/>
      <c r="PF58" s="251"/>
      <c r="PG58" s="251"/>
      <c r="PH58" s="251"/>
      <c r="PI58" s="251"/>
      <c r="PJ58" s="251"/>
      <c r="PK58" s="251"/>
      <c r="PL58" s="251"/>
      <c r="PM58" s="251"/>
      <c r="PN58" s="251"/>
      <c r="PO58" s="251"/>
      <c r="PP58" s="251"/>
      <c r="PQ58" s="251"/>
      <c r="PR58" s="251"/>
      <c r="PS58" s="251"/>
      <c r="PT58" s="251"/>
      <c r="PU58" s="251"/>
      <c r="PV58" s="251"/>
      <c r="PW58" s="251"/>
      <c r="PX58" s="251"/>
      <c r="PY58" s="251"/>
      <c r="PZ58" s="251"/>
      <c r="QA58" s="251"/>
      <c r="QB58" s="251"/>
      <c r="QC58" s="251"/>
      <c r="QD58" s="251"/>
      <c r="QE58" s="251"/>
      <c r="QF58" s="251"/>
      <c r="QG58" s="251"/>
      <c r="QH58" s="251"/>
      <c r="QI58" s="251"/>
      <c r="QJ58" s="251"/>
      <c r="QK58" s="251"/>
      <c r="QL58" s="251"/>
      <c r="QM58" s="251"/>
      <c r="QN58" s="251"/>
      <c r="QO58" s="251"/>
      <c r="QP58" s="251"/>
      <c r="QQ58" s="251"/>
      <c r="QR58" s="251"/>
      <c r="QS58" s="251"/>
      <c r="QT58" s="251"/>
      <c r="QU58" s="251"/>
      <c r="QV58" s="251"/>
      <c r="QW58" s="251"/>
      <c r="QX58" s="251"/>
      <c r="QY58" s="251"/>
      <c r="QZ58" s="251"/>
      <c r="RA58" s="251"/>
      <c r="RB58" s="251"/>
      <c r="RC58" s="251"/>
      <c r="RD58" s="251"/>
      <c r="RE58" s="251"/>
      <c r="RF58" s="251"/>
      <c r="RG58" s="251"/>
      <c r="RH58" s="251"/>
      <c r="RI58" s="251"/>
      <c r="RJ58" s="251"/>
      <c r="RK58" s="251"/>
      <c r="RL58" s="251"/>
      <c r="RM58" s="251"/>
      <c r="RN58" s="251"/>
      <c r="RO58" s="251"/>
      <c r="RP58" s="251"/>
      <c r="RQ58" s="251"/>
      <c r="RR58" s="251"/>
      <c r="RS58" s="251"/>
      <c r="RT58" s="251"/>
      <c r="RU58" s="251"/>
      <c r="RV58" s="251"/>
      <c r="RW58" s="251"/>
      <c r="RX58" s="251"/>
      <c r="RY58" s="251"/>
      <c r="RZ58" s="251"/>
      <c r="SA58" s="251"/>
      <c r="SB58" s="251"/>
      <c r="SC58" s="251"/>
      <c r="SD58" s="251"/>
      <c r="SE58" s="251"/>
      <c r="SF58" s="251"/>
      <c r="SG58" s="251"/>
      <c r="SH58" s="251"/>
      <c r="SI58" s="251"/>
      <c r="SJ58" s="251"/>
      <c r="SK58" s="251"/>
      <c r="SL58" s="251"/>
      <c r="SM58" s="251"/>
      <c r="SN58" s="251"/>
      <c r="SO58" s="251"/>
      <c r="SP58" s="251"/>
      <c r="SQ58" s="251"/>
      <c r="SR58" s="251"/>
      <c r="SS58" s="251"/>
      <c r="ST58" s="251"/>
      <c r="SU58" s="251"/>
      <c r="SV58" s="251"/>
      <c r="SW58" s="251"/>
      <c r="SX58" s="251"/>
      <c r="SY58" s="251"/>
      <c r="SZ58" s="251"/>
      <c r="TA58" s="251"/>
      <c r="TB58" s="251"/>
      <c r="TC58" s="251"/>
      <c r="TD58" s="251"/>
      <c r="TE58" s="251"/>
      <c r="TF58" s="251"/>
      <c r="TG58" s="251"/>
      <c r="TH58" s="251"/>
      <c r="TI58" s="251"/>
      <c r="TJ58" s="251"/>
      <c r="TK58" s="251"/>
      <c r="TL58" s="251"/>
      <c r="TM58" s="251"/>
      <c r="TN58" s="251"/>
      <c r="TO58" s="251"/>
      <c r="TP58" s="251"/>
      <c r="TQ58" s="251"/>
      <c r="TR58" s="251"/>
      <c r="TS58" s="251"/>
      <c r="TT58" s="251"/>
      <c r="TU58" s="251"/>
      <c r="TV58" s="251"/>
      <c r="TW58" s="251"/>
      <c r="TX58" s="251"/>
      <c r="TY58" s="251"/>
      <c r="TZ58" s="251"/>
      <c r="UA58" s="251"/>
      <c r="UB58" s="251"/>
      <c r="UC58" s="251"/>
      <c r="UD58" s="251"/>
      <c r="UE58" s="251"/>
      <c r="UF58" s="251"/>
      <c r="UG58" s="251"/>
      <c r="UH58" s="251"/>
      <c r="UI58" s="251"/>
      <c r="UJ58" s="251"/>
      <c r="UK58" s="251"/>
      <c r="UL58" s="251"/>
      <c r="UM58" s="251"/>
      <c r="UN58" s="251"/>
      <c r="UO58" s="251"/>
      <c r="UP58" s="251"/>
      <c r="UQ58" s="251"/>
      <c r="UR58" s="251"/>
      <c r="US58" s="251"/>
      <c r="UT58" s="251"/>
      <c r="UU58" s="251"/>
      <c r="UV58" s="251"/>
      <c r="UW58" s="251"/>
      <c r="UX58" s="251"/>
      <c r="UY58" s="251"/>
      <c r="UZ58" s="251"/>
      <c r="VA58" s="251"/>
      <c r="VB58" s="251"/>
      <c r="VC58" s="251"/>
      <c r="VD58" s="251"/>
      <c r="VE58" s="251"/>
      <c r="VF58" s="251"/>
      <c r="VG58" s="251"/>
      <c r="VH58" s="251"/>
      <c r="VI58" s="251"/>
      <c r="VJ58" s="251"/>
      <c r="VK58" s="251"/>
      <c r="VL58" s="251"/>
      <c r="VM58" s="251"/>
      <c r="VN58" s="251"/>
      <c r="VO58" s="251"/>
      <c r="VP58" s="251"/>
      <c r="VQ58" s="251"/>
      <c r="VR58" s="251"/>
      <c r="VS58" s="251"/>
      <c r="VT58" s="251"/>
      <c r="VU58" s="251"/>
      <c r="VV58" s="251"/>
      <c r="VW58" s="251"/>
      <c r="VX58" s="251"/>
      <c r="VY58" s="251"/>
      <c r="VZ58" s="251"/>
      <c r="WA58" s="251"/>
      <c r="WB58" s="251"/>
      <c r="WC58" s="251"/>
      <c r="WD58" s="251"/>
      <c r="WE58" s="251"/>
      <c r="WF58" s="251"/>
      <c r="WG58" s="251"/>
      <c r="WH58" s="251"/>
      <c r="WI58" s="251"/>
      <c r="WJ58" s="251"/>
      <c r="WK58" s="251"/>
      <c r="WL58" s="251"/>
      <c r="WM58" s="251"/>
      <c r="WN58" s="251"/>
      <c r="WO58" s="251"/>
      <c r="WP58" s="251"/>
      <c r="WQ58" s="251"/>
      <c r="WR58" s="251"/>
      <c r="WS58" s="251"/>
      <c r="WT58" s="251"/>
      <c r="WU58" s="251"/>
      <c r="WV58" s="251"/>
      <c r="WW58" s="251"/>
      <c r="WX58" s="251"/>
      <c r="WY58" s="251"/>
      <c r="WZ58" s="251"/>
      <c r="XA58" s="251"/>
      <c r="XB58" s="251"/>
      <c r="XC58" s="251"/>
      <c r="XD58" s="251"/>
      <c r="XE58" s="251"/>
      <c r="XF58" s="251"/>
      <c r="XG58" s="251"/>
      <c r="XH58" s="251"/>
      <c r="XI58" s="251"/>
      <c r="XJ58" s="251"/>
      <c r="XK58" s="251"/>
      <c r="XL58" s="251"/>
      <c r="XM58" s="251"/>
      <c r="XN58" s="251"/>
      <c r="XO58" s="251"/>
      <c r="XP58" s="251"/>
      <c r="XQ58" s="251"/>
      <c r="XR58" s="251"/>
      <c r="XS58" s="251"/>
      <c r="XT58" s="251"/>
      <c r="XU58" s="251"/>
      <c r="XV58" s="251"/>
      <c r="XW58" s="251"/>
      <c r="XX58" s="251"/>
      <c r="XY58" s="251"/>
      <c r="XZ58" s="251"/>
      <c r="YA58" s="251"/>
      <c r="YB58" s="251"/>
      <c r="YC58" s="251"/>
      <c r="YD58" s="251"/>
      <c r="YE58" s="251"/>
      <c r="YF58" s="251"/>
      <c r="YG58" s="251"/>
      <c r="YH58" s="251"/>
      <c r="YI58" s="251"/>
      <c r="YJ58" s="251"/>
      <c r="YK58" s="251"/>
      <c r="YL58" s="251"/>
      <c r="YM58" s="251"/>
      <c r="YN58" s="251"/>
      <c r="YO58" s="251"/>
      <c r="YP58" s="251"/>
      <c r="YQ58" s="251"/>
      <c r="YR58" s="251"/>
      <c r="YS58" s="251"/>
    </row>
    <row r="59" spans="1:669" s="18" customFormat="1" ht="15" thickBot="1" x14ac:dyDescent="0.25">
      <c r="B59" s="1"/>
      <c r="C59" s="6"/>
      <c r="D59" s="6"/>
      <c r="E59" s="6"/>
      <c r="F59" s="29"/>
      <c r="G59" s="29"/>
      <c r="H59" s="29"/>
      <c r="I59" s="29"/>
      <c r="J59" s="29"/>
      <c r="K59" s="29"/>
      <c r="L59" s="29"/>
      <c r="M59" s="29"/>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row>
    <row r="60" spans="1:669" s="21" customFormat="1" ht="18.75" thickBot="1" x14ac:dyDescent="0.3">
      <c r="A60" s="298" t="s">
        <v>138</v>
      </c>
      <c r="B60" s="299"/>
      <c r="C60" s="300"/>
      <c r="D60" s="300"/>
      <c r="E60" s="300"/>
      <c r="F60" s="301"/>
      <c r="G60" s="301"/>
      <c r="H60" s="301"/>
      <c r="I60" s="301"/>
      <c r="J60" s="301"/>
      <c r="K60" s="304"/>
      <c r="L60" s="301"/>
      <c r="M60" s="305"/>
      <c r="N60" s="40"/>
      <c r="O60" s="40"/>
      <c r="P60" s="40"/>
      <c r="Q60" s="40"/>
      <c r="R60" s="40"/>
      <c r="S60" s="40"/>
      <c r="T60" s="40"/>
      <c r="U60" s="41"/>
      <c r="V60" s="40"/>
      <c r="W60" s="40"/>
      <c r="X60" s="40"/>
      <c r="Y60" s="40"/>
      <c r="Z60" s="40"/>
      <c r="AA60" s="40"/>
      <c r="AB60" s="42"/>
      <c r="AC60" s="42"/>
      <c r="AD60" s="42"/>
      <c r="AE60" s="42"/>
      <c r="AF60" s="42"/>
      <c r="AG60" s="42"/>
      <c r="AH60" s="42"/>
      <c r="AI60" s="42"/>
      <c r="AJ60" s="42"/>
      <c r="AK60" s="42"/>
      <c r="AL60" s="42"/>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c r="IP60" s="41"/>
      <c r="IQ60" s="41"/>
      <c r="IR60" s="41"/>
      <c r="IS60" s="41"/>
      <c r="IT60" s="41"/>
      <c r="IU60" s="41"/>
      <c r="IV60" s="41"/>
      <c r="IW60" s="41"/>
      <c r="IX60" s="41"/>
      <c r="IY60" s="41"/>
      <c r="IZ60" s="41"/>
      <c r="JA60" s="41"/>
      <c r="JB60" s="41"/>
      <c r="JC60" s="41"/>
      <c r="JD60" s="41"/>
      <c r="JE60" s="41"/>
      <c r="JF60" s="41"/>
      <c r="JG60" s="41"/>
      <c r="JH60" s="41"/>
      <c r="JI60" s="41"/>
      <c r="JJ60" s="41"/>
      <c r="JK60" s="41"/>
      <c r="JL60" s="41"/>
      <c r="JM60" s="41"/>
      <c r="JN60" s="41"/>
      <c r="JO60" s="41"/>
      <c r="JP60" s="41"/>
      <c r="JQ60" s="41"/>
      <c r="JR60" s="41"/>
      <c r="JS60" s="41"/>
      <c r="JT60" s="41"/>
      <c r="JU60" s="41"/>
      <c r="JV60" s="41"/>
      <c r="JW60" s="41"/>
      <c r="JX60" s="41"/>
      <c r="JY60" s="41"/>
      <c r="JZ60" s="41"/>
      <c r="KA60" s="41"/>
      <c r="KB60" s="41"/>
      <c r="KC60" s="41"/>
      <c r="KD60" s="41"/>
      <c r="KE60" s="41"/>
      <c r="KF60" s="41"/>
      <c r="KG60" s="41"/>
      <c r="KH60" s="41"/>
      <c r="KI60" s="41"/>
      <c r="KJ60" s="41"/>
      <c r="KK60" s="41"/>
      <c r="KL60" s="41"/>
      <c r="KM60" s="41"/>
      <c r="KN60" s="41"/>
      <c r="KO60" s="41"/>
      <c r="KP60" s="41"/>
      <c r="KQ60" s="41"/>
      <c r="KR60" s="41"/>
      <c r="KS60" s="41"/>
      <c r="KT60" s="41"/>
      <c r="KU60" s="41"/>
      <c r="KV60" s="41"/>
      <c r="KW60" s="41"/>
      <c r="KX60" s="41"/>
      <c r="KY60" s="41"/>
      <c r="KZ60" s="41"/>
      <c r="LA60" s="41"/>
      <c r="LB60" s="41"/>
      <c r="LC60" s="41"/>
      <c r="LD60" s="41"/>
      <c r="LE60" s="41"/>
      <c r="LF60" s="41"/>
      <c r="LG60" s="41"/>
      <c r="LH60" s="41"/>
      <c r="LI60" s="41"/>
      <c r="LJ60" s="41"/>
      <c r="LK60" s="41"/>
      <c r="LL60" s="41"/>
      <c r="LM60" s="41"/>
      <c r="LN60" s="41"/>
      <c r="LO60" s="41"/>
      <c r="LP60" s="41"/>
      <c r="LQ60" s="41"/>
      <c r="LR60" s="41"/>
      <c r="LS60" s="41"/>
      <c r="LT60" s="41"/>
      <c r="LU60" s="41"/>
      <c r="LV60" s="41"/>
      <c r="LW60" s="41"/>
      <c r="LX60" s="41"/>
      <c r="LY60" s="41"/>
      <c r="LZ60" s="41"/>
      <c r="MA60" s="41"/>
      <c r="MB60" s="41"/>
      <c r="MC60" s="41"/>
      <c r="MD60" s="41"/>
      <c r="ME60" s="41"/>
      <c r="MF60" s="41"/>
      <c r="MG60" s="41"/>
      <c r="MH60" s="41"/>
      <c r="MI60" s="41"/>
      <c r="MJ60" s="41"/>
      <c r="MK60" s="41"/>
      <c r="ML60" s="41"/>
      <c r="MM60" s="41"/>
      <c r="MN60" s="41"/>
      <c r="MO60" s="41"/>
      <c r="MP60" s="41"/>
      <c r="MQ60" s="41"/>
      <c r="MR60" s="41"/>
      <c r="MS60" s="41"/>
      <c r="MT60" s="41"/>
      <c r="MU60" s="41"/>
      <c r="MV60" s="41"/>
      <c r="MW60" s="41"/>
      <c r="MX60" s="41"/>
      <c r="MY60" s="41"/>
      <c r="MZ60" s="41"/>
      <c r="NA60" s="41"/>
      <c r="NB60" s="41"/>
      <c r="NC60" s="41"/>
      <c r="ND60" s="41"/>
      <c r="NE60" s="41"/>
      <c r="NF60" s="41"/>
      <c r="NG60" s="41"/>
      <c r="NH60" s="41"/>
      <c r="NI60" s="41"/>
      <c r="NJ60" s="41"/>
      <c r="NK60" s="41"/>
      <c r="NL60" s="41"/>
      <c r="NM60" s="41"/>
      <c r="NN60" s="41"/>
      <c r="NO60" s="41"/>
      <c r="NP60" s="41"/>
      <c r="NQ60" s="41"/>
      <c r="NR60" s="41"/>
      <c r="NS60" s="41"/>
      <c r="NT60" s="41"/>
      <c r="NU60" s="41"/>
      <c r="NV60" s="41"/>
      <c r="NW60" s="41"/>
      <c r="NX60" s="41"/>
      <c r="NY60" s="41"/>
      <c r="NZ60" s="41"/>
      <c r="OA60" s="41"/>
      <c r="OB60" s="41"/>
      <c r="OC60" s="41"/>
      <c r="OD60" s="41"/>
      <c r="OE60" s="41"/>
      <c r="OF60" s="41"/>
      <c r="OG60" s="41"/>
      <c r="OH60" s="41"/>
      <c r="OI60" s="41"/>
      <c r="OJ60" s="41"/>
      <c r="OK60" s="41"/>
      <c r="OL60" s="41"/>
      <c r="OM60" s="41"/>
      <c r="ON60" s="41"/>
      <c r="OO60" s="41"/>
      <c r="OP60" s="41"/>
      <c r="OQ60" s="41"/>
      <c r="OR60" s="41"/>
      <c r="OS60" s="41"/>
      <c r="OT60" s="41"/>
      <c r="OU60" s="41"/>
      <c r="OV60" s="41"/>
      <c r="OW60" s="41"/>
      <c r="OX60" s="41"/>
      <c r="OY60" s="41"/>
      <c r="OZ60" s="41"/>
      <c r="PA60" s="41"/>
      <c r="PB60" s="41"/>
      <c r="PC60" s="41"/>
      <c r="PD60" s="41"/>
      <c r="PE60" s="41"/>
      <c r="PF60" s="41"/>
      <c r="PG60" s="41"/>
      <c r="PH60" s="41"/>
      <c r="PI60" s="41"/>
      <c r="PJ60" s="41"/>
      <c r="PK60" s="41"/>
      <c r="PL60" s="41"/>
      <c r="PM60" s="41"/>
      <c r="PN60" s="41"/>
      <c r="PO60" s="41"/>
      <c r="PP60" s="41"/>
      <c r="PQ60" s="41"/>
      <c r="PR60" s="41"/>
      <c r="PS60" s="41"/>
      <c r="PT60" s="41"/>
      <c r="PU60" s="41"/>
      <c r="PV60" s="41"/>
      <c r="PW60" s="41"/>
      <c r="PX60" s="41"/>
      <c r="PY60" s="41"/>
      <c r="PZ60" s="41"/>
      <c r="QA60" s="41"/>
      <c r="QB60" s="41"/>
      <c r="QC60" s="41"/>
      <c r="QD60" s="41"/>
      <c r="QE60" s="41"/>
      <c r="QF60" s="41"/>
      <c r="QG60" s="41"/>
      <c r="QH60" s="41"/>
      <c r="QI60" s="41"/>
      <c r="QJ60" s="41"/>
      <c r="QK60" s="41"/>
      <c r="QL60" s="41"/>
      <c r="QM60" s="41"/>
      <c r="QN60" s="41"/>
      <c r="QO60" s="41"/>
      <c r="QP60" s="41"/>
      <c r="QQ60" s="41"/>
      <c r="QR60" s="41"/>
      <c r="QS60" s="41"/>
      <c r="QT60" s="41"/>
      <c r="QU60" s="41"/>
      <c r="QV60" s="41"/>
      <c r="QW60" s="41"/>
      <c r="QX60" s="41"/>
      <c r="QY60" s="41"/>
      <c r="QZ60" s="41"/>
      <c r="RA60" s="41"/>
      <c r="RB60" s="41"/>
      <c r="RC60" s="41"/>
      <c r="RD60" s="41"/>
      <c r="RE60" s="41"/>
      <c r="RF60" s="41"/>
      <c r="RG60" s="41"/>
      <c r="RH60" s="41"/>
      <c r="RI60" s="41"/>
      <c r="RJ60" s="41"/>
      <c r="RK60" s="41"/>
      <c r="RL60" s="41"/>
      <c r="RM60" s="41"/>
      <c r="RN60" s="41"/>
      <c r="RO60" s="41"/>
      <c r="RP60" s="41"/>
      <c r="RQ60" s="41"/>
      <c r="RR60" s="41"/>
      <c r="RS60" s="41"/>
      <c r="RT60" s="41"/>
      <c r="RU60" s="41"/>
      <c r="RV60" s="41"/>
      <c r="RW60" s="41"/>
      <c r="RX60" s="41"/>
      <c r="RY60" s="41"/>
      <c r="RZ60" s="41"/>
      <c r="SA60" s="41"/>
      <c r="SB60" s="41"/>
      <c r="SC60" s="41"/>
      <c r="SD60" s="41"/>
      <c r="SE60" s="41"/>
      <c r="SF60" s="41"/>
      <c r="SG60" s="41"/>
      <c r="SH60" s="41"/>
      <c r="SI60" s="41"/>
      <c r="SJ60" s="41"/>
      <c r="SK60" s="41"/>
      <c r="SL60" s="41"/>
      <c r="SM60" s="41"/>
      <c r="SN60" s="41"/>
      <c r="SO60" s="41"/>
      <c r="SP60" s="41"/>
      <c r="SQ60" s="41"/>
      <c r="SR60" s="41"/>
      <c r="SS60" s="41"/>
      <c r="ST60" s="41"/>
      <c r="SU60" s="41"/>
      <c r="SV60" s="41"/>
      <c r="SW60" s="41"/>
      <c r="SX60" s="41"/>
      <c r="SY60" s="41"/>
      <c r="SZ60" s="41"/>
      <c r="TA60" s="41"/>
      <c r="TB60" s="41"/>
      <c r="TC60" s="41"/>
      <c r="TD60" s="41"/>
      <c r="TE60" s="41"/>
      <c r="TF60" s="41"/>
      <c r="TG60" s="41"/>
      <c r="TH60" s="41"/>
      <c r="TI60" s="41"/>
      <c r="TJ60" s="41"/>
      <c r="TK60" s="41"/>
      <c r="TL60" s="41"/>
      <c r="TM60" s="41"/>
      <c r="TN60" s="41"/>
      <c r="TO60" s="41"/>
      <c r="TP60" s="41"/>
      <c r="TQ60" s="41"/>
      <c r="TR60" s="41"/>
      <c r="TS60" s="41"/>
      <c r="TT60" s="41"/>
      <c r="TU60" s="41"/>
      <c r="TV60" s="41"/>
      <c r="TW60" s="41"/>
      <c r="TX60" s="41"/>
      <c r="TY60" s="41"/>
      <c r="TZ60" s="41"/>
      <c r="UA60" s="41"/>
      <c r="UB60" s="41"/>
      <c r="UC60" s="41"/>
      <c r="UD60" s="41"/>
      <c r="UE60" s="41"/>
      <c r="UF60" s="41"/>
      <c r="UG60" s="41"/>
      <c r="UH60" s="41"/>
      <c r="UI60" s="41"/>
      <c r="UJ60" s="41"/>
      <c r="UK60" s="41"/>
      <c r="UL60" s="41"/>
      <c r="UM60" s="41"/>
      <c r="UN60" s="41"/>
      <c r="UO60" s="41"/>
      <c r="UP60" s="41"/>
      <c r="UQ60" s="41"/>
      <c r="UR60" s="41"/>
      <c r="US60" s="41"/>
      <c r="UT60" s="41"/>
      <c r="UU60" s="41"/>
      <c r="UV60" s="41"/>
      <c r="UW60" s="41"/>
      <c r="UX60" s="41"/>
      <c r="UY60" s="41"/>
      <c r="UZ60" s="41"/>
      <c r="VA60" s="41"/>
      <c r="VB60" s="41"/>
      <c r="VC60" s="41"/>
      <c r="VD60" s="41"/>
      <c r="VE60" s="41"/>
      <c r="VF60" s="41"/>
      <c r="VG60" s="41"/>
      <c r="VH60" s="41"/>
      <c r="VI60" s="41"/>
      <c r="VJ60" s="41"/>
      <c r="VK60" s="41"/>
      <c r="VL60" s="41"/>
      <c r="VM60" s="41"/>
      <c r="VN60" s="41"/>
      <c r="VO60" s="41"/>
      <c r="VP60" s="41"/>
      <c r="VQ60" s="41"/>
      <c r="VR60" s="41"/>
      <c r="VS60" s="41"/>
      <c r="VT60" s="41"/>
      <c r="VU60" s="41"/>
      <c r="VV60" s="41"/>
      <c r="VW60" s="41"/>
      <c r="VX60" s="41"/>
      <c r="VY60" s="41"/>
      <c r="VZ60" s="41"/>
      <c r="WA60" s="41"/>
      <c r="WB60" s="41"/>
      <c r="WC60" s="41"/>
      <c r="WD60" s="41"/>
      <c r="WE60" s="41"/>
      <c r="WF60" s="41"/>
      <c r="WG60" s="41"/>
      <c r="WH60" s="41"/>
      <c r="WI60" s="41"/>
      <c r="WJ60" s="41"/>
      <c r="WK60" s="41"/>
      <c r="WL60" s="41"/>
      <c r="WM60" s="41"/>
      <c r="WN60" s="41"/>
      <c r="WO60" s="41"/>
      <c r="WP60" s="41"/>
      <c r="WQ60" s="41"/>
      <c r="WR60" s="41"/>
      <c r="WS60" s="41"/>
      <c r="WT60" s="41"/>
      <c r="WU60" s="41"/>
      <c r="WV60" s="41"/>
      <c r="WW60" s="41"/>
      <c r="WX60" s="41"/>
      <c r="WY60" s="41"/>
      <c r="WZ60" s="41"/>
      <c r="XA60" s="41"/>
      <c r="XB60" s="41"/>
      <c r="XC60" s="41"/>
      <c r="XD60" s="41"/>
      <c r="XE60" s="41"/>
      <c r="XF60" s="41"/>
      <c r="XG60" s="41"/>
      <c r="XH60" s="41"/>
      <c r="XI60" s="41"/>
      <c r="XJ60" s="41"/>
      <c r="XK60" s="41"/>
      <c r="XL60" s="41"/>
      <c r="XM60" s="41"/>
      <c r="XN60" s="41"/>
      <c r="XO60" s="41"/>
      <c r="XP60" s="41"/>
      <c r="XQ60" s="41"/>
      <c r="XR60" s="41"/>
      <c r="XS60" s="41"/>
      <c r="XT60" s="41"/>
      <c r="XU60" s="41"/>
      <c r="XV60" s="41"/>
      <c r="XW60" s="41"/>
      <c r="XX60" s="41"/>
      <c r="XY60" s="41"/>
      <c r="XZ60" s="41"/>
      <c r="YA60" s="41"/>
      <c r="YB60" s="41"/>
      <c r="YC60" s="41"/>
      <c r="YD60" s="41"/>
      <c r="YE60" s="41"/>
      <c r="YF60" s="41"/>
      <c r="YG60" s="41"/>
      <c r="YH60" s="41"/>
      <c r="YI60" s="41"/>
      <c r="YJ60" s="41"/>
      <c r="YK60" s="41"/>
      <c r="YL60" s="41"/>
      <c r="YM60" s="41"/>
      <c r="YN60" s="41"/>
      <c r="YO60" s="41"/>
      <c r="YP60" s="41"/>
      <c r="YQ60" s="41"/>
      <c r="YR60" s="41"/>
      <c r="YS60" s="41"/>
    </row>
    <row r="61" spans="1:669" s="23" customFormat="1" ht="33.75" customHeight="1" thickBot="1" x14ac:dyDescent="0.25">
      <c r="A61" s="314" t="s">
        <v>31</v>
      </c>
      <c r="B61" s="1015" t="s">
        <v>24</v>
      </c>
      <c r="C61" s="1016"/>
      <c r="D61" s="1016"/>
      <c r="E61" s="1020"/>
      <c r="F61" s="318" t="s">
        <v>36</v>
      </c>
      <c r="G61" s="256" t="s">
        <v>481</v>
      </c>
      <c r="H61" s="256" t="s">
        <v>162</v>
      </c>
      <c r="I61" s="256" t="s">
        <v>502</v>
      </c>
      <c r="J61" s="256" t="s">
        <v>163</v>
      </c>
      <c r="K61" s="256" t="s">
        <v>10</v>
      </c>
      <c r="L61" s="256" t="s">
        <v>330</v>
      </c>
      <c r="M61" s="256" t="s">
        <v>4</v>
      </c>
      <c r="N61" s="35"/>
      <c r="O61" s="35"/>
      <c r="P61" s="35"/>
      <c r="Q61" s="35"/>
      <c r="R61" s="35"/>
      <c r="S61" s="35"/>
      <c r="T61" s="35"/>
      <c r="U61" s="6"/>
      <c r="V61" s="35"/>
      <c r="W61" s="35"/>
      <c r="X61" s="35"/>
      <c r="Y61" s="35"/>
      <c r="Z61" s="35"/>
      <c r="AA61" s="35"/>
      <c r="AB61" s="36"/>
      <c r="AC61" s="36"/>
      <c r="AD61" s="36"/>
      <c r="AE61" s="36"/>
      <c r="AF61" s="36"/>
      <c r="AG61" s="36"/>
      <c r="AH61" s="36"/>
      <c r="AI61" s="36"/>
      <c r="AJ61" s="36"/>
      <c r="AK61" s="36"/>
      <c r="AL61" s="3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row>
    <row r="62" spans="1:669" s="18" customFormat="1" x14ac:dyDescent="0.2">
      <c r="A62" s="286" t="s">
        <v>482</v>
      </c>
      <c r="B62" s="825" t="s">
        <v>467</v>
      </c>
      <c r="C62" s="826"/>
      <c r="D62" s="826"/>
      <c r="E62" s="827"/>
      <c r="F62" s="293">
        <v>52000</v>
      </c>
      <c r="G62" s="293"/>
      <c r="H62" s="293">
        <v>52000</v>
      </c>
      <c r="I62" s="293"/>
      <c r="J62" s="307">
        <f>52000/12*12</f>
        <v>52000</v>
      </c>
      <c r="K62" s="380">
        <f>G62+H62-J62</f>
        <v>0</v>
      </c>
      <c r="L62" s="293">
        <f>K62</f>
        <v>0</v>
      </c>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row>
    <row r="63" spans="1:669" s="18" customFormat="1" x14ac:dyDescent="0.2">
      <c r="A63" s="286" t="s">
        <v>494</v>
      </c>
      <c r="B63" s="829" t="s">
        <v>485</v>
      </c>
      <c r="C63" s="830"/>
      <c r="D63" s="830"/>
      <c r="E63" s="831"/>
      <c r="F63" s="293">
        <v>10400</v>
      </c>
      <c r="G63" s="293"/>
      <c r="H63" s="293">
        <v>10400</v>
      </c>
      <c r="I63" s="293"/>
      <c r="J63" s="307">
        <f>10400/12*12</f>
        <v>10400</v>
      </c>
      <c r="K63" s="380">
        <f>10400-J63</f>
        <v>0</v>
      </c>
      <c r="L63" s="293">
        <f>K63</f>
        <v>0</v>
      </c>
      <c r="M63" s="29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row>
    <row r="64" spans="1:669" s="18" customFormat="1" ht="15" x14ac:dyDescent="0.25">
      <c r="A64" s="286" t="s">
        <v>627</v>
      </c>
      <c r="B64" s="909" t="s">
        <v>628</v>
      </c>
      <c r="C64" s="910"/>
      <c r="D64" s="910"/>
      <c r="E64" s="911"/>
      <c r="F64" s="293">
        <v>52000</v>
      </c>
      <c r="G64" s="293"/>
      <c r="H64" s="293"/>
      <c r="I64" s="293"/>
      <c r="J64" s="307"/>
      <c r="K64" s="380"/>
      <c r="L64" s="293"/>
      <c r="M64" s="293"/>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row>
    <row r="65" spans="1:669" s="18" customFormat="1" x14ac:dyDescent="0.2">
      <c r="A65" s="286" t="s">
        <v>483</v>
      </c>
      <c r="B65" s="1017" t="s">
        <v>468</v>
      </c>
      <c r="C65" s="1018"/>
      <c r="D65" s="1018"/>
      <c r="E65" s="1019"/>
      <c r="F65" s="293">
        <v>20000</v>
      </c>
      <c r="G65" s="293"/>
      <c r="H65" s="293">
        <f>F65</f>
        <v>20000</v>
      </c>
      <c r="I65" s="293"/>
      <c r="J65" s="307">
        <f>H65/12*12</f>
        <v>20000</v>
      </c>
      <c r="K65" s="380">
        <f>H65-J65</f>
        <v>0</v>
      </c>
      <c r="L65" s="293">
        <f>K65</f>
        <v>0</v>
      </c>
      <c r="M65" s="293"/>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row>
    <row r="66" spans="1:669" s="18" customFormat="1" ht="15" x14ac:dyDescent="0.25">
      <c r="A66" s="286" t="s">
        <v>629</v>
      </c>
      <c r="B66" s="1017" t="s">
        <v>630</v>
      </c>
      <c r="C66" s="1018"/>
      <c r="D66" s="1018"/>
      <c r="E66" s="1019"/>
      <c r="F66" s="293">
        <v>21000</v>
      </c>
      <c r="G66" s="293"/>
      <c r="H66" s="293"/>
      <c r="I66" s="293"/>
      <c r="J66" s="307"/>
      <c r="K66" s="380">
        <f>H66-J66</f>
        <v>0</v>
      </c>
      <c r="L66" s="293">
        <f>K66</f>
        <v>0</v>
      </c>
      <c r="M66" s="293"/>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row>
    <row r="67" spans="1:669" s="18" customFormat="1" x14ac:dyDescent="0.2">
      <c r="A67" s="286" t="s">
        <v>484</v>
      </c>
      <c r="B67" s="825" t="s">
        <v>469</v>
      </c>
      <c r="C67" s="826"/>
      <c r="D67" s="826"/>
      <c r="E67" s="827"/>
      <c r="F67" s="293" t="s">
        <v>488</v>
      </c>
      <c r="G67" s="293"/>
      <c r="H67" s="293"/>
      <c r="I67" s="293">
        <f>'December''22 AR Aging '!G65</f>
        <v>5920</v>
      </c>
      <c r="J67" s="307">
        <v>15040</v>
      </c>
      <c r="K67" s="380"/>
      <c r="L67" s="293"/>
      <c r="M67" s="293"/>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row>
    <row r="68" spans="1:669" s="18" customFormat="1" x14ac:dyDescent="0.2">
      <c r="A68" s="286" t="s">
        <v>495</v>
      </c>
      <c r="B68" s="829" t="s">
        <v>469</v>
      </c>
      <c r="C68" s="830"/>
      <c r="D68" s="830"/>
      <c r="E68" s="831"/>
      <c r="F68" s="293" t="s">
        <v>487</v>
      </c>
      <c r="G68" s="293"/>
      <c r="H68" s="293"/>
      <c r="I68" s="293">
        <f>'December''22 AR Aging '!G64</f>
        <v>400</v>
      </c>
      <c r="J68" s="307">
        <v>13840</v>
      </c>
      <c r="K68" s="380"/>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row>
    <row r="69" spans="1:669" x14ac:dyDescent="0.2">
      <c r="A69" s="286" t="s">
        <v>20</v>
      </c>
      <c r="B69" s="1017" t="s">
        <v>433</v>
      </c>
      <c r="C69" s="1018"/>
      <c r="D69" s="1018"/>
      <c r="E69" s="1019"/>
      <c r="F69" s="293"/>
      <c r="G69" s="293">
        <v>0</v>
      </c>
      <c r="H69" s="293">
        <f>J69</f>
        <v>17485.37</v>
      </c>
      <c r="I69" s="293"/>
      <c r="J69" s="307">
        <v>17485.37</v>
      </c>
      <c r="K69" s="380">
        <f>H69-J69</f>
        <v>0</v>
      </c>
      <c r="L69" s="293">
        <v>0</v>
      </c>
      <c r="M69" s="293">
        <v>0</v>
      </c>
      <c r="N69" s="29"/>
    </row>
    <row r="70" spans="1:669" x14ac:dyDescent="0.2">
      <c r="A70" s="286" t="s">
        <v>20</v>
      </c>
      <c r="B70" s="1017" t="s">
        <v>6</v>
      </c>
      <c r="C70" s="1018"/>
      <c r="D70" s="1018"/>
      <c r="E70" s="1019"/>
      <c r="F70" s="293"/>
      <c r="G70" s="293">
        <v>374.76</v>
      </c>
      <c r="H70" s="293"/>
      <c r="I70" s="293"/>
      <c r="J70" s="307"/>
      <c r="K70" s="380">
        <f>G70+H70-J70</f>
        <v>374.76</v>
      </c>
      <c r="L70" s="293">
        <f>K70</f>
        <v>374.76</v>
      </c>
      <c r="M70" s="293">
        <v>0</v>
      </c>
      <c r="N70" s="29"/>
    </row>
    <row r="71" spans="1:669" x14ac:dyDescent="0.2">
      <c r="A71" s="286" t="s">
        <v>20</v>
      </c>
      <c r="B71" s="1017" t="s">
        <v>7</v>
      </c>
      <c r="C71" s="1018"/>
      <c r="D71" s="1018"/>
      <c r="E71" s="1019"/>
      <c r="F71" s="293"/>
      <c r="G71" s="293">
        <v>8805.2999999999993</v>
      </c>
      <c r="H71" s="293">
        <v>19650</v>
      </c>
      <c r="I71" s="293">
        <v>0</v>
      </c>
      <c r="J71" s="307">
        <v>13123.13</v>
      </c>
      <c r="K71" s="380">
        <f>G71+H71-J71</f>
        <v>15332.17</v>
      </c>
      <c r="L71" s="293">
        <f>K71</f>
        <v>15332.17</v>
      </c>
      <c r="M71" s="293">
        <v>0</v>
      </c>
      <c r="N71" s="29"/>
    </row>
    <row r="72" spans="1:669" ht="15" thickBot="1" x14ac:dyDescent="0.25">
      <c r="A72" s="286" t="s">
        <v>20</v>
      </c>
      <c r="B72" s="1017" t="s">
        <v>8</v>
      </c>
      <c r="C72" s="1018"/>
      <c r="D72" s="1018"/>
      <c r="E72" s="1019"/>
      <c r="F72" s="293"/>
      <c r="G72" s="293">
        <v>3136.83</v>
      </c>
      <c r="H72" s="293">
        <v>10000</v>
      </c>
      <c r="I72" s="293"/>
      <c r="J72" s="307">
        <f>10000-6150.95</f>
        <v>3849.05</v>
      </c>
      <c r="K72" s="380">
        <f>G72+H72-J72</f>
        <v>9287.7799999999988</v>
      </c>
      <c r="L72" s="293">
        <f>K72</f>
        <v>9287.7799999999988</v>
      </c>
      <c r="M72" s="293">
        <v>0</v>
      </c>
      <c r="N72" s="29"/>
    </row>
    <row r="73" spans="1:669" s="25" customFormat="1" ht="15" hidden="1" thickBot="1" x14ac:dyDescent="0.25">
      <c r="A73" s="286" t="s">
        <v>377</v>
      </c>
      <c r="B73" s="1017" t="s">
        <v>363</v>
      </c>
      <c r="C73" s="1018"/>
      <c r="D73" s="1018"/>
      <c r="E73" s="1019"/>
      <c r="F73" s="293"/>
      <c r="G73" s="293"/>
      <c r="H73" s="293"/>
      <c r="I73" s="293"/>
      <c r="J73" s="293"/>
      <c r="K73" s="293"/>
      <c r="L73" s="293"/>
      <c r="M73" s="293"/>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row>
    <row r="74" spans="1:669" s="25" customFormat="1" ht="15" hidden="1" thickBot="1" x14ac:dyDescent="0.25">
      <c r="A74" s="286" t="s">
        <v>20</v>
      </c>
      <c r="B74" s="780" t="s">
        <v>75</v>
      </c>
      <c r="C74" s="781"/>
      <c r="D74" s="781"/>
      <c r="E74" s="782"/>
      <c r="F74" s="293"/>
      <c r="G74" s="293"/>
      <c r="H74" s="293"/>
      <c r="I74" s="293"/>
      <c r="J74" s="293"/>
      <c r="K74" s="293"/>
      <c r="L74" s="293"/>
      <c r="M74" s="293"/>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row>
    <row r="75" spans="1:669" s="18" customFormat="1" ht="15" hidden="1" customHeight="1" thickBot="1" x14ac:dyDescent="0.25">
      <c r="A75" s="287"/>
      <c r="B75" s="1017"/>
      <c r="C75" s="1018"/>
      <c r="D75" s="1018"/>
      <c r="E75" s="1019"/>
      <c r="F75" s="294"/>
      <c r="G75" s="294">
        <v>0</v>
      </c>
      <c r="H75" s="294"/>
      <c r="I75" s="303"/>
      <c r="J75" s="294"/>
      <c r="K75" s="294"/>
      <c r="L75" s="294"/>
      <c r="M75" s="294">
        <v>0</v>
      </c>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row>
    <row r="76" spans="1:669" s="252" customFormat="1" ht="15.75" thickBot="1" x14ac:dyDescent="0.3">
      <c r="A76" s="315" t="s">
        <v>34</v>
      </c>
      <c r="B76" s="316"/>
      <c r="C76" s="316"/>
      <c r="D76" s="316"/>
      <c r="E76" s="317"/>
      <c r="F76" s="373">
        <f t="shared" ref="F76:M76" si="4">SUM(F62:F75)</f>
        <v>155400</v>
      </c>
      <c r="G76" s="374">
        <f t="shared" si="4"/>
        <v>12316.89</v>
      </c>
      <c r="H76" s="374">
        <f t="shared" si="4"/>
        <v>129535.37</v>
      </c>
      <c r="I76" s="374">
        <f t="shared" si="4"/>
        <v>6320</v>
      </c>
      <c r="J76" s="374">
        <f t="shared" si="4"/>
        <v>145737.54999999999</v>
      </c>
      <c r="K76" s="375">
        <f t="shared" si="4"/>
        <v>24994.71</v>
      </c>
      <c r="L76" s="376">
        <f t="shared" si="4"/>
        <v>24994.71</v>
      </c>
      <c r="M76" s="375">
        <f t="shared" si="4"/>
        <v>0</v>
      </c>
      <c r="N76" s="250"/>
      <c r="O76" s="250"/>
      <c r="P76" s="250"/>
      <c r="Q76" s="250"/>
      <c r="R76" s="250"/>
      <c r="S76" s="250"/>
      <c r="T76" s="250"/>
      <c r="U76" s="251"/>
      <c r="V76" s="250"/>
      <c r="W76" s="250"/>
      <c r="X76" s="250"/>
      <c r="Y76" s="250"/>
      <c r="Z76" s="250"/>
      <c r="AA76" s="250"/>
      <c r="AB76" s="250"/>
      <c r="AC76" s="250"/>
      <c r="AD76" s="250"/>
      <c r="AE76" s="250"/>
      <c r="AF76" s="250"/>
      <c r="AG76" s="250"/>
      <c r="AH76" s="250"/>
      <c r="AI76" s="250"/>
      <c r="AJ76" s="250"/>
      <c r="AK76" s="250"/>
      <c r="AL76" s="250"/>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251"/>
      <c r="MV76" s="251"/>
      <c r="MW76" s="251"/>
      <c r="MX76" s="251"/>
      <c r="MY76" s="251"/>
      <c r="MZ76" s="251"/>
      <c r="NA76" s="251"/>
      <c r="NB76" s="251"/>
      <c r="NC76" s="251"/>
      <c r="ND76" s="251"/>
      <c r="NE76" s="251"/>
      <c r="NF76" s="251"/>
      <c r="NG76" s="251"/>
      <c r="NH76" s="251"/>
      <c r="NI76" s="251"/>
      <c r="NJ76" s="251"/>
      <c r="NK76" s="251"/>
      <c r="NL76" s="251"/>
      <c r="NM76" s="251"/>
      <c r="NN76" s="251"/>
      <c r="NO76" s="251"/>
      <c r="NP76" s="251"/>
      <c r="NQ76" s="251"/>
      <c r="NR76" s="251"/>
      <c r="NS76" s="251"/>
      <c r="NT76" s="251"/>
      <c r="NU76" s="251"/>
      <c r="NV76" s="251"/>
      <c r="NW76" s="251"/>
      <c r="NX76" s="251"/>
      <c r="NY76" s="251"/>
      <c r="NZ76" s="251"/>
      <c r="OA76" s="251"/>
      <c r="OB76" s="251"/>
      <c r="OC76" s="251"/>
      <c r="OD76" s="251"/>
      <c r="OE76" s="251"/>
      <c r="OF76" s="251"/>
      <c r="OG76" s="251"/>
      <c r="OH76" s="251"/>
      <c r="OI76" s="251"/>
      <c r="OJ76" s="251"/>
      <c r="OK76" s="251"/>
      <c r="OL76" s="251"/>
      <c r="OM76" s="251"/>
      <c r="ON76" s="251"/>
      <c r="OO76" s="251"/>
      <c r="OP76" s="251"/>
      <c r="OQ76" s="251"/>
      <c r="OR76" s="251"/>
      <c r="OS76" s="251"/>
      <c r="OT76" s="251"/>
      <c r="OU76" s="251"/>
      <c r="OV76" s="251"/>
      <c r="OW76" s="251"/>
      <c r="OX76" s="251"/>
      <c r="OY76" s="251"/>
      <c r="OZ76" s="251"/>
      <c r="PA76" s="251"/>
      <c r="PB76" s="251"/>
      <c r="PC76" s="251"/>
      <c r="PD76" s="251"/>
      <c r="PE76" s="251"/>
      <c r="PF76" s="251"/>
      <c r="PG76" s="251"/>
      <c r="PH76" s="251"/>
      <c r="PI76" s="251"/>
      <c r="PJ76" s="251"/>
      <c r="PK76" s="251"/>
      <c r="PL76" s="251"/>
      <c r="PM76" s="251"/>
      <c r="PN76" s="251"/>
      <c r="PO76" s="251"/>
      <c r="PP76" s="251"/>
      <c r="PQ76" s="251"/>
      <c r="PR76" s="251"/>
      <c r="PS76" s="251"/>
      <c r="PT76" s="251"/>
      <c r="PU76" s="251"/>
      <c r="PV76" s="251"/>
      <c r="PW76" s="251"/>
      <c r="PX76" s="251"/>
      <c r="PY76" s="251"/>
      <c r="PZ76" s="251"/>
      <c r="QA76" s="251"/>
      <c r="QB76" s="251"/>
      <c r="QC76" s="251"/>
      <c r="QD76" s="251"/>
      <c r="QE76" s="251"/>
      <c r="QF76" s="251"/>
      <c r="QG76" s="251"/>
      <c r="QH76" s="251"/>
      <c r="QI76" s="251"/>
      <c r="QJ76" s="251"/>
      <c r="QK76" s="251"/>
      <c r="QL76" s="251"/>
      <c r="QM76" s="251"/>
      <c r="QN76" s="251"/>
      <c r="QO76" s="251"/>
      <c r="QP76" s="251"/>
      <c r="QQ76" s="251"/>
      <c r="QR76" s="251"/>
      <c r="QS76" s="251"/>
      <c r="QT76" s="251"/>
      <c r="QU76" s="251"/>
      <c r="QV76" s="251"/>
      <c r="QW76" s="251"/>
      <c r="QX76" s="251"/>
      <c r="QY76" s="251"/>
      <c r="QZ76" s="251"/>
      <c r="RA76" s="251"/>
      <c r="RB76" s="251"/>
      <c r="RC76" s="251"/>
      <c r="RD76" s="251"/>
      <c r="RE76" s="251"/>
      <c r="RF76" s="251"/>
      <c r="RG76" s="251"/>
      <c r="RH76" s="251"/>
      <c r="RI76" s="251"/>
      <c r="RJ76" s="251"/>
      <c r="RK76" s="251"/>
      <c r="RL76" s="251"/>
      <c r="RM76" s="251"/>
      <c r="RN76" s="251"/>
      <c r="RO76" s="251"/>
      <c r="RP76" s="251"/>
      <c r="RQ76" s="251"/>
      <c r="RR76" s="251"/>
      <c r="RS76" s="251"/>
      <c r="RT76" s="251"/>
      <c r="RU76" s="251"/>
      <c r="RV76" s="251"/>
      <c r="RW76" s="251"/>
      <c r="RX76" s="251"/>
      <c r="RY76" s="251"/>
      <c r="RZ76" s="251"/>
      <c r="SA76" s="251"/>
      <c r="SB76" s="251"/>
      <c r="SC76" s="251"/>
      <c r="SD76" s="251"/>
      <c r="SE76" s="251"/>
      <c r="SF76" s="251"/>
      <c r="SG76" s="251"/>
      <c r="SH76" s="251"/>
      <c r="SI76" s="251"/>
      <c r="SJ76" s="251"/>
      <c r="SK76" s="251"/>
      <c r="SL76" s="251"/>
      <c r="SM76" s="251"/>
      <c r="SN76" s="251"/>
      <c r="SO76" s="251"/>
      <c r="SP76" s="251"/>
      <c r="SQ76" s="251"/>
      <c r="SR76" s="251"/>
      <c r="SS76" s="251"/>
      <c r="ST76" s="251"/>
      <c r="SU76" s="251"/>
      <c r="SV76" s="251"/>
      <c r="SW76" s="251"/>
      <c r="SX76" s="251"/>
      <c r="SY76" s="251"/>
      <c r="SZ76" s="251"/>
      <c r="TA76" s="251"/>
      <c r="TB76" s="251"/>
      <c r="TC76" s="251"/>
      <c r="TD76" s="251"/>
      <c r="TE76" s="251"/>
      <c r="TF76" s="251"/>
      <c r="TG76" s="251"/>
      <c r="TH76" s="251"/>
      <c r="TI76" s="251"/>
      <c r="TJ76" s="251"/>
      <c r="TK76" s="251"/>
      <c r="TL76" s="251"/>
      <c r="TM76" s="251"/>
      <c r="TN76" s="251"/>
      <c r="TO76" s="251"/>
      <c r="TP76" s="251"/>
      <c r="TQ76" s="251"/>
      <c r="TR76" s="251"/>
      <c r="TS76" s="251"/>
      <c r="TT76" s="251"/>
      <c r="TU76" s="251"/>
      <c r="TV76" s="251"/>
      <c r="TW76" s="251"/>
      <c r="TX76" s="251"/>
      <c r="TY76" s="251"/>
      <c r="TZ76" s="251"/>
      <c r="UA76" s="251"/>
      <c r="UB76" s="251"/>
      <c r="UC76" s="251"/>
      <c r="UD76" s="251"/>
      <c r="UE76" s="251"/>
      <c r="UF76" s="251"/>
      <c r="UG76" s="251"/>
      <c r="UH76" s="251"/>
      <c r="UI76" s="251"/>
      <c r="UJ76" s="251"/>
      <c r="UK76" s="251"/>
      <c r="UL76" s="251"/>
      <c r="UM76" s="251"/>
      <c r="UN76" s="251"/>
      <c r="UO76" s="251"/>
      <c r="UP76" s="251"/>
      <c r="UQ76" s="251"/>
      <c r="UR76" s="251"/>
      <c r="US76" s="251"/>
      <c r="UT76" s="251"/>
      <c r="UU76" s="251"/>
      <c r="UV76" s="251"/>
      <c r="UW76" s="251"/>
      <c r="UX76" s="251"/>
      <c r="UY76" s="251"/>
      <c r="UZ76" s="251"/>
      <c r="VA76" s="251"/>
      <c r="VB76" s="251"/>
      <c r="VC76" s="251"/>
      <c r="VD76" s="251"/>
      <c r="VE76" s="251"/>
      <c r="VF76" s="251"/>
      <c r="VG76" s="251"/>
      <c r="VH76" s="251"/>
      <c r="VI76" s="251"/>
      <c r="VJ76" s="251"/>
      <c r="VK76" s="251"/>
      <c r="VL76" s="251"/>
      <c r="VM76" s="251"/>
      <c r="VN76" s="251"/>
      <c r="VO76" s="251"/>
      <c r="VP76" s="251"/>
      <c r="VQ76" s="251"/>
      <c r="VR76" s="251"/>
      <c r="VS76" s="251"/>
      <c r="VT76" s="251"/>
      <c r="VU76" s="251"/>
      <c r="VV76" s="251"/>
      <c r="VW76" s="251"/>
      <c r="VX76" s="251"/>
      <c r="VY76" s="251"/>
      <c r="VZ76" s="251"/>
      <c r="WA76" s="251"/>
      <c r="WB76" s="251"/>
      <c r="WC76" s="251"/>
      <c r="WD76" s="251"/>
      <c r="WE76" s="251"/>
      <c r="WF76" s="251"/>
      <c r="WG76" s="251"/>
      <c r="WH76" s="251"/>
      <c r="WI76" s="251"/>
      <c r="WJ76" s="251"/>
      <c r="WK76" s="251"/>
      <c r="WL76" s="251"/>
      <c r="WM76" s="251"/>
      <c r="WN76" s="251"/>
      <c r="WO76" s="251"/>
      <c r="WP76" s="251"/>
      <c r="WQ76" s="251"/>
      <c r="WR76" s="251"/>
      <c r="WS76" s="251"/>
      <c r="WT76" s="251"/>
      <c r="WU76" s="251"/>
      <c r="WV76" s="251"/>
      <c r="WW76" s="251"/>
      <c r="WX76" s="251"/>
      <c r="WY76" s="251"/>
      <c r="WZ76" s="251"/>
      <c r="XA76" s="251"/>
      <c r="XB76" s="251"/>
      <c r="XC76" s="251"/>
      <c r="XD76" s="251"/>
      <c r="XE76" s="251"/>
      <c r="XF76" s="251"/>
      <c r="XG76" s="251"/>
      <c r="XH76" s="251"/>
      <c r="XI76" s="251"/>
      <c r="XJ76" s="251"/>
      <c r="XK76" s="251"/>
      <c r="XL76" s="251"/>
      <c r="XM76" s="251"/>
      <c r="XN76" s="251"/>
      <c r="XO76" s="251"/>
      <c r="XP76" s="251"/>
      <c r="XQ76" s="251"/>
      <c r="XR76" s="251"/>
      <c r="XS76" s="251"/>
      <c r="XT76" s="251"/>
      <c r="XU76" s="251"/>
      <c r="XV76" s="251"/>
      <c r="XW76" s="251"/>
      <c r="XX76" s="251"/>
      <c r="XY76" s="251"/>
      <c r="XZ76" s="251"/>
      <c r="YA76" s="251"/>
      <c r="YB76" s="251"/>
      <c r="YC76" s="251"/>
      <c r="YD76" s="251"/>
      <c r="YE76" s="251"/>
      <c r="YF76" s="251"/>
      <c r="YG76" s="251"/>
      <c r="YH76" s="251"/>
      <c r="YI76" s="251"/>
      <c r="YJ76" s="251"/>
      <c r="YK76" s="251"/>
      <c r="YL76" s="251"/>
      <c r="YM76" s="251"/>
      <c r="YN76" s="251"/>
      <c r="YO76" s="251"/>
      <c r="YP76" s="251"/>
      <c r="YQ76" s="251"/>
      <c r="YR76" s="251"/>
      <c r="YS76" s="251"/>
    </row>
    <row r="77" spans="1:669" ht="15" thickBot="1" x14ac:dyDescent="0.25">
      <c r="H77" s="28"/>
      <c r="L77" s="669" t="s">
        <v>343</v>
      </c>
      <c r="N77" s="29"/>
    </row>
    <row r="78" spans="1:669" s="48" customFormat="1" ht="16.5" thickBot="1" x14ac:dyDescent="0.3">
      <c r="A78" s="52"/>
      <c r="B78" s="53"/>
      <c r="C78" s="53"/>
      <c r="D78" s="53"/>
      <c r="E78" s="53"/>
      <c r="F78" s="53"/>
      <c r="G78" s="53"/>
      <c r="H78" s="53"/>
      <c r="I78" s="53"/>
      <c r="J78" s="53"/>
      <c r="K78" s="53"/>
      <c r="L78" s="487">
        <f>L76+J58</f>
        <v>75893.41</v>
      </c>
      <c r="M78" s="663"/>
      <c r="N78" s="29"/>
      <c r="O78" s="29"/>
      <c r="P78" s="29"/>
      <c r="Q78" s="29"/>
      <c r="R78" s="29"/>
      <c r="S78" s="29"/>
      <c r="T78" s="29"/>
      <c r="U78" s="29"/>
      <c r="V78" s="29"/>
      <c r="W78" s="29"/>
      <c r="X78" s="29"/>
      <c r="Y78" s="29"/>
      <c r="Z78" s="29"/>
      <c r="AA78" s="29"/>
      <c r="AB78" s="11"/>
      <c r="AC78" s="11"/>
      <c r="AD78" s="11"/>
      <c r="AE78" s="11"/>
      <c r="AF78" s="11"/>
      <c r="AG78" s="11"/>
      <c r="AH78" s="11"/>
      <c r="AI78" s="11"/>
      <c r="AJ78" s="11"/>
      <c r="AK78" s="11"/>
      <c r="AL78" s="1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row>
    <row r="79" spans="1:669" s="51" customFormat="1" ht="31.5" hidden="1" x14ac:dyDescent="0.25">
      <c r="A79" s="54"/>
      <c r="B79" s="50"/>
      <c r="C79" s="50"/>
      <c r="D79" s="50"/>
      <c r="E79" s="50"/>
      <c r="F79" s="50"/>
      <c r="G79" s="149" t="s">
        <v>170</v>
      </c>
      <c r="H79" s="150" t="s">
        <v>162</v>
      </c>
      <c r="I79" s="150" t="s">
        <v>97</v>
      </c>
      <c r="J79" s="150" t="s">
        <v>53</v>
      </c>
      <c r="K79" s="151" t="s">
        <v>41</v>
      </c>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c r="IW79" s="49"/>
      <c r="IX79" s="49"/>
      <c r="IY79" s="49"/>
      <c r="IZ79" s="49"/>
      <c r="JA79" s="49"/>
      <c r="JB79" s="49"/>
      <c r="JC79" s="49"/>
      <c r="JD79" s="49"/>
      <c r="JE79" s="49"/>
      <c r="JF79" s="49"/>
      <c r="JG79" s="49"/>
      <c r="JH79" s="49"/>
      <c r="JI79" s="49"/>
      <c r="JJ79" s="49"/>
      <c r="JK79" s="49"/>
      <c r="JL79" s="49"/>
      <c r="JM79" s="49"/>
      <c r="JN79" s="49"/>
      <c r="JO79" s="49"/>
      <c r="JP79" s="49"/>
      <c r="JQ79" s="49"/>
      <c r="JR79" s="49"/>
      <c r="JS79" s="49"/>
      <c r="JT79" s="49"/>
      <c r="JU79" s="49"/>
      <c r="JV79" s="49"/>
      <c r="JW79" s="49"/>
      <c r="JX79" s="49"/>
      <c r="JY79" s="49"/>
      <c r="JZ79" s="49"/>
      <c r="KA79" s="49"/>
      <c r="KB79" s="49"/>
      <c r="KC79" s="49"/>
      <c r="KD79" s="49"/>
      <c r="KE79" s="49"/>
      <c r="KF79" s="49"/>
      <c r="KG79" s="49"/>
      <c r="KH79" s="49"/>
      <c r="KI79" s="49"/>
      <c r="KJ79" s="49"/>
      <c r="KK79" s="49"/>
      <c r="KL79" s="49"/>
      <c r="KM79" s="49"/>
      <c r="KN79" s="49"/>
      <c r="KO79" s="49"/>
      <c r="KP79" s="49"/>
      <c r="KQ79" s="49"/>
      <c r="KR79" s="49"/>
      <c r="KS79" s="49"/>
      <c r="KT79" s="49"/>
      <c r="KU79" s="49"/>
      <c r="KV79" s="49"/>
      <c r="KW79" s="49"/>
      <c r="KX79" s="49"/>
      <c r="KY79" s="49"/>
      <c r="KZ79" s="49"/>
      <c r="LA79" s="49"/>
      <c r="LB79" s="49"/>
      <c r="LC79" s="49"/>
      <c r="LD79" s="49"/>
      <c r="LE79" s="49"/>
      <c r="LF79" s="49"/>
      <c r="LG79" s="49"/>
      <c r="LH79" s="49"/>
      <c r="LI79" s="49"/>
      <c r="LJ79" s="49"/>
      <c r="LK79" s="49"/>
      <c r="LL79" s="49"/>
      <c r="LM79" s="49"/>
      <c r="LN79" s="49"/>
      <c r="LO79" s="49"/>
      <c r="LP79" s="49"/>
      <c r="LQ79" s="49"/>
      <c r="LR79" s="49"/>
      <c r="LS79" s="49"/>
      <c r="LT79" s="49"/>
      <c r="LU79" s="49"/>
      <c r="LV79" s="49"/>
      <c r="LW79" s="49"/>
      <c r="LX79" s="49"/>
      <c r="LY79" s="49"/>
      <c r="LZ79" s="49"/>
      <c r="MA79" s="49"/>
      <c r="MB79" s="49"/>
      <c r="MC79" s="49"/>
      <c r="MD79" s="49"/>
      <c r="ME79" s="49"/>
      <c r="MF79" s="49"/>
      <c r="MG79" s="49"/>
      <c r="MH79" s="49"/>
      <c r="MI79" s="49"/>
      <c r="MJ79" s="49"/>
      <c r="MK79" s="49"/>
      <c r="ML79" s="49"/>
      <c r="MM79" s="49"/>
      <c r="MN79" s="49"/>
      <c r="MO79" s="49"/>
      <c r="MP79" s="49"/>
      <c r="MQ79" s="49"/>
      <c r="MR79" s="49"/>
      <c r="MS79" s="49"/>
      <c r="MT79" s="49"/>
      <c r="MU79" s="49"/>
      <c r="MV79" s="49"/>
      <c r="MW79" s="49"/>
      <c r="MX79" s="49"/>
      <c r="MY79" s="49"/>
      <c r="MZ79" s="49"/>
      <c r="NA79" s="49"/>
      <c r="NB79" s="49"/>
      <c r="NC79" s="49"/>
      <c r="ND79" s="49"/>
      <c r="NE79" s="49"/>
      <c r="NF79" s="49"/>
      <c r="NG79" s="49"/>
      <c r="NH79" s="49"/>
      <c r="NI79" s="49"/>
      <c r="NJ79" s="49"/>
      <c r="NK79" s="49"/>
      <c r="NL79" s="49"/>
      <c r="NM79" s="49"/>
      <c r="NN79" s="49"/>
      <c r="NO79" s="49"/>
      <c r="NP79" s="49"/>
      <c r="NQ79" s="49"/>
      <c r="NR79" s="49"/>
      <c r="NS79" s="49"/>
      <c r="NT79" s="49"/>
      <c r="NU79" s="49"/>
      <c r="NV79" s="49"/>
      <c r="NW79" s="49"/>
      <c r="NX79" s="49"/>
      <c r="NY79" s="49"/>
      <c r="NZ79" s="49"/>
      <c r="OA79" s="49"/>
      <c r="OB79" s="49"/>
      <c r="OC79" s="49"/>
      <c r="OD79" s="49"/>
      <c r="OE79" s="49"/>
      <c r="OF79" s="49"/>
      <c r="OG79" s="49"/>
      <c r="OH79" s="49"/>
      <c r="OI79" s="49"/>
      <c r="OJ79" s="49"/>
      <c r="OK79" s="49"/>
      <c r="OL79" s="49"/>
      <c r="OM79" s="49"/>
      <c r="ON79" s="49"/>
      <c r="OO79" s="49"/>
      <c r="OP79" s="49"/>
      <c r="OQ79" s="49"/>
      <c r="OR79" s="49"/>
      <c r="OS79" s="49"/>
      <c r="OT79" s="49"/>
      <c r="OU79" s="49"/>
      <c r="OV79" s="49"/>
      <c r="OW79" s="49"/>
      <c r="OX79" s="49"/>
      <c r="OY79" s="49"/>
      <c r="OZ79" s="49"/>
      <c r="PA79" s="49"/>
      <c r="PB79" s="49"/>
      <c r="PC79" s="49"/>
      <c r="PD79" s="49"/>
      <c r="PE79" s="49"/>
      <c r="PF79" s="49"/>
      <c r="PG79" s="49"/>
      <c r="PH79" s="49"/>
      <c r="PI79" s="49"/>
      <c r="PJ79" s="49"/>
      <c r="PK79" s="49"/>
      <c r="PL79" s="49"/>
      <c r="PM79" s="49"/>
      <c r="PN79" s="49"/>
      <c r="PO79" s="49"/>
      <c r="PP79" s="49"/>
      <c r="PQ79" s="49"/>
      <c r="PR79" s="49"/>
      <c r="PS79" s="49"/>
      <c r="PT79" s="49"/>
      <c r="PU79" s="49"/>
      <c r="PV79" s="49"/>
      <c r="PW79" s="49"/>
      <c r="PX79" s="49"/>
      <c r="PY79" s="49"/>
      <c r="PZ79" s="49"/>
      <c r="QA79" s="49"/>
      <c r="QB79" s="49"/>
      <c r="QC79" s="49"/>
      <c r="QD79" s="49"/>
      <c r="QE79" s="49"/>
      <c r="QF79" s="49"/>
      <c r="QG79" s="49"/>
      <c r="QH79" s="49"/>
      <c r="QI79" s="49"/>
      <c r="QJ79" s="49"/>
      <c r="QK79" s="49"/>
      <c r="QL79" s="49"/>
      <c r="QM79" s="49"/>
      <c r="QN79" s="49"/>
      <c r="QO79" s="49"/>
      <c r="QP79" s="49"/>
      <c r="QQ79" s="49"/>
      <c r="QR79" s="49"/>
      <c r="QS79" s="49"/>
      <c r="QT79" s="49"/>
      <c r="QU79" s="49"/>
      <c r="QV79" s="49"/>
      <c r="QW79" s="49"/>
      <c r="QX79" s="49"/>
      <c r="QY79" s="49"/>
      <c r="QZ79" s="49"/>
      <c r="RA79" s="49"/>
      <c r="RB79" s="49"/>
      <c r="RC79" s="49"/>
      <c r="RD79" s="49"/>
      <c r="RE79" s="49"/>
      <c r="RF79" s="49"/>
      <c r="RG79" s="49"/>
      <c r="RH79" s="49"/>
      <c r="RI79" s="49"/>
      <c r="RJ79" s="49"/>
      <c r="RK79" s="49"/>
      <c r="RL79" s="49"/>
      <c r="RM79" s="49"/>
      <c r="RN79" s="49"/>
      <c r="RO79" s="49"/>
      <c r="RP79" s="49"/>
      <c r="RQ79" s="49"/>
      <c r="RR79" s="49"/>
      <c r="RS79" s="49"/>
      <c r="RT79" s="49"/>
      <c r="RU79" s="49"/>
      <c r="RV79" s="49"/>
      <c r="RW79" s="49"/>
      <c r="RX79" s="49"/>
      <c r="RY79" s="49"/>
      <c r="RZ79" s="49"/>
      <c r="SA79" s="49"/>
      <c r="SB79" s="49"/>
      <c r="SC79" s="49"/>
      <c r="SD79" s="49"/>
      <c r="SE79" s="49"/>
      <c r="SF79" s="49"/>
      <c r="SG79" s="49"/>
      <c r="SH79" s="49"/>
      <c r="SI79" s="49"/>
      <c r="SJ79" s="49"/>
      <c r="SK79" s="49"/>
      <c r="SL79" s="49"/>
      <c r="SM79" s="49"/>
      <c r="SN79" s="49"/>
      <c r="SO79" s="49"/>
      <c r="SP79" s="49"/>
      <c r="SQ79" s="49"/>
      <c r="SR79" s="49"/>
      <c r="SS79" s="49"/>
      <c r="ST79" s="49"/>
      <c r="SU79" s="49"/>
      <c r="SV79" s="49"/>
      <c r="SW79" s="49"/>
      <c r="SX79" s="49"/>
      <c r="SY79" s="49"/>
      <c r="SZ79" s="49"/>
      <c r="TA79" s="49"/>
      <c r="TB79" s="49"/>
      <c r="TC79" s="49"/>
      <c r="TD79" s="49"/>
      <c r="TE79" s="49"/>
      <c r="TF79" s="49"/>
      <c r="TG79" s="49"/>
      <c r="TH79" s="49"/>
      <c r="TI79" s="49"/>
      <c r="TJ79" s="49"/>
      <c r="TK79" s="49"/>
      <c r="TL79" s="49"/>
      <c r="TM79" s="49"/>
      <c r="TN79" s="49"/>
      <c r="TO79" s="49"/>
      <c r="TP79" s="49"/>
      <c r="TQ79" s="49"/>
      <c r="TR79" s="49"/>
      <c r="TS79" s="49"/>
      <c r="TT79" s="49"/>
      <c r="TU79" s="49"/>
      <c r="TV79" s="49"/>
      <c r="TW79" s="49"/>
      <c r="TX79" s="49"/>
      <c r="TY79" s="49"/>
      <c r="TZ79" s="49"/>
      <c r="UA79" s="49"/>
      <c r="UB79" s="49"/>
      <c r="UC79" s="49"/>
      <c r="UD79" s="49"/>
      <c r="UE79" s="49"/>
      <c r="UF79" s="49"/>
      <c r="UG79" s="49"/>
      <c r="UH79" s="49"/>
      <c r="UI79" s="49"/>
      <c r="UJ79" s="49"/>
      <c r="UK79" s="49"/>
      <c r="UL79" s="49"/>
      <c r="UM79" s="49"/>
      <c r="UN79" s="49"/>
      <c r="UO79" s="49"/>
      <c r="UP79" s="49"/>
      <c r="UQ79" s="49"/>
      <c r="UR79" s="49"/>
      <c r="US79" s="49"/>
      <c r="UT79" s="49"/>
      <c r="UU79" s="49"/>
      <c r="UV79" s="49"/>
      <c r="UW79" s="49"/>
      <c r="UX79" s="49"/>
      <c r="UY79" s="49"/>
      <c r="UZ79" s="49"/>
      <c r="VA79" s="49"/>
      <c r="VB79" s="49"/>
      <c r="VC79" s="49"/>
      <c r="VD79" s="49"/>
      <c r="VE79" s="49"/>
      <c r="VF79" s="49"/>
      <c r="VG79" s="49"/>
      <c r="VH79" s="49"/>
      <c r="VI79" s="49"/>
      <c r="VJ79" s="49"/>
      <c r="VK79" s="49"/>
      <c r="VL79" s="49"/>
      <c r="VM79" s="49"/>
      <c r="VN79" s="49"/>
      <c r="VO79" s="49"/>
      <c r="VP79" s="49"/>
      <c r="VQ79" s="49"/>
      <c r="VR79" s="49"/>
      <c r="VS79" s="49"/>
      <c r="VT79" s="49"/>
      <c r="VU79" s="49"/>
      <c r="VV79" s="49"/>
      <c r="VW79" s="49"/>
      <c r="VX79" s="49"/>
      <c r="VY79" s="49"/>
      <c r="VZ79" s="49"/>
      <c r="WA79" s="49"/>
      <c r="WB79" s="49"/>
      <c r="WC79" s="49"/>
      <c r="WD79" s="49"/>
      <c r="WE79" s="49"/>
      <c r="WF79" s="49"/>
      <c r="WG79" s="49"/>
      <c r="WH79" s="49"/>
      <c r="WI79" s="49"/>
      <c r="WJ79" s="49"/>
      <c r="WK79" s="49"/>
      <c r="WL79" s="49"/>
      <c r="WM79" s="49"/>
      <c r="WN79" s="49"/>
      <c r="WO79" s="49"/>
      <c r="WP79" s="49"/>
      <c r="WQ79" s="49"/>
      <c r="WR79" s="49"/>
      <c r="WS79" s="49"/>
      <c r="WT79" s="49"/>
      <c r="WU79" s="49"/>
      <c r="WV79" s="49"/>
      <c r="WW79" s="49"/>
      <c r="WX79" s="49"/>
      <c r="WY79" s="49"/>
      <c r="WZ79" s="49"/>
      <c r="XA79" s="49"/>
      <c r="XB79" s="49"/>
      <c r="XC79" s="49"/>
      <c r="XD79" s="49"/>
      <c r="XE79" s="49"/>
      <c r="XF79" s="49"/>
      <c r="XG79" s="49"/>
      <c r="XH79" s="49"/>
      <c r="XI79" s="49"/>
      <c r="XJ79" s="49"/>
      <c r="XK79" s="49"/>
      <c r="XL79" s="49"/>
      <c r="XM79" s="49"/>
      <c r="XN79" s="49"/>
      <c r="XO79" s="49"/>
      <c r="XP79" s="49"/>
      <c r="XQ79" s="49"/>
      <c r="XR79" s="49"/>
      <c r="XS79" s="49"/>
      <c r="XT79" s="49"/>
      <c r="XU79" s="49"/>
      <c r="XV79" s="49"/>
      <c r="XW79" s="49"/>
      <c r="XX79" s="49"/>
      <c r="XY79" s="49"/>
      <c r="XZ79" s="49"/>
      <c r="YA79" s="49"/>
      <c r="YB79" s="49"/>
      <c r="YC79" s="49"/>
      <c r="YD79" s="49"/>
      <c r="YE79" s="49"/>
      <c r="YF79" s="49"/>
      <c r="YG79" s="49"/>
      <c r="YH79" s="49"/>
      <c r="YI79" s="49"/>
      <c r="YJ79" s="49"/>
      <c r="YK79" s="49"/>
      <c r="YL79" s="49"/>
      <c r="YM79" s="49"/>
      <c r="YN79" s="49"/>
      <c r="YO79" s="49"/>
      <c r="YP79" s="49"/>
      <c r="YQ79" s="49"/>
      <c r="YR79" s="49"/>
      <c r="YS79" s="49"/>
    </row>
    <row r="80" spans="1:669" s="43" customFormat="1" ht="20.25" hidden="1" customHeight="1" x14ac:dyDescent="0.2">
      <c r="A80" s="333" t="s">
        <v>70</v>
      </c>
      <c r="B80" s="1030" t="s">
        <v>40</v>
      </c>
      <c r="C80" s="1030"/>
      <c r="D80" s="1030"/>
      <c r="E80" s="1030"/>
      <c r="F80" s="334"/>
      <c r="G80" s="334" t="e">
        <f>104647.76-#REF!-1250-1250</f>
        <v>#REF!</v>
      </c>
      <c r="H80" s="334">
        <f>90450.47-J80-H83</f>
        <v>77402.570000000007</v>
      </c>
      <c r="I80" s="334">
        <f>H69</f>
        <v>17485.37</v>
      </c>
      <c r="J80" s="334">
        <f>'December''22 AR Aging '!G43</f>
        <v>13047.9</v>
      </c>
      <c r="K80" s="335" t="e">
        <f>+I80+J80+H80-G80</f>
        <v>#REF!</v>
      </c>
      <c r="L80" s="46"/>
      <c r="M80" s="46"/>
      <c r="N80" s="29"/>
      <c r="O80" s="29"/>
      <c r="P80" s="29"/>
      <c r="Q80" s="29"/>
      <c r="R80" s="29"/>
      <c r="S80" s="29"/>
      <c r="T80" s="29"/>
      <c r="U80" s="1"/>
      <c r="V80" s="29"/>
      <c r="W80" s="29"/>
      <c r="X80" s="29"/>
      <c r="Y80" s="29"/>
      <c r="Z80" s="29"/>
      <c r="AA80" s="29"/>
      <c r="AB80" s="11"/>
      <c r="AC80" s="11"/>
      <c r="AD80" s="11"/>
      <c r="AE80" s="11"/>
      <c r="AF80" s="11"/>
      <c r="AG80" s="11"/>
      <c r="AH80" s="11"/>
      <c r="AI80" s="11"/>
      <c r="AJ80" s="11"/>
      <c r="AK80" s="11"/>
      <c r="AL80" s="1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row>
    <row r="81" spans="1:669" s="25" customFormat="1" hidden="1" x14ac:dyDescent="0.2">
      <c r="A81" s="336" t="s">
        <v>32</v>
      </c>
      <c r="B81" s="1029" t="s">
        <v>29</v>
      </c>
      <c r="C81" s="1029"/>
      <c r="D81" s="1029"/>
      <c r="E81" s="1029"/>
      <c r="F81" s="331"/>
      <c r="G81" s="331"/>
      <c r="H81" s="331">
        <v>0</v>
      </c>
      <c r="I81" s="332"/>
      <c r="J81" s="331">
        <v>0</v>
      </c>
      <c r="K81" s="337"/>
      <c r="L81" s="308"/>
      <c r="M81" s="308">
        <v>0</v>
      </c>
      <c r="N81" s="29"/>
      <c r="O81" s="29"/>
      <c r="P81" s="29"/>
      <c r="Q81" s="29"/>
      <c r="R81" s="29"/>
      <c r="S81" s="29"/>
      <c r="T81" s="29"/>
      <c r="U81" s="1"/>
      <c r="V81" s="29"/>
      <c r="W81" s="29"/>
      <c r="X81" s="29"/>
      <c r="Y81" s="29"/>
      <c r="Z81" s="29"/>
      <c r="AA81" s="29"/>
      <c r="AB81" s="11"/>
      <c r="AC81" s="11"/>
      <c r="AD81" s="11"/>
      <c r="AE81" s="11"/>
      <c r="AF81" s="11"/>
      <c r="AG81" s="11"/>
      <c r="AH81" s="11"/>
      <c r="AI81" s="11"/>
      <c r="AJ81" s="11"/>
      <c r="AK81" s="11"/>
      <c r="AL81" s="1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row>
    <row r="82" spans="1:669" s="18" customFormat="1" hidden="1" x14ac:dyDescent="0.2">
      <c r="A82" s="336" t="s">
        <v>20</v>
      </c>
      <c r="B82" s="1031" t="s">
        <v>147</v>
      </c>
      <c r="C82" s="1032"/>
      <c r="D82" s="1032"/>
      <c r="E82" s="1033"/>
      <c r="F82" s="331"/>
      <c r="G82" s="331"/>
      <c r="H82" s="331"/>
      <c r="I82" s="332"/>
      <c r="J82" s="331"/>
      <c r="K82" s="337"/>
      <c r="L82" s="308"/>
      <c r="M82" s="308"/>
      <c r="N82" s="29"/>
      <c r="O82" s="29"/>
      <c r="P82" s="29"/>
      <c r="Q82" s="29"/>
      <c r="R82" s="29"/>
      <c r="S82" s="29"/>
      <c r="T82" s="29"/>
      <c r="U82" s="1"/>
      <c r="V82" s="29"/>
      <c r="W82" s="29"/>
      <c r="X82" s="29"/>
      <c r="Y82" s="29"/>
      <c r="Z82" s="29"/>
      <c r="AA82" s="29"/>
      <c r="AB82" s="11"/>
      <c r="AC82" s="11"/>
      <c r="AD82" s="11"/>
      <c r="AE82" s="11"/>
      <c r="AF82" s="11"/>
      <c r="AG82" s="11"/>
      <c r="AH82" s="11"/>
      <c r="AI82" s="11"/>
      <c r="AJ82" s="11"/>
      <c r="AK82" s="11"/>
      <c r="AL82" s="1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row>
    <row r="83" spans="1:669" s="18" customFormat="1" ht="15" hidden="1" thickBot="1" x14ac:dyDescent="0.25">
      <c r="A83" s="338" t="s">
        <v>146</v>
      </c>
      <c r="B83" s="1028" t="s">
        <v>40</v>
      </c>
      <c r="C83" s="1028"/>
      <c r="D83" s="1028"/>
      <c r="E83" s="1028"/>
      <c r="F83" s="339"/>
      <c r="G83" s="339"/>
      <c r="H83" s="339">
        <v>0</v>
      </c>
      <c r="I83" s="339"/>
      <c r="J83" s="339"/>
      <c r="K83" s="340"/>
      <c r="L83" s="46"/>
      <c r="M83" s="46"/>
      <c r="N83" s="29"/>
      <c r="O83" s="29"/>
      <c r="P83" s="29"/>
      <c r="Q83" s="29"/>
      <c r="R83" s="29"/>
      <c r="S83" s="29"/>
      <c r="T83" s="29"/>
      <c r="U83" s="1"/>
      <c r="V83" s="29"/>
      <c r="W83" s="29"/>
      <c r="X83" s="29"/>
      <c r="Y83" s="29"/>
      <c r="Z83" s="29"/>
      <c r="AA83" s="29"/>
      <c r="AB83" s="11"/>
      <c r="AC83" s="11"/>
      <c r="AD83" s="11"/>
      <c r="AE83" s="11"/>
      <c r="AF83" s="11"/>
      <c r="AG83" s="11"/>
      <c r="AH83" s="11"/>
      <c r="AI83" s="11"/>
      <c r="AJ83" s="11"/>
      <c r="AK83" s="11"/>
      <c r="AL83" s="1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row>
    <row r="84" spans="1:669" hidden="1" x14ac:dyDescent="0.2">
      <c r="F84" s="228"/>
      <c r="G84" s="229"/>
      <c r="H84" s="228"/>
      <c r="I84" s="228"/>
      <c r="J84" s="228">
        <f>J80+I76+H35+J83</f>
        <v>370571.37</v>
      </c>
      <c r="K84" s="228" t="s">
        <v>46</v>
      </c>
      <c r="N84" s="29"/>
    </row>
    <row r="85" spans="1:669" hidden="1" x14ac:dyDescent="0.2">
      <c r="F85" s="228"/>
      <c r="G85" s="229"/>
      <c r="H85" s="228"/>
      <c r="I85" s="228"/>
      <c r="J85" s="692">
        <f>'December''22 AR Aging '!G73</f>
        <v>360388.08999999997</v>
      </c>
      <c r="K85" s="228" t="s">
        <v>458</v>
      </c>
      <c r="N85" s="29"/>
    </row>
    <row r="86" spans="1:669" ht="15" hidden="1" customHeight="1" thickBot="1" x14ac:dyDescent="0.25">
      <c r="F86" s="228"/>
      <c r="G86" s="229"/>
      <c r="H86" s="228"/>
      <c r="I86" s="228"/>
      <c r="J86" s="693">
        <f>J85-J84</f>
        <v>-10183.280000000028</v>
      </c>
      <c r="K86" s="228" t="s">
        <v>388</v>
      </c>
      <c r="N86" s="29"/>
    </row>
    <row r="87" spans="1:669" ht="15" hidden="1" customHeight="1" thickTop="1" x14ac:dyDescent="0.2">
      <c r="C87" s="8"/>
      <c r="E87" s="9"/>
    </row>
    <row r="88" spans="1:669" hidden="1" x14ac:dyDescent="0.2"/>
    <row r="89" spans="1:669" hidden="1" x14ac:dyDescent="0.2"/>
    <row r="96" spans="1:669" x14ac:dyDescent="0.2">
      <c r="A96" s="10"/>
      <c r="B96" s="1"/>
      <c r="C96" s="6"/>
      <c r="D96" s="6"/>
      <c r="E96" s="7"/>
      <c r="F96" s="29"/>
      <c r="G96" s="29"/>
      <c r="I96" s="29"/>
      <c r="J96" s="29"/>
      <c r="K96" s="29"/>
      <c r="L96" s="29"/>
    </row>
  </sheetData>
  <mergeCells count="31">
    <mergeCell ref="B72:E72"/>
    <mergeCell ref="B43:C43"/>
    <mergeCell ref="B45:C45"/>
    <mergeCell ref="B46:C46"/>
    <mergeCell ref="B53:C53"/>
    <mergeCell ref="B56:C56"/>
    <mergeCell ref="B51:C51"/>
    <mergeCell ref="B48:C48"/>
    <mergeCell ref="B49:C49"/>
    <mergeCell ref="B47:C47"/>
    <mergeCell ref="B83:E83"/>
    <mergeCell ref="B73:E73"/>
    <mergeCell ref="B81:E81"/>
    <mergeCell ref="B75:E75"/>
    <mergeCell ref="B80:E80"/>
    <mergeCell ref="B82:E82"/>
    <mergeCell ref="B39:C39"/>
    <mergeCell ref="B71:E71"/>
    <mergeCell ref="B61:E61"/>
    <mergeCell ref="B41:C41"/>
    <mergeCell ref="B55:C55"/>
    <mergeCell ref="B57:C57"/>
    <mergeCell ref="B69:E69"/>
    <mergeCell ref="B70:E70"/>
    <mergeCell ref="B40:C40"/>
    <mergeCell ref="B65:E65"/>
    <mergeCell ref="B42:C42"/>
    <mergeCell ref="B52:C52"/>
    <mergeCell ref="B44:C44"/>
    <mergeCell ref="B50:C50"/>
    <mergeCell ref="B66:E66"/>
  </mergeCells>
  <pageMargins left="0.45" right="0" top="0.75" bottom="0" header="0.3" footer="0.05"/>
  <pageSetup paperSize="5"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5"/>
  <sheetViews>
    <sheetView topLeftCell="A41" zoomScale="70" zoomScaleNormal="70" workbookViewId="0">
      <selection activeCell="A29" sqref="A29:XFD32"/>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27" customWidth="1"/>
    <col min="8" max="8" width="11.75" style="1" customWidth="1"/>
    <col min="9" max="9" width="17.625" style="725"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26"/>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589</v>
      </c>
      <c r="B2" s="16"/>
      <c r="C2" s="13"/>
      <c r="D2" s="13"/>
      <c r="E2" s="26"/>
      <c r="F2" s="26"/>
      <c r="G2" s="626"/>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5"/>
      <c r="F3" s="92"/>
    </row>
    <row r="4" spans="1:2009" s="56" customFormat="1" ht="16.5" thickBot="1" x14ac:dyDescent="0.3">
      <c r="A4" s="55"/>
      <c r="B4" s="55"/>
      <c r="C4" s="92" t="s">
        <v>590</v>
      </c>
      <c r="D4" s="92" t="s">
        <v>593</v>
      </c>
      <c r="E4" s="92" t="s">
        <v>519</v>
      </c>
      <c r="F4" s="92" t="s">
        <v>606</v>
      </c>
      <c r="G4" s="628" t="s">
        <v>406</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1034" t="s">
        <v>65</v>
      </c>
      <c r="B5" s="1035"/>
      <c r="C5" s="147"/>
      <c r="D5" s="147"/>
      <c r="E5" s="155"/>
      <c r="F5" s="155"/>
      <c r="G5" s="629"/>
      <c r="H5" s="93"/>
      <c r="I5" s="547"/>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customHeight="1" x14ac:dyDescent="0.25">
      <c r="A6" s="327"/>
      <c r="B6" s="124" t="s">
        <v>520</v>
      </c>
      <c r="C6" s="514"/>
      <c r="D6" s="162"/>
      <c r="E6" s="514">
        <v>15310</v>
      </c>
      <c r="F6" s="162"/>
      <c r="G6" s="630">
        <f>SUM(C6:F6)</f>
        <v>15310</v>
      </c>
      <c r="H6" s="328"/>
      <c r="I6" s="547"/>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475</v>
      </c>
      <c r="C7" s="162">
        <v>40451.120000000003</v>
      </c>
      <c r="D7" s="162"/>
      <c r="E7" s="162"/>
      <c r="F7" s="163"/>
      <c r="G7" s="630">
        <f>ROUND(SUM(C7:F7),5)</f>
        <v>40451.120000000003</v>
      </c>
      <c r="H7" s="93"/>
      <c r="I7" s="547"/>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15">
        <f>SUM(C5:C7)</f>
        <v>40451.120000000003</v>
      </c>
      <c r="D8" s="815"/>
      <c r="E8" s="815">
        <f>SUM(E5:E7)</f>
        <v>15310</v>
      </c>
      <c r="F8" s="815"/>
      <c r="G8" s="816">
        <f>ROUND(SUM(G3:G7),5)</f>
        <v>55761.120000000003</v>
      </c>
      <c r="H8" s="195"/>
      <c r="I8" s="547"/>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31"/>
      <c r="H9" s="98"/>
      <c r="I9" s="726"/>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32"/>
      <c r="H10" s="93"/>
      <c r="I10" s="547"/>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3">
        <f>ROUND(SUM(C11:F11),5)</f>
        <v>0</v>
      </c>
      <c r="H11" s="93"/>
      <c r="I11" s="547"/>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456</v>
      </c>
      <c r="C12" s="167"/>
      <c r="D12" s="167"/>
      <c r="E12" s="168"/>
      <c r="F12" s="168"/>
      <c r="G12" s="633">
        <f>ROUND(SUM(C12:F12),5)</f>
        <v>0</v>
      </c>
      <c r="H12" s="93"/>
      <c r="I12" s="547"/>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506</v>
      </c>
      <c r="C13" s="167">
        <v>27636.720000000001</v>
      </c>
      <c r="D13" s="167">
        <f>22349.22+9751.42+5248.58</f>
        <v>37349.22</v>
      </c>
      <c r="E13" s="168">
        <f>25293.74-5248.58</f>
        <v>20045.160000000003</v>
      </c>
      <c r="F13" s="168"/>
      <c r="G13" s="633">
        <f>ROUND(SUM(C13:F13),5)</f>
        <v>85031.1</v>
      </c>
      <c r="H13" s="93"/>
      <c r="I13" s="547"/>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27636.720000000001</v>
      </c>
      <c r="D14" s="200">
        <f>SUM(D11:D13)</f>
        <v>37349.22</v>
      </c>
      <c r="E14" s="200">
        <f>SUM(E11:E13)</f>
        <v>20045.160000000003</v>
      </c>
      <c r="F14" s="200"/>
      <c r="G14" s="737">
        <f>ROUND(SUM(G10:G13),5)</f>
        <v>85031.1</v>
      </c>
      <c r="H14" s="195"/>
      <c r="I14" s="547"/>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4"/>
      <c r="H15" s="98"/>
      <c r="I15" s="726"/>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5"/>
      <c r="H16" s="93"/>
      <c r="I16" s="547"/>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197</v>
      </c>
      <c r="C17" s="173"/>
      <c r="D17" s="173"/>
      <c r="E17" s="174"/>
      <c r="F17" s="174"/>
      <c r="G17" s="636">
        <f t="shared" ref="G17:G20" si="0">ROUND(SUM(C17:F17),5)</f>
        <v>0</v>
      </c>
      <c r="H17" s="93"/>
      <c r="I17" s="547"/>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266</v>
      </c>
      <c r="C18" s="173"/>
      <c r="D18" s="173"/>
      <c r="E18" s="174"/>
      <c r="F18" s="174"/>
      <c r="G18" s="636">
        <f t="shared" si="0"/>
        <v>0</v>
      </c>
      <c r="H18" s="93"/>
      <c r="I18" s="547"/>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307</v>
      </c>
      <c r="C19" s="173"/>
      <c r="D19" s="173"/>
      <c r="E19" s="174"/>
      <c r="F19" s="174"/>
      <c r="G19" s="636"/>
      <c r="H19" s="93"/>
      <c r="I19" s="547"/>
      <c r="J19" s="93"/>
      <c r="K19" s="587"/>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267</v>
      </c>
      <c r="C20" s="173"/>
      <c r="D20" s="173"/>
      <c r="E20" s="174"/>
      <c r="F20" s="174"/>
      <c r="G20" s="636">
        <f t="shared" si="0"/>
        <v>0</v>
      </c>
      <c r="H20" s="93"/>
      <c r="I20" s="547"/>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308</v>
      </c>
      <c r="C21" s="173"/>
      <c r="D21" s="173"/>
      <c r="E21" s="174"/>
      <c r="F21" s="174"/>
      <c r="G21" s="636"/>
      <c r="H21" s="93"/>
      <c r="I21" s="547"/>
      <c r="J21" s="93"/>
      <c r="K21" s="587"/>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312</v>
      </c>
      <c r="C22" s="173"/>
      <c r="D22" s="173"/>
      <c r="E22" s="174"/>
      <c r="F22" s="174"/>
      <c r="G22" s="636"/>
      <c r="H22" s="98"/>
      <c r="I22" s="726"/>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37"/>
      <c r="H23" s="205"/>
      <c r="I23" s="726"/>
      <c r="J23" s="205"/>
      <c r="K23" s="416"/>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38"/>
      <c r="H24" s="98"/>
      <c r="I24" s="726"/>
      <c r="J24" s="98"/>
      <c r="K24" s="417"/>
      <c r="L24" s="416">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39"/>
      <c r="H25" s="93"/>
      <c r="I25" s="547"/>
      <c r="J25" s="93"/>
      <c r="K25" s="417"/>
      <c r="L25" s="417"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40"/>
      <c r="H26" s="93"/>
      <c r="I26" s="547"/>
      <c r="J26" s="93"/>
      <c r="K26" s="418"/>
      <c r="L26"/>
      <c r="M26" s="419">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41">
        <f>ROUND(SUM(C27:F27),5)</f>
        <v>0</v>
      </c>
      <c r="H27" s="195"/>
      <c r="I27" s="547"/>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4"/>
      <c r="H28" s="98"/>
      <c r="I28" s="726"/>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42"/>
      <c r="H29" s="93"/>
      <c r="I29" s="547"/>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507</v>
      </c>
      <c r="C30" s="182"/>
      <c r="D30" s="182"/>
      <c r="E30" s="183"/>
      <c r="F30" s="183"/>
      <c r="G30" s="643"/>
      <c r="H30" s="93"/>
      <c r="I30" s="547"/>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508</v>
      </c>
      <c r="C31" s="182">
        <v>33679.949999999997</v>
      </c>
      <c r="D31" s="182">
        <v>27824.5</v>
      </c>
      <c r="E31" s="183">
        <v>23827.85</v>
      </c>
      <c r="F31" s="183">
        <v>44057.07</v>
      </c>
      <c r="G31" s="643">
        <f>SUM(C31:F31)</f>
        <v>129389.37</v>
      </c>
      <c r="H31" s="93"/>
      <c r="I31" s="547"/>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33679.949999999997</v>
      </c>
      <c r="D32" s="215">
        <f>D30+D31</f>
        <v>27824.5</v>
      </c>
      <c r="E32" s="215">
        <f>E30+E31</f>
        <v>23827.85</v>
      </c>
      <c r="F32" s="215">
        <f>F30+F31</f>
        <v>44057.07</v>
      </c>
      <c r="G32" s="817">
        <f>SUM(G30:G31)</f>
        <v>129389.37</v>
      </c>
      <c r="H32" s="195"/>
      <c r="I32" s="547"/>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38"/>
      <c r="I33" s="547"/>
      <c r="N33" s="195"/>
    </row>
    <row r="34" spans="1:2009" s="112" customFormat="1" ht="24.95" hidden="1" customHeight="1" x14ac:dyDescent="0.25">
      <c r="A34" s="140" t="s">
        <v>37</v>
      </c>
      <c r="B34" s="141"/>
      <c r="C34" s="184"/>
      <c r="D34" s="184"/>
      <c r="E34" s="185"/>
      <c r="F34" s="185"/>
      <c r="G34" s="645"/>
      <c r="H34" s="93"/>
      <c r="I34" s="547"/>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3"/>
      <c r="H35" s="93"/>
      <c r="I35" s="547"/>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4"/>
      <c r="H36" s="195"/>
      <c r="I36" s="547"/>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4"/>
      <c r="H37" s="98"/>
      <c r="I37" s="726"/>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46"/>
      <c r="H38" s="98"/>
      <c r="I38" s="726"/>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v>3833.17</v>
      </c>
      <c r="D39" s="188">
        <v>3833.33</v>
      </c>
      <c r="E39" s="189"/>
      <c r="F39" s="189"/>
      <c r="G39" s="647">
        <f>ROUND(SUM(C39:F39),5)</f>
        <v>7666.5</v>
      </c>
      <c r="H39" s="98"/>
      <c r="I39" s="726"/>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328</v>
      </c>
      <c r="C40" s="188">
        <v>4500</v>
      </c>
      <c r="D40" s="188"/>
      <c r="E40" s="189"/>
      <c r="F40" s="189"/>
      <c r="G40" s="647">
        <f>ROUND(SUM(C40:F40),5)</f>
        <v>4500</v>
      </c>
      <c r="H40" s="98"/>
      <c r="I40" s="726"/>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610</v>
      </c>
      <c r="C41" s="188"/>
      <c r="D41" s="188"/>
      <c r="E41" s="189">
        <v>126.72</v>
      </c>
      <c r="F41" s="189"/>
      <c r="G41" s="647">
        <f>ROUND(SUM(C41:F41),5)</f>
        <v>126.72</v>
      </c>
      <c r="H41" s="98"/>
      <c r="I41" s="726"/>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338</v>
      </c>
      <c r="C42" s="188"/>
      <c r="D42" s="188"/>
      <c r="E42" s="189"/>
      <c r="F42" s="189"/>
      <c r="G42" s="647">
        <f>ROUND(SUM(C42:F42),5)</f>
        <v>0</v>
      </c>
      <c r="H42" s="98"/>
      <c r="I42" s="726"/>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6542</v>
      </c>
      <c r="D43" s="188">
        <v>6505.9</v>
      </c>
      <c r="E43" s="189"/>
      <c r="F43" s="189"/>
      <c r="G43" s="647">
        <f>ROUND(SUM(C43:F43),5)</f>
        <v>13047.9</v>
      </c>
      <c r="H43" s="98"/>
      <c r="I43" s="726"/>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14875.17</v>
      </c>
      <c r="D44" s="221">
        <f>SUM(D39:D43)</f>
        <v>10339.23</v>
      </c>
      <c r="E44" s="221">
        <f>SUM(E39:E43)</f>
        <v>126.72</v>
      </c>
      <c r="F44" s="221"/>
      <c r="G44" s="818">
        <f>SUM(G39:G43)</f>
        <v>25341.119999999999</v>
      </c>
      <c r="H44" s="205"/>
      <c r="I44" s="726"/>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48"/>
      <c r="H45" s="98"/>
      <c r="I45" s="726"/>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268</v>
      </c>
      <c r="B46" s="421"/>
      <c r="C46" s="423"/>
      <c r="D46" s="423"/>
      <c r="E46" s="422"/>
      <c r="F46" s="423"/>
      <c r="G46" s="649"/>
      <c r="H46" s="98"/>
      <c r="I46" s="726"/>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69"/>
      <c r="B47" s="426" t="s">
        <v>490</v>
      </c>
      <c r="C47" s="515"/>
      <c r="D47" s="515"/>
      <c r="E47" s="428"/>
      <c r="F47" s="429"/>
      <c r="G47" s="650">
        <f>ROUND(SUM(C47:F47),5)</f>
        <v>0</v>
      </c>
      <c r="H47" s="98"/>
      <c r="I47" s="726"/>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69"/>
      <c r="B48" s="426" t="s">
        <v>608</v>
      </c>
      <c r="C48" s="515">
        <v>234.5</v>
      </c>
      <c r="D48" s="515">
        <v>234.5</v>
      </c>
      <c r="E48" s="451"/>
      <c r="F48" s="515"/>
      <c r="G48" s="650">
        <f>SUM(C48:F48)</f>
        <v>469</v>
      </c>
      <c r="H48" s="98"/>
      <c r="I48" s="726"/>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69"/>
      <c r="B49" s="426" t="s">
        <v>438</v>
      </c>
      <c r="C49" s="515"/>
      <c r="D49" s="515"/>
      <c r="E49" s="451"/>
      <c r="F49" s="515"/>
      <c r="G49" s="650">
        <f>ROUND(SUM(C49:F49),5)</f>
        <v>0</v>
      </c>
      <c r="H49" s="98"/>
      <c r="I49" s="726"/>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0"/>
      <c r="B50" s="607" t="s">
        <v>491</v>
      </c>
      <c r="C50" s="608">
        <v>16516.21</v>
      </c>
      <c r="D50" s="608">
        <v>12009.76</v>
      </c>
      <c r="E50" s="452"/>
      <c r="F50" s="452"/>
      <c r="G50" s="651">
        <f>ROUND(SUM(C50:F50),5)</f>
        <v>28525.97</v>
      </c>
      <c r="H50" s="98"/>
      <c r="I50" s="726"/>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7" t="s">
        <v>453</v>
      </c>
      <c r="C51" s="795">
        <f>SUM(C46:C50)</f>
        <v>16750.71</v>
      </c>
      <c r="D51" s="795">
        <f t="shared" ref="D51" si="1">SUM(D46:D50)</f>
        <v>12244.26</v>
      </c>
      <c r="E51" s="795"/>
      <c r="F51" s="795"/>
      <c r="G51" s="819">
        <f>ROUND(SUM(C51:F51),5)</f>
        <v>28994.97</v>
      </c>
      <c r="H51" s="195"/>
      <c r="I51" s="547"/>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48"/>
      <c r="H52" s="93"/>
      <c r="I52" s="547"/>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52"/>
      <c r="H53" s="93"/>
      <c r="I53" s="547"/>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210</v>
      </c>
      <c r="C54" s="453"/>
      <c r="D54" s="453"/>
      <c r="E54" s="453"/>
      <c r="F54" s="453"/>
      <c r="G54" s="653">
        <f>SUM(C54:F54)</f>
        <v>0</v>
      </c>
      <c r="H54" s="93"/>
      <c r="I54" s="547"/>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211</v>
      </c>
      <c r="C55" s="454"/>
      <c r="D55" s="454"/>
      <c r="E55" s="454"/>
      <c r="F55" s="454"/>
      <c r="G55" s="654">
        <f>SUM(C55:F55)</f>
        <v>0</v>
      </c>
      <c r="H55" s="93"/>
      <c r="I55" s="547"/>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1036" t="s">
        <v>176</v>
      </c>
      <c r="B56" s="1037"/>
      <c r="C56" s="348">
        <f t="shared" ref="C56" si="2">SUM(C53:C55)</f>
        <v>0</v>
      </c>
      <c r="D56" s="348"/>
      <c r="E56" s="348"/>
      <c r="F56" s="348"/>
      <c r="G56" s="655">
        <f t="shared" ref="G56" si="3">SUM(G53:G55)</f>
        <v>0</v>
      </c>
      <c r="H56" s="93"/>
      <c r="I56" s="547"/>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38"/>
      <c r="H57" s="93"/>
      <c r="I57" s="547"/>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1" t="s">
        <v>315</v>
      </c>
      <c r="B58" s="458"/>
      <c r="C58" s="459"/>
      <c r="D58" s="460"/>
      <c r="E58" s="460"/>
      <c r="F58" s="460"/>
      <c r="G58" s="656">
        <f>SUM(C58:F58)</f>
        <v>0</v>
      </c>
      <c r="H58" s="93"/>
      <c r="I58" s="547"/>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38"/>
      <c r="H59" s="93"/>
      <c r="I59" s="547"/>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0" t="s">
        <v>306</v>
      </c>
      <c r="B60" s="371"/>
      <c r="C60" s="372">
        <v>4361.59</v>
      </c>
      <c r="D60" s="372"/>
      <c r="E60" s="372"/>
      <c r="F60" s="372"/>
      <c r="G60" s="820">
        <f>SUM(C60:F60)</f>
        <v>4361.59</v>
      </c>
      <c r="H60" s="93"/>
      <c r="I60" s="547"/>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0"/>
      <c r="D61" s="175"/>
      <c r="E61" s="175"/>
      <c r="F61" s="175"/>
      <c r="G61" s="638"/>
      <c r="H61" s="93"/>
      <c r="I61" s="547"/>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57" t="s">
        <v>450</v>
      </c>
      <c r="B62" s="456"/>
      <c r="C62" s="431"/>
      <c r="D62" s="432"/>
      <c r="E62" s="432"/>
      <c r="F62" s="432"/>
      <c r="G62" s="657">
        <f>SUM(C62:F62)</f>
        <v>0</v>
      </c>
      <c r="H62" s="93"/>
      <c r="I62" s="547"/>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61"/>
      <c r="B63" s="661"/>
      <c r="C63" s="430"/>
      <c r="D63" s="175"/>
      <c r="E63" s="175"/>
      <c r="F63" s="175"/>
      <c r="G63" s="638"/>
      <c r="H63" s="93"/>
      <c r="I63" s="547"/>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7" customHeight="1" x14ac:dyDescent="0.25">
      <c r="A64" s="832" t="s">
        <v>492</v>
      </c>
      <c r="B64" s="833"/>
      <c r="C64" s="834">
        <v>400</v>
      </c>
      <c r="D64" s="835"/>
      <c r="E64" s="835"/>
      <c r="F64" s="835"/>
      <c r="G64" s="836">
        <f>SUM(C64:F64)</f>
        <v>400</v>
      </c>
      <c r="H64" s="93"/>
      <c r="I64" s="547"/>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24.95" customHeight="1" thickBot="1" x14ac:dyDescent="0.3">
      <c r="A65" s="837" t="s">
        <v>339</v>
      </c>
      <c r="B65" s="838"/>
      <c r="C65" s="839">
        <v>5920</v>
      </c>
      <c r="D65" s="840"/>
      <c r="E65" s="840"/>
      <c r="F65" s="840"/>
      <c r="G65" s="841">
        <f>SUM(C65:F65)</f>
        <v>5920</v>
      </c>
      <c r="H65" s="93"/>
      <c r="I65" s="547"/>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12" customHeight="1" thickBot="1" x14ac:dyDescent="0.3">
      <c r="A66" s="661"/>
      <c r="B66" s="661"/>
      <c r="C66" s="430"/>
      <c r="D66" s="175"/>
      <c r="E66" s="175"/>
      <c r="F66" s="175"/>
      <c r="G66" s="638"/>
      <c r="H66" s="93"/>
      <c r="I66" s="547"/>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120" customFormat="1" ht="24.95" customHeight="1" thickBot="1" x14ac:dyDescent="0.3">
      <c r="A67" s="710" t="s">
        <v>609</v>
      </c>
      <c r="B67" s="711"/>
      <c r="C67" s="712">
        <v>5000</v>
      </c>
      <c r="D67" s="713"/>
      <c r="E67" s="713"/>
      <c r="F67" s="713"/>
      <c r="G67" s="714">
        <f>SUM(C67:F67)</f>
        <v>5000</v>
      </c>
      <c r="H67" s="93"/>
      <c r="I67" s="547"/>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4"/>
      <c r="SD67" s="94"/>
      <c r="SE67" s="94"/>
      <c r="SF67" s="94"/>
      <c r="SG67" s="94"/>
      <c r="SH67" s="94"/>
      <c r="SI67" s="94"/>
      <c r="SJ67" s="94"/>
      <c r="SK67" s="94"/>
      <c r="SL67" s="94"/>
      <c r="SM67" s="94"/>
      <c r="SN67" s="94"/>
      <c r="SO67" s="94"/>
      <c r="SP67" s="94"/>
      <c r="SQ67" s="94"/>
      <c r="SR67" s="94"/>
      <c r="SS67" s="94"/>
      <c r="ST67" s="94"/>
      <c r="SU67" s="94"/>
      <c r="SV67" s="94"/>
      <c r="SW67" s="94"/>
      <c r="SX67" s="94"/>
      <c r="SY67" s="94"/>
      <c r="SZ67" s="94"/>
      <c r="TA67" s="94"/>
      <c r="TB67" s="94"/>
      <c r="TC67" s="94"/>
      <c r="TD67" s="94"/>
      <c r="TE67" s="94"/>
      <c r="TF67" s="94"/>
      <c r="TG67" s="94"/>
      <c r="TH67" s="94"/>
      <c r="TI67" s="94"/>
      <c r="TJ67" s="94"/>
      <c r="TK67" s="94"/>
      <c r="TL67" s="94"/>
      <c r="TM67" s="94"/>
      <c r="TN67" s="94"/>
      <c r="TO67" s="94"/>
      <c r="TP67" s="94"/>
      <c r="TQ67" s="94"/>
      <c r="TR67" s="94"/>
      <c r="TS67" s="94"/>
      <c r="TT67" s="94"/>
      <c r="TU67" s="94"/>
      <c r="TV67" s="94"/>
      <c r="TW67" s="94"/>
      <c r="TX67" s="94"/>
      <c r="TY67" s="94"/>
      <c r="TZ67" s="94"/>
      <c r="UA67" s="94"/>
      <c r="UB67" s="94"/>
      <c r="UC67" s="94"/>
      <c r="UD67" s="94"/>
      <c r="UE67" s="94"/>
      <c r="UF67" s="94"/>
      <c r="UG67" s="94"/>
      <c r="UH67" s="94"/>
      <c r="UI67" s="94"/>
      <c r="UJ67" s="94"/>
      <c r="UK67" s="94"/>
      <c r="UL67" s="94"/>
      <c r="UM67" s="94"/>
      <c r="UN67" s="94"/>
      <c r="UO67" s="94"/>
      <c r="UP67" s="94"/>
      <c r="UQ67" s="94"/>
      <c r="UR67" s="94"/>
      <c r="US67" s="94"/>
      <c r="UT67" s="94"/>
      <c r="UU67" s="94"/>
      <c r="UV67" s="94"/>
      <c r="UW67" s="94"/>
      <c r="UX67" s="94"/>
      <c r="UY67" s="94"/>
      <c r="UZ67" s="94"/>
      <c r="VA67" s="94"/>
      <c r="VB67" s="94"/>
      <c r="VC67" s="94"/>
      <c r="VD67" s="94"/>
      <c r="VE67" s="94"/>
      <c r="VF67" s="94"/>
      <c r="VG67" s="94"/>
      <c r="VH67" s="94"/>
      <c r="VI67" s="94"/>
      <c r="VJ67" s="94"/>
      <c r="VK67" s="94"/>
      <c r="VL67" s="94"/>
      <c r="VM67" s="94"/>
      <c r="VN67" s="94"/>
      <c r="VO67" s="94"/>
      <c r="VP67" s="94"/>
      <c r="VQ67" s="94"/>
      <c r="VR67" s="94"/>
      <c r="VS67" s="94"/>
      <c r="VT67" s="94"/>
      <c r="VU67" s="94"/>
      <c r="VV67" s="94"/>
      <c r="VW67" s="94"/>
      <c r="VX67" s="94"/>
      <c r="VY67" s="94"/>
      <c r="VZ67" s="94"/>
      <c r="WA67" s="94"/>
      <c r="WB67" s="94"/>
      <c r="WC67" s="94"/>
      <c r="WD67" s="94"/>
      <c r="WE67" s="94"/>
      <c r="WF67" s="94"/>
      <c r="WG67" s="94"/>
      <c r="WH67" s="94"/>
      <c r="WI67" s="94"/>
      <c r="WJ67" s="94"/>
      <c r="WK67" s="94"/>
      <c r="WL67" s="94"/>
      <c r="WM67" s="94"/>
      <c r="WN67" s="94"/>
      <c r="WO67" s="94"/>
      <c r="WP67" s="94"/>
      <c r="WQ67" s="94"/>
      <c r="WR67" s="94"/>
      <c r="WS67" s="94"/>
      <c r="WT67" s="94"/>
      <c r="WU67" s="94"/>
      <c r="WV67" s="94"/>
      <c r="WW67" s="94"/>
      <c r="WX67" s="94"/>
      <c r="WY67" s="94"/>
      <c r="WZ67" s="94"/>
      <c r="XA67" s="94"/>
      <c r="XB67" s="94"/>
      <c r="XC67" s="94"/>
      <c r="XD67" s="94"/>
      <c r="XE67" s="94"/>
      <c r="XF67" s="94"/>
      <c r="XG67" s="94"/>
      <c r="XH67" s="94"/>
      <c r="XI67" s="94"/>
      <c r="XJ67" s="94"/>
      <c r="XK67" s="94"/>
      <c r="XL67" s="94"/>
      <c r="XM67" s="94"/>
      <c r="XN67" s="94"/>
      <c r="XO67" s="94"/>
      <c r="XP67" s="94"/>
      <c r="XQ67" s="94"/>
      <c r="XR67" s="94"/>
      <c r="XS67" s="94"/>
      <c r="XT67" s="94"/>
      <c r="XU67" s="94"/>
      <c r="XV67" s="94"/>
      <c r="XW67" s="94"/>
      <c r="XX67" s="94"/>
      <c r="XY67" s="94"/>
      <c r="XZ67" s="94"/>
      <c r="YA67" s="94"/>
      <c r="YB67" s="94"/>
      <c r="YC67" s="94"/>
      <c r="YD67" s="94"/>
      <c r="YE67" s="94"/>
      <c r="YF67" s="94"/>
      <c r="YG67" s="94"/>
      <c r="YH67" s="94"/>
      <c r="YI67" s="94"/>
      <c r="YJ67" s="94"/>
      <c r="YK67" s="94"/>
      <c r="YL67" s="94"/>
      <c r="YM67" s="94"/>
      <c r="YN67" s="94"/>
      <c r="YO67" s="94"/>
      <c r="YP67" s="94"/>
      <c r="YQ67" s="94"/>
      <c r="YR67" s="94"/>
      <c r="YS67" s="94"/>
      <c r="YT67" s="94"/>
      <c r="YU67" s="94"/>
      <c r="YV67" s="94"/>
      <c r="YW67" s="94"/>
      <c r="YX67" s="94"/>
      <c r="YY67" s="94"/>
      <c r="YZ67" s="94"/>
      <c r="ZA67" s="94"/>
      <c r="ZB67" s="94"/>
      <c r="ZC67" s="94"/>
      <c r="ZD67" s="94"/>
      <c r="ZE67" s="94"/>
      <c r="ZF67" s="94"/>
      <c r="ZG67" s="94"/>
      <c r="ZH67" s="94"/>
      <c r="ZI67" s="94"/>
      <c r="ZJ67" s="94"/>
      <c r="ZK67" s="94"/>
      <c r="ZL67" s="94"/>
      <c r="ZM67" s="94"/>
      <c r="ZN67" s="94"/>
      <c r="ZO67" s="94"/>
      <c r="ZP67" s="94"/>
      <c r="ZQ67" s="94"/>
      <c r="ZR67" s="94"/>
      <c r="ZS67" s="94"/>
      <c r="ZT67" s="94"/>
      <c r="ZU67" s="94"/>
      <c r="ZV67" s="94"/>
      <c r="ZW67" s="94"/>
      <c r="ZX67" s="94"/>
      <c r="ZY67" s="94"/>
      <c r="ZZ67" s="94"/>
      <c r="AAA67" s="94"/>
      <c r="AAB67" s="94"/>
      <c r="AAC67" s="94"/>
      <c r="AAD67" s="94"/>
      <c r="AAE67" s="94"/>
      <c r="AAF67" s="94"/>
      <c r="AAG67" s="94"/>
      <c r="AAH67" s="94"/>
      <c r="AAI67" s="94"/>
      <c r="AAJ67" s="94"/>
      <c r="AAK67" s="94"/>
      <c r="AAL67" s="94"/>
      <c r="AAM67" s="94"/>
      <c r="AAN67" s="94"/>
      <c r="AAO67" s="94"/>
      <c r="AAP67" s="94"/>
      <c r="AAQ67" s="94"/>
      <c r="AAR67" s="94"/>
      <c r="AAS67" s="94"/>
      <c r="AAT67" s="94"/>
      <c r="AAU67" s="94"/>
      <c r="AAV67" s="94"/>
      <c r="AAW67" s="94"/>
      <c r="AAX67" s="94"/>
      <c r="AAY67" s="94"/>
      <c r="AAZ67" s="94"/>
      <c r="ABA67" s="94"/>
      <c r="ABB67" s="94"/>
      <c r="ABC67" s="94"/>
      <c r="ABD67" s="94"/>
      <c r="ABE67" s="94"/>
      <c r="ABF67" s="94"/>
      <c r="ABG67" s="94"/>
      <c r="ABH67" s="94"/>
      <c r="ABI67" s="94"/>
      <c r="ABJ67" s="94"/>
      <c r="ABK67" s="94"/>
      <c r="ABL67" s="94"/>
      <c r="ABM67" s="94"/>
      <c r="ABN67" s="94"/>
      <c r="ABO67" s="94"/>
      <c r="ABP67" s="94"/>
      <c r="ABQ67" s="94"/>
      <c r="ABR67" s="94"/>
      <c r="ABS67" s="94"/>
      <c r="ABT67" s="94"/>
      <c r="ABU67" s="94"/>
      <c r="ABV67" s="94"/>
      <c r="ABW67" s="94"/>
      <c r="ABX67" s="94"/>
      <c r="ABY67" s="94"/>
      <c r="ABZ67" s="94"/>
      <c r="ACA67" s="94"/>
      <c r="ACB67" s="94"/>
      <c r="ACC67" s="94"/>
      <c r="ACD67" s="94"/>
      <c r="ACE67" s="94"/>
      <c r="ACF67" s="94"/>
      <c r="ACG67" s="94"/>
      <c r="ACH67" s="94"/>
      <c r="ACI67" s="94"/>
      <c r="ACJ67" s="94"/>
      <c r="ACK67" s="94"/>
      <c r="ACL67" s="94"/>
      <c r="ACM67" s="94"/>
      <c r="ACN67" s="94"/>
      <c r="ACO67" s="94"/>
      <c r="ACP67" s="94"/>
      <c r="ACQ67" s="94"/>
      <c r="ACR67" s="94"/>
      <c r="ACS67" s="94"/>
      <c r="ACT67" s="94"/>
      <c r="ACU67" s="94"/>
      <c r="ACV67" s="94"/>
      <c r="ACW67" s="94"/>
      <c r="ACX67" s="94"/>
      <c r="ACY67" s="94"/>
      <c r="ACZ67" s="94"/>
      <c r="ADA67" s="94"/>
      <c r="ADB67" s="94"/>
      <c r="ADC67" s="94"/>
      <c r="ADD67" s="94"/>
      <c r="ADE67" s="94"/>
      <c r="ADF67" s="94"/>
      <c r="ADG67" s="94"/>
      <c r="ADH67" s="94"/>
      <c r="ADI67" s="94"/>
      <c r="ADJ67" s="94"/>
      <c r="ADK67" s="94"/>
      <c r="ADL67" s="94"/>
      <c r="ADM67" s="94"/>
      <c r="ADN67" s="94"/>
      <c r="ADO67" s="94"/>
      <c r="ADP67" s="94"/>
      <c r="ADQ67" s="94"/>
      <c r="ADR67" s="94"/>
      <c r="ADS67" s="94"/>
      <c r="ADT67" s="94"/>
      <c r="ADU67" s="94"/>
      <c r="ADV67" s="94"/>
      <c r="ADW67" s="94"/>
      <c r="ADX67" s="94"/>
      <c r="ADY67" s="94"/>
      <c r="ADZ67" s="94"/>
      <c r="AEA67" s="94"/>
      <c r="AEB67" s="94"/>
      <c r="AEC67" s="94"/>
      <c r="AED67" s="94"/>
      <c r="AEE67" s="94"/>
      <c r="AEF67" s="94"/>
      <c r="AEG67" s="94"/>
      <c r="AEH67" s="94"/>
      <c r="AEI67" s="94"/>
      <c r="AEJ67" s="94"/>
      <c r="AEK67" s="94"/>
      <c r="AEL67" s="94"/>
      <c r="AEM67" s="94"/>
      <c r="AEN67" s="94"/>
      <c r="AEO67" s="94"/>
      <c r="AEP67" s="94"/>
      <c r="AEQ67" s="94"/>
      <c r="AER67" s="94"/>
      <c r="AES67" s="94"/>
      <c r="AET67" s="94"/>
      <c r="AEU67" s="94"/>
      <c r="AEV67" s="94"/>
      <c r="AEW67" s="94"/>
      <c r="AEX67" s="94"/>
      <c r="AEY67" s="94"/>
      <c r="AEZ67" s="94"/>
      <c r="AFA67" s="94"/>
      <c r="AFB67" s="94"/>
      <c r="AFC67" s="94"/>
      <c r="AFD67" s="94"/>
      <c r="AFE67" s="94"/>
      <c r="AFF67" s="94"/>
      <c r="AFG67" s="94"/>
      <c r="AFH67" s="94"/>
      <c r="AFI67" s="94"/>
      <c r="AFJ67" s="94"/>
      <c r="AFK67" s="94"/>
      <c r="AFL67" s="94"/>
      <c r="AFM67" s="94"/>
      <c r="AFN67" s="94"/>
      <c r="AFO67" s="94"/>
      <c r="AFP67" s="94"/>
      <c r="AFQ67" s="94"/>
      <c r="AFR67" s="94"/>
      <c r="AFS67" s="94"/>
      <c r="AFT67" s="94"/>
      <c r="AFU67" s="94"/>
      <c r="AFV67" s="94"/>
      <c r="AFW67" s="94"/>
      <c r="AFX67" s="94"/>
      <c r="AFY67" s="94"/>
      <c r="AFZ67" s="94"/>
      <c r="AGA67" s="94"/>
      <c r="AGB67" s="94"/>
      <c r="AGC67" s="94"/>
      <c r="AGD67" s="94"/>
      <c r="AGE67" s="94"/>
      <c r="AGF67" s="94"/>
      <c r="AGG67" s="94"/>
      <c r="AGH67" s="94"/>
      <c r="AGI67" s="94"/>
      <c r="AGJ67" s="94"/>
      <c r="AGK67" s="94"/>
      <c r="AGL67" s="94"/>
      <c r="AGM67" s="94"/>
      <c r="AGN67" s="94"/>
      <c r="AGO67" s="94"/>
      <c r="AGP67" s="94"/>
      <c r="AGQ67" s="94"/>
      <c r="AGR67" s="94"/>
      <c r="AGS67" s="94"/>
      <c r="AGT67" s="94"/>
      <c r="AGU67" s="94"/>
      <c r="AGV67" s="94"/>
      <c r="AGW67" s="94"/>
      <c r="AGX67" s="94"/>
      <c r="AGY67" s="94"/>
      <c r="AGZ67" s="94"/>
      <c r="AHA67" s="94"/>
      <c r="AHB67" s="94"/>
      <c r="AHC67" s="94"/>
      <c r="AHD67" s="94"/>
      <c r="AHE67" s="94"/>
      <c r="AHF67" s="94"/>
      <c r="AHG67" s="94"/>
      <c r="AHH67" s="94"/>
      <c r="AHI67" s="94"/>
      <c r="AHJ67" s="94"/>
      <c r="AHK67" s="94"/>
      <c r="AHL67" s="94"/>
      <c r="AHM67" s="94"/>
      <c r="AHN67" s="94"/>
      <c r="AHO67" s="94"/>
      <c r="AHP67" s="94"/>
      <c r="AHQ67" s="94"/>
      <c r="AHR67" s="94"/>
      <c r="AHS67" s="94"/>
      <c r="AHT67" s="94"/>
      <c r="AHU67" s="94"/>
      <c r="AHV67" s="94"/>
      <c r="AHW67" s="94"/>
      <c r="AHX67" s="94"/>
      <c r="AHY67" s="94"/>
      <c r="AHZ67" s="94"/>
      <c r="AIA67" s="94"/>
      <c r="AIB67" s="94"/>
      <c r="AIC67" s="94"/>
      <c r="AID67" s="94"/>
      <c r="AIE67" s="94"/>
      <c r="AIF67" s="94"/>
      <c r="AIG67" s="94"/>
      <c r="AIH67" s="94"/>
      <c r="AII67" s="94"/>
      <c r="AIJ67" s="94"/>
      <c r="AIK67" s="94"/>
      <c r="AIL67" s="94"/>
      <c r="AIM67" s="94"/>
      <c r="AIN67" s="94"/>
      <c r="AIO67" s="94"/>
      <c r="AIP67" s="94"/>
      <c r="AIQ67" s="94"/>
      <c r="AIR67" s="94"/>
      <c r="AIS67" s="94"/>
      <c r="AIT67" s="94"/>
      <c r="AIU67" s="94"/>
      <c r="AIV67" s="94"/>
      <c r="AIW67" s="94"/>
      <c r="AIX67" s="94"/>
      <c r="AIY67" s="94"/>
      <c r="AIZ67" s="94"/>
      <c r="AJA67" s="94"/>
      <c r="AJB67" s="94"/>
      <c r="AJC67" s="94"/>
      <c r="AJD67" s="94"/>
      <c r="AJE67" s="94"/>
      <c r="AJF67" s="94"/>
      <c r="AJG67" s="94"/>
      <c r="AJH67" s="94"/>
      <c r="AJI67" s="94"/>
      <c r="AJJ67" s="94"/>
      <c r="AJK67" s="94"/>
      <c r="AJL67" s="94"/>
      <c r="AJM67" s="94"/>
      <c r="AJN67" s="94"/>
      <c r="AJO67" s="94"/>
      <c r="AJP67" s="94"/>
      <c r="AJQ67" s="94"/>
      <c r="AJR67" s="94"/>
      <c r="AJS67" s="94"/>
      <c r="AJT67" s="94"/>
      <c r="AJU67" s="94"/>
      <c r="AJV67" s="94"/>
      <c r="AJW67" s="94"/>
      <c r="AJX67" s="94"/>
      <c r="AJY67" s="94"/>
      <c r="AJZ67" s="94"/>
      <c r="AKA67" s="94"/>
      <c r="AKB67" s="94"/>
      <c r="AKC67" s="94"/>
      <c r="AKD67" s="94"/>
      <c r="AKE67" s="94"/>
      <c r="AKF67" s="94"/>
      <c r="AKG67" s="94"/>
      <c r="AKH67" s="94"/>
      <c r="AKI67" s="94"/>
      <c r="AKJ67" s="94"/>
      <c r="AKK67" s="94"/>
      <c r="AKL67" s="94"/>
      <c r="AKM67" s="94"/>
      <c r="AKN67" s="94"/>
      <c r="AKO67" s="94"/>
      <c r="AKP67" s="94"/>
      <c r="AKQ67" s="94"/>
      <c r="AKR67" s="94"/>
      <c r="AKS67" s="94"/>
      <c r="AKT67" s="94"/>
      <c r="AKU67" s="94"/>
      <c r="AKV67" s="94"/>
      <c r="AKW67" s="94"/>
      <c r="AKX67" s="94"/>
      <c r="AKY67" s="94"/>
      <c r="AKZ67" s="94"/>
      <c r="ALA67" s="94"/>
      <c r="ALB67" s="94"/>
      <c r="ALC67" s="94"/>
      <c r="ALD67" s="94"/>
      <c r="ALE67" s="94"/>
      <c r="ALF67" s="94"/>
      <c r="ALG67" s="94"/>
      <c r="ALH67" s="94"/>
      <c r="ALI67" s="94"/>
      <c r="ALJ67" s="94"/>
      <c r="ALK67" s="94"/>
      <c r="ALL67" s="94"/>
      <c r="ALM67" s="94"/>
      <c r="ALN67" s="94"/>
      <c r="ALO67" s="94"/>
      <c r="ALP67" s="94"/>
      <c r="ALQ67" s="94"/>
      <c r="ALR67" s="94"/>
      <c r="ALS67" s="94"/>
      <c r="ALT67" s="94"/>
      <c r="ALU67" s="94"/>
      <c r="ALV67" s="94"/>
      <c r="ALW67" s="94"/>
      <c r="ALX67" s="94"/>
      <c r="ALY67" s="94"/>
      <c r="ALZ67" s="94"/>
      <c r="AMA67" s="94"/>
      <c r="AMB67" s="94"/>
      <c r="AMC67" s="94"/>
      <c r="AMD67" s="94"/>
      <c r="AME67" s="94"/>
      <c r="AMF67" s="94"/>
      <c r="AMG67" s="94"/>
      <c r="AMH67" s="94"/>
      <c r="AMI67" s="94"/>
      <c r="AMJ67" s="94"/>
      <c r="AMK67" s="94"/>
      <c r="AML67" s="94"/>
      <c r="AMM67" s="94"/>
      <c r="AMN67" s="94"/>
      <c r="AMO67" s="94"/>
      <c r="AMP67" s="94"/>
      <c r="AMQ67" s="94"/>
      <c r="AMR67" s="94"/>
      <c r="AMS67" s="94"/>
      <c r="AMT67" s="94"/>
      <c r="AMU67" s="94"/>
      <c r="AMV67" s="94"/>
      <c r="AMW67" s="94"/>
      <c r="AMX67" s="94"/>
      <c r="AMY67" s="94"/>
      <c r="AMZ67" s="94"/>
      <c r="ANA67" s="94"/>
      <c r="ANB67" s="94"/>
      <c r="ANC67" s="94"/>
      <c r="AND67" s="94"/>
      <c r="ANE67" s="94"/>
      <c r="ANF67" s="94"/>
      <c r="ANG67" s="94"/>
      <c r="ANH67" s="94"/>
      <c r="ANI67" s="94"/>
      <c r="ANJ67" s="94"/>
      <c r="ANK67" s="94"/>
      <c r="ANL67" s="94"/>
      <c r="ANM67" s="94"/>
      <c r="ANN67" s="94"/>
      <c r="ANO67" s="94"/>
      <c r="ANP67" s="94"/>
      <c r="ANQ67" s="94"/>
      <c r="ANR67" s="94"/>
      <c r="ANS67" s="94"/>
      <c r="ANT67" s="94"/>
      <c r="ANU67" s="94"/>
      <c r="ANV67" s="94"/>
      <c r="ANW67" s="94"/>
      <c r="ANX67" s="94"/>
      <c r="ANY67" s="94"/>
      <c r="ANZ67" s="94"/>
      <c r="AOA67" s="94"/>
      <c r="AOB67" s="94"/>
      <c r="AOC67" s="94"/>
      <c r="AOD67" s="94"/>
      <c r="AOE67" s="94"/>
      <c r="AOF67" s="94"/>
      <c r="AOG67" s="94"/>
      <c r="AOH67" s="94"/>
      <c r="AOI67" s="94"/>
      <c r="AOJ67" s="94"/>
      <c r="AOK67" s="94"/>
      <c r="AOL67" s="94"/>
      <c r="AOM67" s="94"/>
      <c r="AON67" s="94"/>
      <c r="AOO67" s="94"/>
      <c r="AOP67" s="94"/>
      <c r="AOQ67" s="94"/>
      <c r="AOR67" s="94"/>
      <c r="AOS67" s="94"/>
      <c r="AOT67" s="94"/>
      <c r="AOU67" s="94"/>
      <c r="AOV67" s="94"/>
      <c r="AOW67" s="94"/>
      <c r="AOX67" s="94"/>
      <c r="AOY67" s="94"/>
      <c r="AOZ67" s="94"/>
      <c r="APA67" s="94"/>
      <c r="APB67" s="94"/>
      <c r="APC67" s="94"/>
      <c r="APD67" s="94"/>
      <c r="APE67" s="94"/>
      <c r="APF67" s="94"/>
      <c r="APG67" s="94"/>
      <c r="APH67" s="94"/>
      <c r="API67" s="94"/>
      <c r="APJ67" s="94"/>
      <c r="APK67" s="94"/>
      <c r="APL67" s="94"/>
      <c r="APM67" s="94"/>
      <c r="APN67" s="94"/>
      <c r="APO67" s="94"/>
      <c r="APP67" s="94"/>
      <c r="APQ67" s="94"/>
      <c r="APR67" s="94"/>
      <c r="APS67" s="94"/>
      <c r="APT67" s="94"/>
      <c r="APU67" s="94"/>
      <c r="APV67" s="94"/>
      <c r="APW67" s="94"/>
      <c r="APX67" s="94"/>
      <c r="APY67" s="94"/>
      <c r="APZ67" s="94"/>
      <c r="AQA67" s="94"/>
      <c r="AQB67" s="94"/>
      <c r="AQC67" s="94"/>
      <c r="AQD67" s="94"/>
      <c r="AQE67" s="94"/>
      <c r="AQF67" s="94"/>
      <c r="AQG67" s="94"/>
      <c r="AQH67" s="94"/>
      <c r="AQI67" s="94"/>
      <c r="AQJ67" s="94"/>
      <c r="AQK67" s="94"/>
      <c r="AQL67" s="94"/>
      <c r="AQM67" s="94"/>
      <c r="AQN67" s="94"/>
      <c r="AQO67" s="94"/>
      <c r="AQP67" s="94"/>
      <c r="AQQ67" s="94"/>
      <c r="AQR67" s="94"/>
      <c r="AQS67" s="94"/>
      <c r="AQT67" s="94"/>
      <c r="AQU67" s="94"/>
      <c r="AQV67" s="94"/>
      <c r="AQW67" s="94"/>
      <c r="AQX67" s="94"/>
      <c r="AQY67" s="94"/>
      <c r="AQZ67" s="94"/>
      <c r="ARA67" s="94"/>
      <c r="ARB67" s="94"/>
      <c r="ARC67" s="94"/>
      <c r="ARD67" s="94"/>
      <c r="ARE67" s="94"/>
      <c r="ARF67" s="94"/>
      <c r="ARG67" s="94"/>
      <c r="ARH67" s="94"/>
      <c r="ARI67" s="94"/>
      <c r="ARJ67" s="94"/>
      <c r="ARK67" s="94"/>
      <c r="ARL67" s="94"/>
      <c r="ARM67" s="94"/>
      <c r="ARN67" s="94"/>
      <c r="ARO67" s="94"/>
      <c r="ARP67" s="94"/>
      <c r="ARQ67" s="94"/>
      <c r="ARR67" s="94"/>
      <c r="ARS67" s="94"/>
      <c r="ART67" s="94"/>
      <c r="ARU67" s="94"/>
      <c r="ARV67" s="94"/>
      <c r="ARW67" s="94"/>
      <c r="ARX67" s="94"/>
      <c r="ARY67" s="94"/>
      <c r="ARZ67" s="94"/>
      <c r="ASA67" s="94"/>
      <c r="ASB67" s="94"/>
      <c r="ASC67" s="94"/>
      <c r="ASD67" s="94"/>
      <c r="ASE67" s="94"/>
      <c r="ASF67" s="94"/>
      <c r="ASG67" s="94"/>
      <c r="ASH67" s="94"/>
      <c r="ASI67" s="94"/>
      <c r="ASJ67" s="94"/>
      <c r="ASK67" s="94"/>
      <c r="ASL67" s="94"/>
      <c r="ASM67" s="94"/>
      <c r="ASN67" s="94"/>
      <c r="ASO67" s="94"/>
      <c r="ASP67" s="94"/>
      <c r="ASQ67" s="94"/>
      <c r="ASR67" s="94"/>
      <c r="ASS67" s="94"/>
      <c r="AST67" s="94"/>
      <c r="ASU67" s="94"/>
      <c r="ASV67" s="94"/>
      <c r="ASW67" s="94"/>
      <c r="ASX67" s="94"/>
      <c r="ASY67" s="94"/>
      <c r="ASZ67" s="94"/>
      <c r="ATA67" s="94"/>
      <c r="ATB67" s="94"/>
      <c r="ATC67" s="94"/>
      <c r="ATD67" s="94"/>
      <c r="ATE67" s="94"/>
      <c r="ATF67" s="94"/>
      <c r="ATG67" s="94"/>
      <c r="ATH67" s="94"/>
      <c r="ATI67" s="94"/>
      <c r="ATJ67" s="94"/>
      <c r="ATK67" s="94"/>
      <c r="ATL67" s="94"/>
      <c r="ATM67" s="94"/>
      <c r="ATN67" s="94"/>
      <c r="ATO67" s="94"/>
      <c r="ATP67" s="94"/>
      <c r="ATQ67" s="94"/>
      <c r="ATR67" s="94"/>
      <c r="ATS67" s="94"/>
      <c r="ATT67" s="94"/>
      <c r="ATU67" s="94"/>
      <c r="ATV67" s="94"/>
      <c r="ATW67" s="94"/>
      <c r="ATX67" s="94"/>
      <c r="ATY67" s="94"/>
      <c r="ATZ67" s="94"/>
      <c r="AUA67" s="94"/>
      <c r="AUB67" s="94"/>
      <c r="AUC67" s="94"/>
      <c r="AUD67" s="94"/>
      <c r="AUE67" s="94"/>
      <c r="AUF67" s="94"/>
      <c r="AUG67" s="94"/>
      <c r="AUH67" s="94"/>
      <c r="AUI67" s="94"/>
      <c r="AUJ67" s="94"/>
      <c r="AUK67" s="94"/>
      <c r="AUL67" s="94"/>
      <c r="AUM67" s="94"/>
      <c r="AUN67" s="94"/>
      <c r="AUO67" s="94"/>
      <c r="AUP67" s="94"/>
      <c r="AUQ67" s="94"/>
      <c r="AUR67" s="94"/>
      <c r="AUS67" s="94"/>
      <c r="AUT67" s="94"/>
      <c r="AUU67" s="94"/>
      <c r="AUV67" s="94"/>
      <c r="AUW67" s="94"/>
      <c r="AUX67" s="94"/>
      <c r="AUY67" s="94"/>
      <c r="AUZ67" s="94"/>
      <c r="AVA67" s="94"/>
      <c r="AVB67" s="94"/>
      <c r="AVC67" s="94"/>
      <c r="AVD67" s="94"/>
      <c r="AVE67" s="94"/>
      <c r="AVF67" s="94"/>
      <c r="AVG67" s="94"/>
      <c r="AVH67" s="94"/>
      <c r="AVI67" s="94"/>
      <c r="AVJ67" s="94"/>
      <c r="AVK67" s="94"/>
      <c r="AVL67" s="94"/>
      <c r="AVM67" s="94"/>
      <c r="AVN67" s="94"/>
      <c r="AVO67" s="94"/>
      <c r="AVP67" s="94"/>
      <c r="AVQ67" s="94"/>
      <c r="AVR67" s="94"/>
      <c r="AVS67" s="94"/>
      <c r="AVT67" s="94"/>
      <c r="AVU67" s="94"/>
      <c r="AVV67" s="94"/>
      <c r="AVW67" s="94"/>
      <c r="AVX67" s="94"/>
      <c r="AVY67" s="94"/>
      <c r="AVZ67" s="94"/>
      <c r="AWA67" s="94"/>
      <c r="AWB67" s="94"/>
      <c r="AWC67" s="94"/>
      <c r="AWD67" s="94"/>
      <c r="AWE67" s="94"/>
      <c r="AWF67" s="94"/>
      <c r="AWG67" s="94"/>
      <c r="AWH67" s="94"/>
      <c r="AWI67" s="94"/>
      <c r="AWJ67" s="94"/>
      <c r="AWK67" s="94"/>
      <c r="AWL67" s="94"/>
      <c r="AWM67" s="94"/>
      <c r="AWN67" s="94"/>
      <c r="AWO67" s="94"/>
      <c r="AWP67" s="94"/>
      <c r="AWQ67" s="94"/>
      <c r="AWR67" s="94"/>
      <c r="AWS67" s="94"/>
      <c r="AWT67" s="94"/>
      <c r="AWU67" s="94"/>
      <c r="AWV67" s="94"/>
      <c r="AWW67" s="94"/>
      <c r="AWX67" s="94"/>
      <c r="AWY67" s="94"/>
      <c r="AWZ67" s="94"/>
      <c r="AXA67" s="94"/>
      <c r="AXB67" s="94"/>
      <c r="AXC67" s="94"/>
      <c r="AXD67" s="94"/>
      <c r="AXE67" s="94"/>
      <c r="AXF67" s="94"/>
      <c r="AXG67" s="94"/>
      <c r="AXH67" s="94"/>
      <c r="AXI67" s="94"/>
      <c r="AXJ67" s="94"/>
      <c r="AXK67" s="94"/>
      <c r="AXL67" s="94"/>
      <c r="AXM67" s="94"/>
      <c r="AXN67" s="94"/>
      <c r="AXO67" s="94"/>
      <c r="AXP67" s="94"/>
      <c r="AXQ67" s="94"/>
      <c r="AXR67" s="94"/>
      <c r="AXS67" s="94"/>
      <c r="AXT67" s="94"/>
      <c r="AXU67" s="94"/>
      <c r="AXV67" s="94"/>
      <c r="AXW67" s="94"/>
      <c r="AXX67" s="94"/>
      <c r="AXY67" s="94"/>
      <c r="AXZ67" s="94"/>
      <c r="AYA67" s="94"/>
      <c r="AYB67" s="94"/>
      <c r="AYC67" s="94"/>
      <c r="AYD67" s="94"/>
      <c r="AYE67" s="94"/>
      <c r="AYF67" s="94"/>
      <c r="AYG67" s="94"/>
      <c r="AYH67" s="94"/>
      <c r="AYI67" s="94"/>
      <c r="AYJ67" s="94"/>
      <c r="AYK67" s="94"/>
      <c r="AYL67" s="94"/>
      <c r="AYM67" s="94"/>
      <c r="AYN67" s="94"/>
      <c r="AYO67" s="94"/>
      <c r="AYP67" s="94"/>
      <c r="AYQ67" s="94"/>
      <c r="AYR67" s="94"/>
      <c r="AYS67" s="94"/>
      <c r="AYT67" s="94"/>
      <c r="AYU67" s="94"/>
      <c r="AYV67" s="94"/>
      <c r="AYW67" s="94"/>
      <c r="AYX67" s="94"/>
      <c r="AYY67" s="94"/>
      <c r="AYZ67" s="94"/>
      <c r="AZA67" s="94"/>
      <c r="AZB67" s="94"/>
      <c r="AZC67" s="94"/>
      <c r="AZD67" s="94"/>
      <c r="AZE67" s="94"/>
      <c r="AZF67" s="94"/>
      <c r="AZG67" s="94"/>
      <c r="AZH67" s="94"/>
      <c r="AZI67" s="94"/>
      <c r="AZJ67" s="94"/>
      <c r="AZK67" s="94"/>
      <c r="AZL67" s="94"/>
      <c r="AZM67" s="94"/>
      <c r="AZN67" s="94"/>
      <c r="AZO67" s="94"/>
      <c r="AZP67" s="94"/>
      <c r="AZQ67" s="94"/>
      <c r="AZR67" s="94"/>
      <c r="AZS67" s="94"/>
      <c r="AZT67" s="94"/>
      <c r="AZU67" s="94"/>
      <c r="AZV67" s="94"/>
      <c r="AZW67" s="94"/>
      <c r="AZX67" s="94"/>
      <c r="AZY67" s="94"/>
      <c r="AZZ67" s="94"/>
      <c r="BAA67" s="94"/>
      <c r="BAB67" s="94"/>
      <c r="BAC67" s="94"/>
      <c r="BAD67" s="94"/>
      <c r="BAE67" s="94"/>
      <c r="BAF67" s="94"/>
      <c r="BAG67" s="94"/>
      <c r="BAH67" s="94"/>
      <c r="BAI67" s="94"/>
      <c r="BAJ67" s="94"/>
      <c r="BAK67" s="94"/>
      <c r="BAL67" s="94"/>
      <c r="BAM67" s="94"/>
      <c r="BAN67" s="94"/>
      <c r="BAO67" s="94"/>
      <c r="BAP67" s="94"/>
      <c r="BAQ67" s="94"/>
      <c r="BAR67" s="94"/>
      <c r="BAS67" s="94"/>
      <c r="BAT67" s="94"/>
      <c r="BAU67" s="94"/>
      <c r="BAV67" s="94"/>
      <c r="BAW67" s="94"/>
      <c r="BAX67" s="94"/>
      <c r="BAY67" s="94"/>
      <c r="BAZ67" s="94"/>
      <c r="BBA67" s="94"/>
      <c r="BBB67" s="94"/>
      <c r="BBC67" s="94"/>
      <c r="BBD67" s="94"/>
      <c r="BBE67" s="94"/>
      <c r="BBF67" s="94"/>
      <c r="BBG67" s="94"/>
      <c r="BBH67" s="94"/>
      <c r="BBI67" s="94"/>
      <c r="BBJ67" s="94"/>
      <c r="BBK67" s="94"/>
      <c r="BBL67" s="94"/>
      <c r="BBM67" s="94"/>
      <c r="BBN67" s="94"/>
      <c r="BBO67" s="94"/>
      <c r="BBP67" s="94"/>
      <c r="BBQ67" s="94"/>
      <c r="BBR67" s="94"/>
      <c r="BBS67" s="94"/>
      <c r="BBT67" s="94"/>
      <c r="BBU67" s="94"/>
      <c r="BBV67" s="94"/>
      <c r="BBW67" s="94"/>
      <c r="BBX67" s="94"/>
      <c r="BBY67" s="94"/>
      <c r="BBZ67" s="94"/>
      <c r="BCA67" s="94"/>
      <c r="BCB67" s="94"/>
      <c r="BCC67" s="94"/>
      <c r="BCD67" s="94"/>
      <c r="BCE67" s="94"/>
      <c r="BCF67" s="94"/>
      <c r="BCG67" s="94"/>
      <c r="BCH67" s="94"/>
      <c r="BCI67" s="94"/>
      <c r="BCJ67" s="94"/>
      <c r="BCK67" s="94"/>
      <c r="BCL67" s="94"/>
      <c r="BCM67" s="94"/>
      <c r="BCN67" s="94"/>
      <c r="BCO67" s="94"/>
      <c r="BCP67" s="94"/>
      <c r="BCQ67" s="94"/>
      <c r="BCR67" s="94"/>
      <c r="BCS67" s="94"/>
      <c r="BCT67" s="94"/>
      <c r="BCU67" s="94"/>
      <c r="BCV67" s="94"/>
      <c r="BCW67" s="94"/>
      <c r="BCX67" s="94"/>
      <c r="BCY67" s="94"/>
      <c r="BCZ67" s="94"/>
      <c r="BDA67" s="94"/>
      <c r="BDB67" s="94"/>
      <c r="BDC67" s="94"/>
      <c r="BDD67" s="94"/>
      <c r="BDE67" s="94"/>
      <c r="BDF67" s="94"/>
      <c r="BDG67" s="94"/>
      <c r="BDH67" s="94"/>
      <c r="BDI67" s="94"/>
      <c r="BDJ67" s="94"/>
      <c r="BDK67" s="94"/>
      <c r="BDL67" s="94"/>
      <c r="BDM67" s="94"/>
      <c r="BDN67" s="94"/>
      <c r="BDO67" s="94"/>
      <c r="BDP67" s="94"/>
      <c r="BDQ67" s="94"/>
      <c r="BDR67" s="94"/>
      <c r="BDS67" s="94"/>
      <c r="BDT67" s="94"/>
      <c r="BDU67" s="94"/>
      <c r="BDV67" s="94"/>
      <c r="BDW67" s="94"/>
      <c r="BDX67" s="94"/>
      <c r="BDY67" s="94"/>
      <c r="BDZ67" s="94"/>
      <c r="BEA67" s="94"/>
      <c r="BEB67" s="94"/>
      <c r="BEC67" s="94"/>
      <c r="BED67" s="94"/>
      <c r="BEE67" s="94"/>
      <c r="BEF67" s="94"/>
      <c r="BEG67" s="94"/>
      <c r="BEH67" s="94"/>
      <c r="BEI67" s="94"/>
      <c r="BEJ67" s="94"/>
      <c r="BEK67" s="94"/>
      <c r="BEL67" s="94"/>
      <c r="BEM67" s="94"/>
      <c r="BEN67" s="94"/>
      <c r="BEO67" s="94"/>
      <c r="BEP67" s="94"/>
      <c r="BEQ67" s="94"/>
      <c r="BER67" s="94"/>
      <c r="BES67" s="94"/>
      <c r="BET67" s="94"/>
      <c r="BEU67" s="94"/>
      <c r="BEV67" s="94"/>
      <c r="BEW67" s="94"/>
      <c r="BEX67" s="94"/>
      <c r="BEY67" s="94"/>
      <c r="BEZ67" s="94"/>
      <c r="BFA67" s="94"/>
      <c r="BFB67" s="94"/>
      <c r="BFC67" s="94"/>
      <c r="BFD67" s="94"/>
      <c r="BFE67" s="94"/>
      <c r="BFF67" s="94"/>
      <c r="BFG67" s="94"/>
      <c r="BFH67" s="94"/>
      <c r="BFI67" s="94"/>
      <c r="BFJ67" s="94"/>
      <c r="BFK67" s="94"/>
      <c r="BFL67" s="94"/>
      <c r="BFM67" s="94"/>
      <c r="BFN67" s="94"/>
      <c r="BFO67" s="94"/>
      <c r="BFP67" s="94"/>
      <c r="BFQ67" s="94"/>
      <c r="BFR67" s="94"/>
      <c r="BFS67" s="94"/>
      <c r="BFT67" s="94"/>
      <c r="BFU67" s="94"/>
      <c r="BFV67" s="94"/>
      <c r="BFW67" s="94"/>
      <c r="BFX67" s="94"/>
      <c r="BFY67" s="94"/>
      <c r="BFZ67" s="94"/>
      <c r="BGA67" s="94"/>
      <c r="BGB67" s="94"/>
      <c r="BGC67" s="94"/>
      <c r="BGD67" s="94"/>
      <c r="BGE67" s="94"/>
      <c r="BGF67" s="94"/>
      <c r="BGG67" s="94"/>
      <c r="BGH67" s="94"/>
      <c r="BGI67" s="94"/>
      <c r="BGJ67" s="94"/>
      <c r="BGK67" s="94"/>
      <c r="BGL67" s="94"/>
      <c r="BGM67" s="94"/>
      <c r="BGN67" s="94"/>
      <c r="BGO67" s="94"/>
      <c r="BGP67" s="94"/>
      <c r="BGQ67" s="94"/>
      <c r="BGR67" s="94"/>
      <c r="BGS67" s="94"/>
      <c r="BGT67" s="94"/>
      <c r="BGU67" s="94"/>
      <c r="BGV67" s="94"/>
      <c r="BGW67" s="94"/>
      <c r="BGX67" s="94"/>
      <c r="BGY67" s="94"/>
      <c r="BGZ67" s="94"/>
      <c r="BHA67" s="94"/>
      <c r="BHB67" s="94"/>
      <c r="BHC67" s="94"/>
      <c r="BHD67" s="94"/>
      <c r="BHE67" s="94"/>
      <c r="BHF67" s="94"/>
      <c r="BHG67" s="94"/>
      <c r="BHH67" s="94"/>
      <c r="BHI67" s="94"/>
      <c r="BHJ67" s="94"/>
      <c r="BHK67" s="94"/>
      <c r="BHL67" s="94"/>
      <c r="BHM67" s="94"/>
      <c r="BHN67" s="94"/>
      <c r="BHO67" s="94"/>
      <c r="BHP67" s="94"/>
      <c r="BHQ67" s="94"/>
      <c r="BHR67" s="94"/>
      <c r="BHS67" s="94"/>
      <c r="BHT67" s="94"/>
      <c r="BHU67" s="94"/>
      <c r="BHV67" s="94"/>
      <c r="BHW67" s="94"/>
      <c r="BHX67" s="94"/>
      <c r="BHY67" s="94"/>
      <c r="BHZ67" s="94"/>
      <c r="BIA67" s="94"/>
      <c r="BIB67" s="94"/>
      <c r="BIC67" s="94"/>
      <c r="BID67" s="94"/>
      <c r="BIE67" s="94"/>
      <c r="BIF67" s="94"/>
      <c r="BIG67" s="94"/>
      <c r="BIH67" s="94"/>
      <c r="BII67" s="94"/>
      <c r="BIJ67" s="94"/>
      <c r="BIK67" s="94"/>
      <c r="BIL67" s="94"/>
      <c r="BIM67" s="94"/>
      <c r="BIN67" s="94"/>
      <c r="BIO67" s="94"/>
      <c r="BIP67" s="94"/>
      <c r="BIQ67" s="94"/>
      <c r="BIR67" s="94"/>
      <c r="BIS67" s="94"/>
      <c r="BIT67" s="94"/>
      <c r="BIU67" s="94"/>
      <c r="BIV67" s="94"/>
      <c r="BIW67" s="94"/>
      <c r="BIX67" s="94"/>
      <c r="BIY67" s="94"/>
      <c r="BIZ67" s="94"/>
      <c r="BJA67" s="94"/>
      <c r="BJB67" s="94"/>
      <c r="BJC67" s="94"/>
      <c r="BJD67" s="94"/>
      <c r="BJE67" s="94"/>
      <c r="BJF67" s="94"/>
      <c r="BJG67" s="94"/>
      <c r="BJH67" s="94"/>
      <c r="BJI67" s="94"/>
      <c r="BJJ67" s="94"/>
      <c r="BJK67" s="94"/>
      <c r="BJL67" s="94"/>
      <c r="BJM67" s="94"/>
      <c r="BJN67" s="94"/>
      <c r="BJO67" s="94"/>
      <c r="BJP67" s="94"/>
      <c r="BJQ67" s="94"/>
      <c r="BJR67" s="94"/>
      <c r="BJS67" s="94"/>
      <c r="BJT67" s="94"/>
      <c r="BJU67" s="94"/>
      <c r="BJV67" s="94"/>
      <c r="BJW67" s="94"/>
      <c r="BJX67" s="94"/>
      <c r="BJY67" s="94"/>
      <c r="BJZ67" s="94"/>
      <c r="BKA67" s="94"/>
      <c r="BKB67" s="94"/>
      <c r="BKC67" s="94"/>
      <c r="BKD67" s="94"/>
      <c r="BKE67" s="94"/>
      <c r="BKF67" s="94"/>
      <c r="BKG67" s="94"/>
      <c r="BKH67" s="94"/>
      <c r="BKI67" s="94"/>
      <c r="BKJ67" s="94"/>
      <c r="BKK67" s="94"/>
      <c r="BKL67" s="94"/>
      <c r="BKM67" s="94"/>
      <c r="BKN67" s="94"/>
      <c r="BKO67" s="94"/>
      <c r="BKP67" s="94"/>
      <c r="BKQ67" s="94"/>
      <c r="BKR67" s="94"/>
      <c r="BKS67" s="94"/>
      <c r="BKT67" s="94"/>
      <c r="BKU67" s="94"/>
      <c r="BKV67" s="94"/>
      <c r="BKW67" s="94"/>
      <c r="BKX67" s="94"/>
      <c r="BKY67" s="94"/>
      <c r="BKZ67" s="94"/>
      <c r="BLA67" s="94"/>
      <c r="BLB67" s="94"/>
      <c r="BLC67" s="94"/>
      <c r="BLD67" s="94"/>
      <c r="BLE67" s="94"/>
      <c r="BLF67" s="94"/>
      <c r="BLG67" s="94"/>
      <c r="BLH67" s="94"/>
      <c r="BLI67" s="94"/>
      <c r="BLJ67" s="94"/>
      <c r="BLK67" s="94"/>
      <c r="BLL67" s="94"/>
      <c r="BLM67" s="94"/>
      <c r="BLN67" s="94"/>
      <c r="BLO67" s="94"/>
      <c r="BLP67" s="94"/>
      <c r="BLQ67" s="94"/>
      <c r="BLR67" s="94"/>
      <c r="BLS67" s="94"/>
      <c r="BLT67" s="94"/>
      <c r="BLU67" s="94"/>
      <c r="BLV67" s="94"/>
      <c r="BLW67" s="94"/>
      <c r="BLX67" s="94"/>
      <c r="BLY67" s="94"/>
      <c r="BLZ67" s="94"/>
      <c r="BMA67" s="94"/>
      <c r="BMB67" s="94"/>
      <c r="BMC67" s="94"/>
      <c r="BMD67" s="94"/>
      <c r="BME67" s="94"/>
      <c r="BMF67" s="94"/>
      <c r="BMG67" s="94"/>
      <c r="BMH67" s="94"/>
      <c r="BMI67" s="94"/>
      <c r="BMJ67" s="94"/>
      <c r="BMK67" s="94"/>
      <c r="BML67" s="94"/>
      <c r="BMM67" s="94"/>
      <c r="BMN67" s="94"/>
      <c r="BMO67" s="94"/>
      <c r="BMP67" s="94"/>
      <c r="BMQ67" s="94"/>
      <c r="BMR67" s="94"/>
      <c r="BMS67" s="94"/>
      <c r="BMT67" s="94"/>
      <c r="BMU67" s="94"/>
      <c r="BMV67" s="94"/>
      <c r="BMW67" s="94"/>
      <c r="BMX67" s="94"/>
      <c r="BMY67" s="94"/>
      <c r="BMZ67" s="94"/>
      <c r="BNA67" s="94"/>
      <c r="BNB67" s="94"/>
      <c r="BNC67" s="94"/>
      <c r="BND67" s="94"/>
      <c r="BNE67" s="94"/>
      <c r="BNF67" s="94"/>
      <c r="BNG67" s="94"/>
      <c r="BNH67" s="94"/>
      <c r="BNI67" s="94"/>
      <c r="BNJ67" s="94"/>
      <c r="BNK67" s="94"/>
      <c r="BNL67" s="94"/>
      <c r="BNM67" s="94"/>
      <c r="BNN67" s="94"/>
      <c r="BNO67" s="94"/>
      <c r="BNP67" s="94"/>
      <c r="BNQ67" s="94"/>
      <c r="BNR67" s="94"/>
      <c r="BNS67" s="94"/>
      <c r="BNT67" s="94"/>
      <c r="BNU67" s="94"/>
      <c r="BNV67" s="94"/>
      <c r="BNW67" s="94"/>
      <c r="BNX67" s="94"/>
      <c r="BNY67" s="94"/>
      <c r="BNZ67" s="94"/>
      <c r="BOA67" s="94"/>
      <c r="BOB67" s="94"/>
      <c r="BOC67" s="94"/>
      <c r="BOD67" s="94"/>
      <c r="BOE67" s="94"/>
      <c r="BOF67" s="94"/>
      <c r="BOG67" s="94"/>
      <c r="BOH67" s="94"/>
      <c r="BOI67" s="94"/>
      <c r="BOJ67" s="94"/>
      <c r="BOK67" s="94"/>
      <c r="BOL67" s="94"/>
      <c r="BOM67" s="94"/>
      <c r="BON67" s="94"/>
      <c r="BOO67" s="94"/>
      <c r="BOP67" s="94"/>
      <c r="BOQ67" s="94"/>
      <c r="BOR67" s="94"/>
      <c r="BOS67" s="94"/>
      <c r="BOT67" s="94"/>
      <c r="BOU67" s="94"/>
      <c r="BOV67" s="94"/>
      <c r="BOW67" s="94"/>
      <c r="BOX67" s="94"/>
      <c r="BOY67" s="94"/>
      <c r="BOZ67" s="94"/>
      <c r="BPA67" s="94"/>
      <c r="BPB67" s="94"/>
      <c r="BPC67" s="94"/>
      <c r="BPD67" s="94"/>
      <c r="BPE67" s="94"/>
      <c r="BPF67" s="94"/>
      <c r="BPG67" s="94"/>
      <c r="BPH67" s="94"/>
      <c r="BPI67" s="94"/>
      <c r="BPJ67" s="94"/>
      <c r="BPK67" s="94"/>
      <c r="BPL67" s="94"/>
      <c r="BPM67" s="94"/>
      <c r="BPN67" s="94"/>
      <c r="BPO67" s="94"/>
      <c r="BPP67" s="94"/>
      <c r="BPQ67" s="94"/>
      <c r="BPR67" s="94"/>
      <c r="BPS67" s="94"/>
      <c r="BPT67" s="94"/>
      <c r="BPU67" s="94"/>
      <c r="BPV67" s="94"/>
      <c r="BPW67" s="94"/>
      <c r="BPX67" s="94"/>
      <c r="BPY67" s="94"/>
      <c r="BPZ67" s="94"/>
      <c r="BQA67" s="94"/>
      <c r="BQB67" s="94"/>
      <c r="BQC67" s="94"/>
      <c r="BQD67" s="94"/>
      <c r="BQE67" s="94"/>
      <c r="BQF67" s="94"/>
      <c r="BQG67" s="94"/>
      <c r="BQH67" s="94"/>
      <c r="BQI67" s="94"/>
      <c r="BQJ67" s="94"/>
      <c r="BQK67" s="94"/>
      <c r="BQL67" s="94"/>
      <c r="BQM67" s="94"/>
      <c r="BQN67" s="94"/>
      <c r="BQO67" s="94"/>
      <c r="BQP67" s="94"/>
      <c r="BQQ67" s="94"/>
      <c r="BQR67" s="94"/>
      <c r="BQS67" s="94"/>
      <c r="BQT67" s="94"/>
      <c r="BQU67" s="94"/>
      <c r="BQV67" s="94"/>
      <c r="BQW67" s="94"/>
      <c r="BQX67" s="94"/>
      <c r="BQY67" s="94"/>
      <c r="BQZ67" s="94"/>
      <c r="BRA67" s="94"/>
      <c r="BRB67" s="94"/>
      <c r="BRC67" s="94"/>
      <c r="BRD67" s="94"/>
      <c r="BRE67" s="94"/>
      <c r="BRF67" s="94"/>
      <c r="BRG67" s="94"/>
      <c r="BRH67" s="94"/>
      <c r="BRI67" s="94"/>
      <c r="BRJ67" s="94"/>
      <c r="BRK67" s="94"/>
      <c r="BRL67" s="94"/>
      <c r="BRM67" s="94"/>
      <c r="BRN67" s="94"/>
      <c r="BRO67" s="94"/>
      <c r="BRP67" s="94"/>
      <c r="BRQ67" s="94"/>
      <c r="BRR67" s="94"/>
      <c r="BRS67" s="94"/>
      <c r="BRT67" s="94"/>
      <c r="BRU67" s="94"/>
      <c r="BRV67" s="94"/>
      <c r="BRW67" s="94"/>
      <c r="BRX67" s="94"/>
      <c r="BRY67" s="94"/>
      <c r="BRZ67" s="94"/>
      <c r="BSA67" s="94"/>
      <c r="BSB67" s="94"/>
      <c r="BSC67" s="94"/>
      <c r="BSD67" s="94"/>
      <c r="BSE67" s="94"/>
      <c r="BSF67" s="94"/>
      <c r="BSG67" s="94"/>
      <c r="BSH67" s="94"/>
      <c r="BSI67" s="94"/>
      <c r="BSJ67" s="94"/>
      <c r="BSK67" s="94"/>
      <c r="BSL67" s="94"/>
      <c r="BSM67" s="94"/>
      <c r="BSN67" s="94"/>
      <c r="BSO67" s="94"/>
      <c r="BSP67" s="94"/>
      <c r="BSQ67" s="94"/>
      <c r="BSR67" s="94"/>
      <c r="BSS67" s="94"/>
      <c r="BST67" s="94"/>
      <c r="BSU67" s="94"/>
      <c r="BSV67" s="94"/>
      <c r="BSW67" s="94"/>
      <c r="BSX67" s="94"/>
      <c r="BSY67" s="94"/>
      <c r="BSZ67" s="94"/>
      <c r="BTA67" s="94"/>
      <c r="BTB67" s="94"/>
      <c r="BTC67" s="94"/>
      <c r="BTD67" s="94"/>
      <c r="BTE67" s="94"/>
      <c r="BTF67" s="94"/>
      <c r="BTG67" s="94"/>
      <c r="BTH67" s="94"/>
      <c r="BTI67" s="94"/>
      <c r="BTJ67" s="94"/>
      <c r="BTK67" s="94"/>
      <c r="BTL67" s="94"/>
      <c r="BTM67" s="94"/>
      <c r="BTN67" s="94"/>
      <c r="BTO67" s="94"/>
      <c r="BTP67" s="94"/>
      <c r="BTQ67" s="94"/>
      <c r="BTR67" s="94"/>
      <c r="BTS67" s="94"/>
      <c r="BTT67" s="94"/>
      <c r="BTU67" s="94"/>
      <c r="BTV67" s="94"/>
      <c r="BTW67" s="94"/>
      <c r="BTX67" s="94"/>
      <c r="BTY67" s="94"/>
      <c r="BTZ67" s="94"/>
      <c r="BUA67" s="94"/>
      <c r="BUB67" s="94"/>
      <c r="BUC67" s="94"/>
      <c r="BUD67" s="94"/>
      <c r="BUE67" s="94"/>
      <c r="BUF67" s="94"/>
      <c r="BUG67" s="94"/>
      <c r="BUH67" s="94"/>
      <c r="BUI67" s="94"/>
      <c r="BUJ67" s="94"/>
      <c r="BUK67" s="94"/>
      <c r="BUL67" s="94"/>
      <c r="BUM67" s="94"/>
      <c r="BUN67" s="94"/>
      <c r="BUO67" s="94"/>
      <c r="BUP67" s="94"/>
      <c r="BUQ67" s="94"/>
      <c r="BUR67" s="94"/>
      <c r="BUS67" s="94"/>
      <c r="BUT67" s="94"/>
      <c r="BUU67" s="94"/>
      <c r="BUV67" s="94"/>
      <c r="BUW67" s="94"/>
      <c r="BUX67" s="94"/>
      <c r="BUY67" s="94"/>
      <c r="BUZ67" s="94"/>
      <c r="BVA67" s="94"/>
      <c r="BVB67" s="94"/>
      <c r="BVC67" s="94"/>
      <c r="BVD67" s="94"/>
      <c r="BVE67" s="94"/>
      <c r="BVF67" s="94"/>
      <c r="BVG67" s="94"/>
      <c r="BVH67" s="94"/>
      <c r="BVI67" s="94"/>
      <c r="BVJ67" s="94"/>
      <c r="BVK67" s="94"/>
      <c r="BVL67" s="94"/>
      <c r="BVM67" s="94"/>
      <c r="BVN67" s="94"/>
      <c r="BVO67" s="94"/>
      <c r="BVP67" s="94"/>
      <c r="BVQ67" s="94"/>
      <c r="BVR67" s="94"/>
      <c r="BVS67" s="94"/>
      <c r="BVT67" s="94"/>
      <c r="BVU67" s="94"/>
      <c r="BVV67" s="94"/>
      <c r="BVW67" s="94"/>
      <c r="BVX67" s="94"/>
      <c r="BVY67" s="94"/>
      <c r="BVZ67" s="94"/>
      <c r="BWA67" s="94"/>
      <c r="BWB67" s="94"/>
      <c r="BWC67" s="94"/>
      <c r="BWD67" s="94"/>
      <c r="BWE67" s="94"/>
      <c r="BWF67" s="94"/>
      <c r="BWG67" s="94"/>
      <c r="BWH67" s="94"/>
      <c r="BWI67" s="94"/>
      <c r="BWJ67" s="94"/>
      <c r="BWK67" s="94"/>
      <c r="BWL67" s="94"/>
      <c r="BWM67" s="94"/>
      <c r="BWN67" s="94"/>
      <c r="BWO67" s="94"/>
      <c r="BWP67" s="94"/>
      <c r="BWQ67" s="94"/>
      <c r="BWR67" s="94"/>
      <c r="BWS67" s="94"/>
      <c r="BWT67" s="94"/>
      <c r="BWU67" s="94"/>
      <c r="BWV67" s="94"/>
      <c r="BWW67" s="94"/>
      <c r="BWX67" s="94"/>
      <c r="BWY67" s="94"/>
      <c r="BWZ67" s="94"/>
      <c r="BXA67" s="94"/>
      <c r="BXB67" s="94"/>
      <c r="BXC67" s="94"/>
      <c r="BXD67" s="94"/>
      <c r="BXE67" s="94"/>
      <c r="BXF67" s="94"/>
      <c r="BXG67" s="94"/>
      <c r="BXH67" s="94"/>
      <c r="BXI67" s="94"/>
      <c r="BXJ67" s="94"/>
      <c r="BXK67" s="94"/>
      <c r="BXL67" s="94"/>
      <c r="BXM67" s="94"/>
      <c r="BXN67" s="94"/>
      <c r="BXO67" s="94"/>
      <c r="BXP67" s="94"/>
      <c r="BXQ67" s="94"/>
      <c r="BXR67" s="94"/>
      <c r="BXS67" s="94"/>
      <c r="BXT67" s="94"/>
      <c r="BXU67" s="94"/>
      <c r="BXV67" s="94"/>
      <c r="BXW67" s="94"/>
      <c r="BXX67" s="94"/>
      <c r="BXY67" s="94"/>
      <c r="BXZ67" s="94"/>
      <c r="BYA67" s="94"/>
      <c r="BYB67" s="94"/>
      <c r="BYC67" s="94"/>
      <c r="BYD67" s="94"/>
      <c r="BYE67" s="94"/>
      <c r="BYF67" s="94"/>
      <c r="BYG67" s="94"/>
    </row>
    <row r="68" spans="1:2009" s="94" customFormat="1" ht="9" customHeight="1" thickBot="1" x14ac:dyDescent="0.3">
      <c r="A68" s="661"/>
      <c r="B68" s="661"/>
      <c r="C68" s="430"/>
      <c r="D68" s="175"/>
      <c r="E68" s="175"/>
      <c r="F68" s="175"/>
      <c r="G68" s="638"/>
      <c r="H68" s="93"/>
      <c r="I68" s="547"/>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customHeight="1" x14ac:dyDescent="0.25">
      <c r="A69" s="802" t="s">
        <v>452</v>
      </c>
      <c r="B69" s="803"/>
      <c r="C69" s="809"/>
      <c r="D69" s="809"/>
      <c r="E69" s="823"/>
      <c r="F69" s="809"/>
      <c r="G69" s="821">
        <f>SUM(C69:F69)</f>
        <v>0</v>
      </c>
      <c r="H69" s="93"/>
      <c r="I69" s="547"/>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x14ac:dyDescent="0.25">
      <c r="A70" s="806" t="s">
        <v>400</v>
      </c>
      <c r="B70" s="807"/>
      <c r="C70" s="810">
        <v>10094.41</v>
      </c>
      <c r="D70" s="810">
        <v>10094.41</v>
      </c>
      <c r="E70" s="810"/>
      <c r="F70" s="810"/>
      <c r="G70" s="822">
        <f>SUM(C70:F70)</f>
        <v>20188.82</v>
      </c>
      <c r="H70" s="93"/>
      <c r="I70" s="547"/>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4" customFormat="1" ht="24.95" customHeight="1" thickBot="1" x14ac:dyDescent="0.3">
      <c r="A71" s="804"/>
      <c r="B71" s="808" t="s">
        <v>451</v>
      </c>
      <c r="C71" s="810">
        <f>C69+C70</f>
        <v>10094.41</v>
      </c>
      <c r="D71" s="810">
        <f>D69+D70</f>
        <v>10094.41</v>
      </c>
      <c r="E71" s="810"/>
      <c r="F71" s="810"/>
      <c r="G71" s="805">
        <f>SUM(C71:F71)</f>
        <v>20188.82</v>
      </c>
      <c r="H71" s="93"/>
      <c r="I71" s="547"/>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2009" s="95" customFormat="1" ht="12.75" customHeight="1" thickBot="1" x14ac:dyDescent="0.3">
      <c r="A72" s="119"/>
      <c r="B72" s="119"/>
      <c r="C72" s="170"/>
      <c r="D72" s="170"/>
      <c r="E72" s="170"/>
      <c r="F72" s="170"/>
      <c r="G72" s="648"/>
      <c r="H72" s="93"/>
      <c r="I72" s="547"/>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226" customFormat="1" ht="24.95" customHeight="1" thickBot="1" x14ac:dyDescent="0.3">
      <c r="A73" s="225"/>
      <c r="B73" s="455" t="s">
        <v>607</v>
      </c>
      <c r="C73" s="278">
        <f>SUM(C8+C14+C23+C27+C32+C44+C56)+C36+C51+C60+C62+C58+C67+C65+C71</f>
        <v>158769.66999999998</v>
      </c>
      <c r="D73" s="278">
        <f>SUM(D8+D14+D23+D27+D32+D44+D56)+D36+D51+D60+D62+D58+D67+D65+D71+D64</f>
        <v>97851.62</v>
      </c>
      <c r="E73" s="278">
        <f>SUM(E8+E14+E23+E27+E32+E44+E56)+E36+E51+E60+E62+E65+E71</f>
        <v>59309.73</v>
      </c>
      <c r="F73" s="278">
        <f>SUM(F8+F14+F23+F27+F32+F44+F56)+F36+F51+F60+F65+F71+F62</f>
        <v>44057.07</v>
      </c>
      <c r="G73" s="660">
        <f>SUM(G8+G14+G23+G27+G32+G44+G56)+G36+G51+G60+G62+G58+G67+G65+G71+G64</f>
        <v>360388.08999999997</v>
      </c>
      <c r="H73" s="195"/>
      <c r="I73" s="547"/>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row>
    <row r="74" spans="1:2009" s="196" customFormat="1" ht="9" customHeight="1" x14ac:dyDescent="0.25">
      <c r="A74" s="679"/>
      <c r="B74" s="680"/>
      <c r="C74" s="681"/>
      <c r="D74" s="681"/>
      <c r="E74" s="681"/>
      <c r="F74" s="681"/>
      <c r="G74" s="682"/>
      <c r="H74" s="195"/>
      <c r="I74" s="547"/>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row>
    <row r="75" spans="1:2009" s="95" customFormat="1" ht="22.5" customHeight="1" x14ac:dyDescent="0.25">
      <c r="A75" s="121"/>
      <c r="B75" s="677" t="s">
        <v>359</v>
      </c>
      <c r="C75" s="678">
        <f>C73/G$73</f>
        <v>0.44055193388882524</v>
      </c>
      <c r="D75" s="678">
        <f>D73/$G73</f>
        <v>0.27151735230761925</v>
      </c>
      <c r="E75" s="678">
        <f t="shared" ref="E75:G75" si="4">E73/$G73</f>
        <v>0.16457183698828673</v>
      </c>
      <c r="F75" s="678">
        <f t="shared" si="4"/>
        <v>0.1222489622229192</v>
      </c>
      <c r="G75" s="678">
        <f t="shared" si="4"/>
        <v>1</v>
      </c>
      <c r="H75" s="93"/>
      <c r="I75" s="547"/>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s="95" customFormat="1" ht="10.5" customHeight="1" x14ac:dyDescent="0.25">
      <c r="A76" s="121"/>
      <c r="B76" s="121"/>
      <c r="C76" s="190"/>
      <c r="D76" s="190"/>
      <c r="E76" s="190"/>
      <c r="F76" s="190"/>
      <c r="G76" s="658"/>
      <c r="H76" s="93"/>
      <c r="I76" s="547"/>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c r="LT76" s="94"/>
      <c r="LU76" s="94"/>
      <c r="LV76" s="94"/>
      <c r="LW76" s="94"/>
      <c r="LX76" s="94"/>
      <c r="LY76" s="94"/>
      <c r="LZ76" s="94"/>
      <c r="MA76" s="94"/>
      <c r="MB76" s="94"/>
      <c r="MC76" s="94"/>
      <c r="MD76" s="94"/>
      <c r="ME76" s="94"/>
      <c r="MF76" s="94"/>
      <c r="MG76" s="94"/>
      <c r="MH76" s="94"/>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4"/>
      <c r="SD76" s="94"/>
      <c r="SE76" s="94"/>
      <c r="SF76" s="94"/>
      <c r="SG76" s="94"/>
      <c r="SH76" s="94"/>
      <c r="SI76" s="94"/>
      <c r="SJ76" s="94"/>
      <c r="SK76" s="94"/>
      <c r="SL76" s="94"/>
      <c r="SM76" s="94"/>
      <c r="SN76" s="94"/>
      <c r="SO76" s="94"/>
      <c r="SP76" s="94"/>
      <c r="SQ76" s="94"/>
      <c r="SR76" s="94"/>
      <c r="SS76" s="94"/>
      <c r="ST76" s="94"/>
      <c r="SU76" s="94"/>
      <c r="SV76" s="94"/>
      <c r="SW76" s="94"/>
      <c r="SX76" s="94"/>
      <c r="SY76" s="94"/>
      <c r="SZ76" s="94"/>
      <c r="TA76" s="94"/>
      <c r="TB76" s="94"/>
      <c r="TC76" s="94"/>
      <c r="TD76" s="94"/>
      <c r="TE76" s="94"/>
      <c r="TF76" s="94"/>
      <c r="TG76" s="94"/>
      <c r="TH76" s="94"/>
      <c r="TI76" s="94"/>
      <c r="TJ76" s="94"/>
      <c r="TK76" s="94"/>
      <c r="TL76" s="94"/>
      <c r="TM76" s="94"/>
      <c r="TN76" s="94"/>
      <c r="TO76" s="94"/>
      <c r="TP76" s="94"/>
      <c r="TQ76" s="94"/>
      <c r="TR76" s="94"/>
      <c r="TS76" s="94"/>
      <c r="TT76" s="94"/>
      <c r="TU76" s="94"/>
      <c r="TV76" s="94"/>
      <c r="TW76" s="94"/>
      <c r="TX76" s="94"/>
      <c r="TY76" s="94"/>
      <c r="TZ76" s="94"/>
      <c r="UA76" s="94"/>
      <c r="UB76" s="94"/>
      <c r="UC76" s="94"/>
      <c r="UD76" s="94"/>
      <c r="UE76" s="94"/>
      <c r="UF76" s="94"/>
      <c r="UG76" s="94"/>
      <c r="UH76" s="94"/>
      <c r="UI76" s="94"/>
      <c r="UJ76" s="94"/>
      <c r="UK76" s="94"/>
      <c r="UL76" s="94"/>
      <c r="UM76" s="94"/>
      <c r="UN76" s="94"/>
      <c r="UO76" s="94"/>
      <c r="UP76" s="94"/>
      <c r="UQ76" s="94"/>
      <c r="UR76" s="94"/>
      <c r="US76" s="94"/>
      <c r="UT76" s="94"/>
      <c r="UU76" s="94"/>
      <c r="UV76" s="94"/>
      <c r="UW76" s="94"/>
      <c r="UX76" s="94"/>
      <c r="UY76" s="94"/>
      <c r="UZ76" s="94"/>
      <c r="VA76" s="94"/>
      <c r="VB76" s="94"/>
      <c r="VC76" s="94"/>
      <c r="VD76" s="94"/>
      <c r="VE76" s="94"/>
      <c r="VF76" s="94"/>
      <c r="VG76" s="94"/>
      <c r="VH76" s="94"/>
      <c r="VI76" s="94"/>
      <c r="VJ76" s="94"/>
      <c r="VK76" s="94"/>
      <c r="VL76" s="94"/>
      <c r="VM76" s="94"/>
      <c r="VN76" s="94"/>
      <c r="VO76" s="94"/>
      <c r="VP76" s="94"/>
      <c r="VQ76" s="94"/>
      <c r="VR76" s="94"/>
      <c r="VS76" s="94"/>
      <c r="VT76" s="94"/>
      <c r="VU76" s="94"/>
      <c r="VV76" s="94"/>
      <c r="VW76" s="94"/>
      <c r="VX76" s="94"/>
      <c r="VY76" s="94"/>
      <c r="VZ76" s="94"/>
      <c r="WA76" s="94"/>
      <c r="WB76" s="94"/>
      <c r="WC76" s="94"/>
      <c r="WD76" s="94"/>
      <c r="WE76" s="94"/>
      <c r="WF76" s="94"/>
      <c r="WG76" s="94"/>
      <c r="WH76" s="94"/>
      <c r="WI76" s="94"/>
      <c r="WJ76" s="94"/>
      <c r="WK76" s="94"/>
      <c r="WL76" s="94"/>
      <c r="WM76" s="94"/>
      <c r="WN76" s="94"/>
      <c r="WO76" s="94"/>
      <c r="WP76" s="94"/>
      <c r="WQ76" s="94"/>
      <c r="WR76" s="94"/>
      <c r="WS76" s="94"/>
      <c r="WT76" s="94"/>
      <c r="WU76" s="94"/>
      <c r="WV76" s="94"/>
      <c r="WW76" s="94"/>
      <c r="WX76" s="94"/>
      <c r="WY76" s="94"/>
      <c r="WZ76" s="94"/>
      <c r="XA76" s="94"/>
      <c r="XB76" s="94"/>
      <c r="XC76" s="94"/>
      <c r="XD76" s="94"/>
      <c r="XE76" s="94"/>
      <c r="XF76" s="94"/>
      <c r="XG76" s="94"/>
      <c r="XH76" s="94"/>
      <c r="XI76" s="94"/>
      <c r="XJ76" s="94"/>
      <c r="XK76" s="94"/>
      <c r="XL76" s="94"/>
      <c r="XM76" s="94"/>
      <c r="XN76" s="94"/>
      <c r="XO76" s="94"/>
      <c r="XP76" s="94"/>
      <c r="XQ76" s="94"/>
      <c r="XR76" s="94"/>
      <c r="XS76" s="94"/>
      <c r="XT76" s="94"/>
      <c r="XU76" s="94"/>
      <c r="XV76" s="94"/>
      <c r="XW76" s="94"/>
      <c r="XX76" s="94"/>
      <c r="XY76" s="94"/>
      <c r="XZ76" s="94"/>
      <c r="YA76" s="94"/>
      <c r="YB76" s="94"/>
      <c r="YC76" s="94"/>
      <c r="YD76" s="94"/>
      <c r="YE76" s="94"/>
      <c r="YF76" s="94"/>
      <c r="YG76" s="94"/>
      <c r="YH76" s="94"/>
      <c r="YI76" s="94"/>
      <c r="YJ76" s="94"/>
      <c r="YK76" s="94"/>
      <c r="YL76" s="94"/>
      <c r="YM76" s="94"/>
      <c r="YN76" s="94"/>
      <c r="YO76" s="94"/>
      <c r="YP76" s="94"/>
      <c r="YQ76" s="94"/>
      <c r="YR76" s="94"/>
      <c r="YS76" s="94"/>
      <c r="YT76" s="94"/>
      <c r="YU76" s="94"/>
      <c r="YV76" s="94"/>
      <c r="YW76" s="94"/>
      <c r="YX76" s="94"/>
      <c r="YY76" s="94"/>
      <c r="YZ76" s="94"/>
      <c r="ZA76" s="94"/>
      <c r="ZB76" s="94"/>
      <c r="ZC76" s="94"/>
      <c r="ZD76" s="94"/>
      <c r="ZE76" s="94"/>
      <c r="ZF76" s="94"/>
      <c r="ZG76" s="94"/>
      <c r="ZH76" s="94"/>
      <c r="ZI76" s="94"/>
      <c r="ZJ76" s="94"/>
      <c r="ZK76" s="94"/>
      <c r="ZL76" s="94"/>
      <c r="ZM76" s="94"/>
      <c r="ZN76" s="94"/>
      <c r="ZO76" s="94"/>
      <c r="ZP76" s="94"/>
      <c r="ZQ76" s="94"/>
      <c r="ZR76" s="94"/>
      <c r="ZS76" s="94"/>
      <c r="ZT76" s="94"/>
      <c r="ZU76" s="94"/>
      <c r="ZV76" s="94"/>
      <c r="ZW76" s="94"/>
      <c r="ZX76" s="94"/>
      <c r="ZY76" s="94"/>
      <c r="ZZ76" s="94"/>
      <c r="AAA76" s="94"/>
      <c r="AAB76" s="94"/>
      <c r="AAC76" s="94"/>
      <c r="AAD76" s="94"/>
      <c r="AAE76" s="94"/>
      <c r="AAF76" s="94"/>
      <c r="AAG76" s="94"/>
      <c r="AAH76" s="94"/>
      <c r="AAI76" s="94"/>
      <c r="AAJ76" s="94"/>
      <c r="AAK76" s="94"/>
      <c r="AAL76" s="94"/>
      <c r="AAM76" s="94"/>
      <c r="AAN76" s="94"/>
      <c r="AAO76" s="94"/>
      <c r="AAP76" s="94"/>
      <c r="AAQ76" s="94"/>
      <c r="AAR76" s="94"/>
      <c r="AAS76" s="94"/>
      <c r="AAT76" s="94"/>
      <c r="AAU76" s="94"/>
      <c r="AAV76" s="94"/>
      <c r="AAW76" s="94"/>
      <c r="AAX76" s="94"/>
      <c r="AAY76" s="94"/>
      <c r="AAZ76" s="94"/>
      <c r="ABA76" s="94"/>
      <c r="ABB76" s="94"/>
      <c r="ABC76" s="94"/>
      <c r="ABD76" s="94"/>
      <c r="ABE76" s="94"/>
      <c r="ABF76" s="94"/>
      <c r="ABG76" s="94"/>
      <c r="ABH76" s="94"/>
      <c r="ABI76" s="94"/>
      <c r="ABJ76" s="94"/>
      <c r="ABK76" s="94"/>
      <c r="ABL76" s="94"/>
      <c r="ABM76" s="94"/>
      <c r="ABN76" s="94"/>
      <c r="ABO76" s="94"/>
      <c r="ABP76" s="94"/>
      <c r="ABQ76" s="94"/>
      <c r="ABR76" s="94"/>
      <c r="ABS76" s="94"/>
      <c r="ABT76" s="94"/>
      <c r="ABU76" s="94"/>
      <c r="ABV76" s="94"/>
      <c r="ABW76" s="94"/>
      <c r="ABX76" s="94"/>
      <c r="ABY76" s="94"/>
      <c r="ABZ76" s="94"/>
      <c r="ACA76" s="94"/>
      <c r="ACB76" s="94"/>
      <c r="ACC76" s="94"/>
      <c r="ACD76" s="94"/>
      <c r="ACE76" s="94"/>
      <c r="ACF76" s="94"/>
      <c r="ACG76" s="94"/>
      <c r="ACH76" s="94"/>
      <c r="ACI76" s="94"/>
      <c r="ACJ76" s="94"/>
      <c r="ACK76" s="94"/>
      <c r="ACL76" s="94"/>
      <c r="ACM76" s="94"/>
      <c r="ACN76" s="94"/>
      <c r="ACO76" s="94"/>
      <c r="ACP76" s="94"/>
      <c r="ACQ76" s="94"/>
      <c r="ACR76" s="94"/>
      <c r="ACS76" s="94"/>
      <c r="ACT76" s="94"/>
      <c r="ACU76" s="94"/>
      <c r="ACV76" s="94"/>
      <c r="ACW76" s="94"/>
      <c r="ACX76" s="94"/>
      <c r="ACY76" s="94"/>
      <c r="ACZ76" s="94"/>
      <c r="ADA76" s="94"/>
      <c r="ADB76" s="94"/>
      <c r="ADC76" s="94"/>
      <c r="ADD76" s="94"/>
      <c r="ADE76" s="94"/>
      <c r="ADF76" s="94"/>
      <c r="ADG76" s="94"/>
      <c r="ADH76" s="94"/>
      <c r="ADI76" s="94"/>
      <c r="ADJ76" s="94"/>
      <c r="ADK76" s="94"/>
      <c r="ADL76" s="94"/>
      <c r="ADM76" s="94"/>
      <c r="ADN76" s="94"/>
      <c r="ADO76" s="94"/>
      <c r="ADP76" s="94"/>
      <c r="ADQ76" s="94"/>
      <c r="ADR76" s="94"/>
      <c r="ADS76" s="94"/>
      <c r="ADT76" s="94"/>
      <c r="ADU76" s="94"/>
      <c r="ADV76" s="94"/>
      <c r="ADW76" s="94"/>
      <c r="ADX76" s="94"/>
      <c r="ADY76" s="94"/>
      <c r="ADZ76" s="94"/>
      <c r="AEA76" s="94"/>
      <c r="AEB76" s="94"/>
      <c r="AEC76" s="94"/>
      <c r="AED76" s="94"/>
      <c r="AEE76" s="94"/>
      <c r="AEF76" s="94"/>
      <c r="AEG76" s="94"/>
      <c r="AEH76" s="94"/>
      <c r="AEI76" s="94"/>
      <c r="AEJ76" s="94"/>
      <c r="AEK76" s="94"/>
      <c r="AEL76" s="94"/>
      <c r="AEM76" s="94"/>
      <c r="AEN76" s="94"/>
      <c r="AEO76" s="94"/>
      <c r="AEP76" s="94"/>
      <c r="AEQ76" s="94"/>
      <c r="AER76" s="94"/>
      <c r="AES76" s="94"/>
      <c r="AET76" s="94"/>
      <c r="AEU76" s="94"/>
      <c r="AEV76" s="94"/>
      <c r="AEW76" s="94"/>
      <c r="AEX76" s="94"/>
      <c r="AEY76" s="94"/>
      <c r="AEZ76" s="94"/>
      <c r="AFA76" s="94"/>
      <c r="AFB76" s="94"/>
      <c r="AFC76" s="94"/>
      <c r="AFD76" s="94"/>
      <c r="AFE76" s="94"/>
      <c r="AFF76" s="94"/>
      <c r="AFG76" s="94"/>
      <c r="AFH76" s="94"/>
      <c r="AFI76" s="94"/>
      <c r="AFJ76" s="94"/>
      <c r="AFK76" s="94"/>
      <c r="AFL76" s="94"/>
      <c r="AFM76" s="94"/>
      <c r="AFN76" s="94"/>
      <c r="AFO76" s="94"/>
      <c r="AFP76" s="94"/>
      <c r="AFQ76" s="94"/>
      <c r="AFR76" s="94"/>
      <c r="AFS76" s="94"/>
      <c r="AFT76" s="94"/>
      <c r="AFU76" s="94"/>
      <c r="AFV76" s="94"/>
      <c r="AFW76" s="94"/>
      <c r="AFX76" s="94"/>
      <c r="AFY76" s="94"/>
      <c r="AFZ76" s="94"/>
      <c r="AGA76" s="94"/>
      <c r="AGB76" s="94"/>
      <c r="AGC76" s="94"/>
      <c r="AGD76" s="94"/>
      <c r="AGE76" s="94"/>
      <c r="AGF76" s="94"/>
      <c r="AGG76" s="94"/>
      <c r="AGH76" s="94"/>
      <c r="AGI76" s="94"/>
      <c r="AGJ76" s="94"/>
      <c r="AGK76" s="94"/>
      <c r="AGL76" s="94"/>
      <c r="AGM76" s="94"/>
      <c r="AGN76" s="94"/>
      <c r="AGO76" s="94"/>
      <c r="AGP76" s="94"/>
      <c r="AGQ76" s="94"/>
      <c r="AGR76" s="94"/>
      <c r="AGS76" s="94"/>
      <c r="AGT76" s="94"/>
      <c r="AGU76" s="94"/>
      <c r="AGV76" s="94"/>
      <c r="AGW76" s="94"/>
      <c r="AGX76" s="94"/>
      <c r="AGY76" s="94"/>
      <c r="AGZ76" s="94"/>
      <c r="AHA76" s="94"/>
      <c r="AHB76" s="94"/>
      <c r="AHC76" s="94"/>
      <c r="AHD76" s="94"/>
      <c r="AHE76" s="94"/>
      <c r="AHF76" s="94"/>
      <c r="AHG76" s="94"/>
      <c r="AHH76" s="94"/>
      <c r="AHI76" s="94"/>
      <c r="AHJ76" s="94"/>
      <c r="AHK76" s="94"/>
      <c r="AHL76" s="94"/>
      <c r="AHM76" s="94"/>
      <c r="AHN76" s="94"/>
      <c r="AHO76" s="94"/>
      <c r="AHP76" s="94"/>
      <c r="AHQ76" s="94"/>
      <c r="AHR76" s="94"/>
      <c r="AHS76" s="94"/>
      <c r="AHT76" s="94"/>
      <c r="AHU76" s="94"/>
      <c r="AHV76" s="94"/>
      <c r="AHW76" s="94"/>
      <c r="AHX76" s="94"/>
      <c r="AHY76" s="94"/>
      <c r="AHZ76" s="94"/>
      <c r="AIA76" s="94"/>
      <c r="AIB76" s="94"/>
      <c r="AIC76" s="94"/>
      <c r="AID76" s="94"/>
      <c r="AIE76" s="94"/>
      <c r="AIF76" s="94"/>
      <c r="AIG76" s="94"/>
      <c r="AIH76" s="94"/>
      <c r="AII76" s="94"/>
      <c r="AIJ76" s="94"/>
      <c r="AIK76" s="94"/>
      <c r="AIL76" s="94"/>
      <c r="AIM76" s="94"/>
      <c r="AIN76" s="94"/>
      <c r="AIO76" s="94"/>
      <c r="AIP76" s="94"/>
      <c r="AIQ76" s="94"/>
      <c r="AIR76" s="94"/>
      <c r="AIS76" s="94"/>
      <c r="AIT76" s="94"/>
      <c r="AIU76" s="94"/>
      <c r="AIV76" s="94"/>
      <c r="AIW76" s="94"/>
      <c r="AIX76" s="94"/>
      <c r="AIY76" s="94"/>
      <c r="AIZ76" s="94"/>
      <c r="AJA76" s="94"/>
      <c r="AJB76" s="94"/>
      <c r="AJC76" s="94"/>
      <c r="AJD76" s="94"/>
      <c r="AJE76" s="94"/>
      <c r="AJF76" s="94"/>
      <c r="AJG76" s="94"/>
      <c r="AJH76" s="94"/>
      <c r="AJI76" s="94"/>
      <c r="AJJ76" s="94"/>
      <c r="AJK76" s="94"/>
      <c r="AJL76" s="94"/>
      <c r="AJM76" s="94"/>
      <c r="AJN76" s="94"/>
      <c r="AJO76" s="94"/>
      <c r="AJP76" s="94"/>
      <c r="AJQ76" s="94"/>
      <c r="AJR76" s="94"/>
      <c r="AJS76" s="94"/>
      <c r="AJT76" s="94"/>
      <c r="AJU76" s="94"/>
      <c r="AJV76" s="94"/>
      <c r="AJW76" s="94"/>
      <c r="AJX76" s="94"/>
      <c r="AJY76" s="94"/>
      <c r="AJZ76" s="94"/>
      <c r="AKA76" s="94"/>
      <c r="AKB76" s="94"/>
      <c r="AKC76" s="94"/>
      <c r="AKD76" s="94"/>
      <c r="AKE76" s="94"/>
      <c r="AKF76" s="94"/>
      <c r="AKG76" s="94"/>
      <c r="AKH76" s="94"/>
      <c r="AKI76" s="94"/>
      <c r="AKJ76" s="94"/>
      <c r="AKK76" s="94"/>
      <c r="AKL76" s="94"/>
      <c r="AKM76" s="94"/>
      <c r="AKN76" s="94"/>
      <c r="AKO76" s="94"/>
      <c r="AKP76" s="94"/>
      <c r="AKQ76" s="94"/>
      <c r="AKR76" s="94"/>
      <c r="AKS76" s="94"/>
      <c r="AKT76" s="94"/>
      <c r="AKU76" s="94"/>
      <c r="AKV76" s="94"/>
      <c r="AKW76" s="94"/>
      <c r="AKX76" s="94"/>
      <c r="AKY76" s="94"/>
      <c r="AKZ76" s="94"/>
      <c r="ALA76" s="94"/>
      <c r="ALB76" s="94"/>
      <c r="ALC76" s="94"/>
      <c r="ALD76" s="94"/>
      <c r="ALE76" s="94"/>
      <c r="ALF76" s="94"/>
      <c r="ALG76" s="94"/>
      <c r="ALH76" s="94"/>
      <c r="ALI76" s="94"/>
      <c r="ALJ76" s="94"/>
      <c r="ALK76" s="94"/>
      <c r="ALL76" s="94"/>
      <c r="ALM76" s="94"/>
      <c r="ALN76" s="94"/>
      <c r="ALO76" s="94"/>
      <c r="ALP76" s="94"/>
      <c r="ALQ76" s="94"/>
      <c r="ALR76" s="94"/>
      <c r="ALS76" s="94"/>
      <c r="ALT76" s="94"/>
      <c r="ALU76" s="94"/>
      <c r="ALV76" s="94"/>
      <c r="ALW76" s="94"/>
      <c r="ALX76" s="94"/>
      <c r="ALY76" s="94"/>
      <c r="ALZ76" s="94"/>
      <c r="AMA76" s="94"/>
      <c r="AMB76" s="94"/>
      <c r="AMC76" s="94"/>
      <c r="AMD76" s="94"/>
      <c r="AME76" s="94"/>
      <c r="AMF76" s="94"/>
      <c r="AMG76" s="94"/>
      <c r="AMH76" s="94"/>
      <c r="AMI76" s="94"/>
      <c r="AMJ76" s="94"/>
      <c r="AMK76" s="94"/>
      <c r="AML76" s="94"/>
      <c r="AMM76" s="94"/>
      <c r="AMN76" s="94"/>
      <c r="AMO76" s="94"/>
      <c r="AMP76" s="94"/>
      <c r="AMQ76" s="94"/>
      <c r="AMR76" s="94"/>
      <c r="AMS76" s="94"/>
      <c r="AMT76" s="94"/>
      <c r="AMU76" s="94"/>
      <c r="AMV76" s="94"/>
      <c r="AMW76" s="94"/>
      <c r="AMX76" s="94"/>
      <c r="AMY76" s="94"/>
      <c r="AMZ76" s="94"/>
      <c r="ANA76" s="94"/>
      <c r="ANB76" s="94"/>
      <c r="ANC76" s="94"/>
      <c r="AND76" s="94"/>
      <c r="ANE76" s="94"/>
      <c r="ANF76" s="94"/>
      <c r="ANG76" s="94"/>
      <c r="ANH76" s="94"/>
      <c r="ANI76" s="94"/>
      <c r="ANJ76" s="94"/>
      <c r="ANK76" s="94"/>
      <c r="ANL76" s="94"/>
      <c r="ANM76" s="94"/>
      <c r="ANN76" s="94"/>
      <c r="ANO76" s="94"/>
      <c r="ANP76" s="94"/>
      <c r="ANQ76" s="94"/>
      <c r="ANR76" s="94"/>
      <c r="ANS76" s="94"/>
      <c r="ANT76" s="94"/>
      <c r="ANU76" s="94"/>
      <c r="ANV76" s="94"/>
      <c r="ANW76" s="94"/>
      <c r="ANX76" s="94"/>
      <c r="ANY76" s="94"/>
      <c r="ANZ76" s="94"/>
      <c r="AOA76" s="94"/>
      <c r="AOB76" s="94"/>
      <c r="AOC76" s="94"/>
      <c r="AOD76" s="94"/>
      <c r="AOE76" s="94"/>
      <c r="AOF76" s="94"/>
      <c r="AOG76" s="94"/>
      <c r="AOH76" s="94"/>
      <c r="AOI76" s="94"/>
      <c r="AOJ76" s="94"/>
      <c r="AOK76" s="94"/>
      <c r="AOL76" s="94"/>
      <c r="AOM76" s="94"/>
      <c r="AON76" s="94"/>
      <c r="AOO76" s="94"/>
      <c r="AOP76" s="94"/>
      <c r="AOQ76" s="94"/>
      <c r="AOR76" s="94"/>
      <c r="AOS76" s="94"/>
      <c r="AOT76" s="94"/>
      <c r="AOU76" s="94"/>
      <c r="AOV76" s="94"/>
      <c r="AOW76" s="94"/>
      <c r="AOX76" s="94"/>
      <c r="AOY76" s="94"/>
      <c r="AOZ76" s="94"/>
      <c r="APA76" s="94"/>
      <c r="APB76" s="94"/>
      <c r="APC76" s="94"/>
      <c r="APD76" s="94"/>
      <c r="APE76" s="94"/>
      <c r="APF76" s="94"/>
      <c r="APG76" s="94"/>
      <c r="APH76" s="94"/>
      <c r="API76" s="94"/>
      <c r="APJ76" s="94"/>
      <c r="APK76" s="94"/>
      <c r="APL76" s="94"/>
      <c r="APM76" s="94"/>
      <c r="APN76" s="94"/>
      <c r="APO76" s="94"/>
      <c r="APP76" s="94"/>
      <c r="APQ76" s="94"/>
      <c r="APR76" s="94"/>
      <c r="APS76" s="94"/>
      <c r="APT76" s="94"/>
      <c r="APU76" s="94"/>
      <c r="APV76" s="94"/>
      <c r="APW76" s="94"/>
      <c r="APX76" s="94"/>
      <c r="APY76" s="94"/>
      <c r="APZ76" s="94"/>
      <c r="AQA76" s="94"/>
      <c r="AQB76" s="94"/>
      <c r="AQC76" s="94"/>
      <c r="AQD76" s="94"/>
      <c r="AQE76" s="94"/>
      <c r="AQF76" s="94"/>
      <c r="AQG76" s="94"/>
      <c r="AQH76" s="94"/>
      <c r="AQI76" s="94"/>
      <c r="AQJ76" s="94"/>
      <c r="AQK76" s="94"/>
      <c r="AQL76" s="94"/>
      <c r="AQM76" s="94"/>
      <c r="AQN76" s="94"/>
      <c r="AQO76" s="94"/>
      <c r="AQP76" s="94"/>
      <c r="AQQ76" s="94"/>
      <c r="AQR76" s="94"/>
      <c r="AQS76" s="94"/>
      <c r="AQT76" s="94"/>
      <c r="AQU76" s="94"/>
      <c r="AQV76" s="94"/>
      <c r="AQW76" s="94"/>
      <c r="AQX76" s="94"/>
      <c r="AQY76" s="94"/>
      <c r="AQZ76" s="94"/>
      <c r="ARA76" s="94"/>
      <c r="ARB76" s="94"/>
      <c r="ARC76" s="94"/>
      <c r="ARD76" s="94"/>
      <c r="ARE76" s="94"/>
      <c r="ARF76" s="94"/>
      <c r="ARG76" s="94"/>
      <c r="ARH76" s="94"/>
      <c r="ARI76" s="94"/>
      <c r="ARJ76" s="94"/>
      <c r="ARK76" s="94"/>
      <c r="ARL76" s="94"/>
      <c r="ARM76" s="94"/>
      <c r="ARN76" s="94"/>
      <c r="ARO76" s="94"/>
      <c r="ARP76" s="94"/>
      <c r="ARQ76" s="94"/>
      <c r="ARR76" s="94"/>
      <c r="ARS76" s="94"/>
      <c r="ART76" s="94"/>
      <c r="ARU76" s="94"/>
      <c r="ARV76" s="94"/>
      <c r="ARW76" s="94"/>
      <c r="ARX76" s="94"/>
      <c r="ARY76" s="94"/>
      <c r="ARZ76" s="94"/>
      <c r="ASA76" s="94"/>
      <c r="ASB76" s="94"/>
      <c r="ASC76" s="94"/>
      <c r="ASD76" s="94"/>
      <c r="ASE76" s="94"/>
      <c r="ASF76" s="94"/>
      <c r="ASG76" s="94"/>
      <c r="ASH76" s="94"/>
      <c r="ASI76" s="94"/>
      <c r="ASJ76" s="94"/>
      <c r="ASK76" s="94"/>
      <c r="ASL76" s="94"/>
      <c r="ASM76" s="94"/>
      <c r="ASN76" s="94"/>
      <c r="ASO76" s="94"/>
      <c r="ASP76" s="94"/>
      <c r="ASQ76" s="94"/>
      <c r="ASR76" s="94"/>
      <c r="ASS76" s="94"/>
      <c r="AST76" s="94"/>
      <c r="ASU76" s="94"/>
      <c r="ASV76" s="94"/>
      <c r="ASW76" s="94"/>
      <c r="ASX76" s="94"/>
      <c r="ASY76" s="94"/>
      <c r="ASZ76" s="94"/>
      <c r="ATA76" s="94"/>
      <c r="ATB76" s="94"/>
      <c r="ATC76" s="94"/>
      <c r="ATD76" s="94"/>
      <c r="ATE76" s="94"/>
      <c r="ATF76" s="94"/>
      <c r="ATG76" s="94"/>
      <c r="ATH76" s="94"/>
      <c r="ATI76" s="94"/>
      <c r="ATJ76" s="94"/>
      <c r="ATK76" s="94"/>
      <c r="ATL76" s="94"/>
      <c r="ATM76" s="94"/>
      <c r="ATN76" s="94"/>
      <c r="ATO76" s="94"/>
      <c r="ATP76" s="94"/>
      <c r="ATQ76" s="94"/>
      <c r="ATR76" s="94"/>
      <c r="ATS76" s="94"/>
      <c r="ATT76" s="94"/>
      <c r="ATU76" s="94"/>
      <c r="ATV76" s="94"/>
      <c r="ATW76" s="94"/>
      <c r="ATX76" s="94"/>
      <c r="ATY76" s="94"/>
      <c r="ATZ76" s="94"/>
      <c r="AUA76" s="94"/>
      <c r="AUB76" s="94"/>
      <c r="AUC76" s="94"/>
      <c r="AUD76" s="94"/>
      <c r="AUE76" s="94"/>
      <c r="AUF76" s="94"/>
      <c r="AUG76" s="94"/>
      <c r="AUH76" s="94"/>
      <c r="AUI76" s="94"/>
      <c r="AUJ76" s="94"/>
      <c r="AUK76" s="94"/>
      <c r="AUL76" s="94"/>
      <c r="AUM76" s="94"/>
      <c r="AUN76" s="94"/>
      <c r="AUO76" s="94"/>
      <c r="AUP76" s="94"/>
      <c r="AUQ76" s="94"/>
      <c r="AUR76" s="94"/>
      <c r="AUS76" s="94"/>
      <c r="AUT76" s="94"/>
      <c r="AUU76" s="94"/>
      <c r="AUV76" s="94"/>
      <c r="AUW76" s="94"/>
      <c r="AUX76" s="94"/>
      <c r="AUY76" s="94"/>
      <c r="AUZ76" s="94"/>
      <c r="AVA76" s="94"/>
      <c r="AVB76" s="94"/>
      <c r="AVC76" s="94"/>
      <c r="AVD76" s="94"/>
      <c r="AVE76" s="94"/>
      <c r="AVF76" s="94"/>
      <c r="AVG76" s="94"/>
      <c r="AVH76" s="94"/>
      <c r="AVI76" s="94"/>
      <c r="AVJ76" s="94"/>
      <c r="AVK76" s="94"/>
      <c r="AVL76" s="94"/>
      <c r="AVM76" s="94"/>
      <c r="AVN76" s="94"/>
      <c r="AVO76" s="94"/>
      <c r="AVP76" s="94"/>
      <c r="AVQ76" s="94"/>
      <c r="AVR76" s="94"/>
      <c r="AVS76" s="94"/>
      <c r="AVT76" s="94"/>
      <c r="AVU76" s="94"/>
      <c r="AVV76" s="94"/>
      <c r="AVW76" s="94"/>
      <c r="AVX76" s="94"/>
      <c r="AVY76" s="94"/>
      <c r="AVZ76" s="94"/>
      <c r="AWA76" s="94"/>
      <c r="AWB76" s="94"/>
      <c r="AWC76" s="94"/>
      <c r="AWD76" s="94"/>
      <c r="AWE76" s="94"/>
      <c r="AWF76" s="94"/>
      <c r="AWG76" s="94"/>
      <c r="AWH76" s="94"/>
      <c r="AWI76" s="94"/>
      <c r="AWJ76" s="94"/>
      <c r="AWK76" s="94"/>
      <c r="AWL76" s="94"/>
      <c r="AWM76" s="94"/>
      <c r="AWN76" s="94"/>
      <c r="AWO76" s="94"/>
      <c r="AWP76" s="94"/>
      <c r="AWQ76" s="94"/>
      <c r="AWR76" s="94"/>
      <c r="AWS76" s="94"/>
      <c r="AWT76" s="94"/>
      <c r="AWU76" s="94"/>
      <c r="AWV76" s="94"/>
      <c r="AWW76" s="94"/>
      <c r="AWX76" s="94"/>
      <c r="AWY76" s="94"/>
      <c r="AWZ76" s="94"/>
      <c r="AXA76" s="94"/>
      <c r="AXB76" s="94"/>
      <c r="AXC76" s="94"/>
      <c r="AXD76" s="94"/>
      <c r="AXE76" s="94"/>
      <c r="AXF76" s="94"/>
      <c r="AXG76" s="94"/>
      <c r="AXH76" s="94"/>
      <c r="AXI76" s="94"/>
      <c r="AXJ76" s="94"/>
      <c r="AXK76" s="94"/>
      <c r="AXL76" s="94"/>
      <c r="AXM76" s="94"/>
      <c r="AXN76" s="94"/>
      <c r="AXO76" s="94"/>
      <c r="AXP76" s="94"/>
      <c r="AXQ76" s="94"/>
      <c r="AXR76" s="94"/>
      <c r="AXS76" s="94"/>
      <c r="AXT76" s="94"/>
      <c r="AXU76" s="94"/>
      <c r="AXV76" s="94"/>
      <c r="AXW76" s="94"/>
      <c r="AXX76" s="94"/>
      <c r="AXY76" s="94"/>
      <c r="AXZ76" s="94"/>
      <c r="AYA76" s="94"/>
      <c r="AYB76" s="94"/>
      <c r="AYC76" s="94"/>
      <c r="AYD76" s="94"/>
      <c r="AYE76" s="94"/>
      <c r="AYF76" s="94"/>
      <c r="AYG76" s="94"/>
      <c r="AYH76" s="94"/>
      <c r="AYI76" s="94"/>
      <c r="AYJ76" s="94"/>
      <c r="AYK76" s="94"/>
      <c r="AYL76" s="94"/>
      <c r="AYM76" s="94"/>
      <c r="AYN76" s="94"/>
      <c r="AYO76" s="94"/>
      <c r="AYP76" s="94"/>
      <c r="AYQ76" s="94"/>
      <c r="AYR76" s="94"/>
      <c r="AYS76" s="94"/>
      <c r="AYT76" s="94"/>
      <c r="AYU76" s="94"/>
      <c r="AYV76" s="94"/>
      <c r="AYW76" s="94"/>
      <c r="AYX76" s="94"/>
      <c r="AYY76" s="94"/>
      <c r="AYZ76" s="94"/>
      <c r="AZA76" s="94"/>
      <c r="AZB76" s="94"/>
      <c r="AZC76" s="94"/>
      <c r="AZD76" s="94"/>
      <c r="AZE76" s="94"/>
      <c r="AZF76" s="94"/>
      <c r="AZG76" s="94"/>
      <c r="AZH76" s="94"/>
      <c r="AZI76" s="94"/>
      <c r="AZJ76" s="94"/>
      <c r="AZK76" s="94"/>
      <c r="AZL76" s="94"/>
      <c r="AZM76" s="94"/>
      <c r="AZN76" s="94"/>
      <c r="AZO76" s="94"/>
      <c r="AZP76" s="94"/>
      <c r="AZQ76" s="94"/>
      <c r="AZR76" s="94"/>
      <c r="AZS76" s="94"/>
      <c r="AZT76" s="94"/>
      <c r="AZU76" s="94"/>
      <c r="AZV76" s="94"/>
      <c r="AZW76" s="94"/>
      <c r="AZX76" s="94"/>
      <c r="AZY76" s="94"/>
      <c r="AZZ76" s="94"/>
      <c r="BAA76" s="94"/>
      <c r="BAB76" s="94"/>
      <c r="BAC76" s="94"/>
      <c r="BAD76" s="94"/>
      <c r="BAE76" s="94"/>
      <c r="BAF76" s="94"/>
      <c r="BAG76" s="94"/>
      <c r="BAH76" s="94"/>
      <c r="BAI76" s="94"/>
      <c r="BAJ76" s="94"/>
      <c r="BAK76" s="94"/>
      <c r="BAL76" s="94"/>
      <c r="BAM76" s="94"/>
      <c r="BAN76" s="94"/>
      <c r="BAO76" s="94"/>
      <c r="BAP76" s="94"/>
      <c r="BAQ76" s="94"/>
      <c r="BAR76" s="94"/>
      <c r="BAS76" s="94"/>
      <c r="BAT76" s="94"/>
      <c r="BAU76" s="94"/>
      <c r="BAV76" s="94"/>
      <c r="BAW76" s="94"/>
      <c r="BAX76" s="94"/>
      <c r="BAY76" s="94"/>
      <c r="BAZ76" s="94"/>
      <c r="BBA76" s="94"/>
      <c r="BBB76" s="94"/>
      <c r="BBC76" s="94"/>
      <c r="BBD76" s="94"/>
      <c r="BBE76" s="94"/>
      <c r="BBF76" s="94"/>
      <c r="BBG76" s="94"/>
      <c r="BBH76" s="94"/>
      <c r="BBI76" s="94"/>
      <c r="BBJ76" s="94"/>
      <c r="BBK76" s="94"/>
      <c r="BBL76" s="94"/>
      <c r="BBM76" s="94"/>
      <c r="BBN76" s="94"/>
      <c r="BBO76" s="94"/>
      <c r="BBP76" s="94"/>
      <c r="BBQ76" s="94"/>
      <c r="BBR76" s="94"/>
      <c r="BBS76" s="94"/>
      <c r="BBT76" s="94"/>
      <c r="BBU76" s="94"/>
      <c r="BBV76" s="94"/>
      <c r="BBW76" s="94"/>
      <c r="BBX76" s="94"/>
      <c r="BBY76" s="94"/>
      <c r="BBZ76" s="94"/>
      <c r="BCA76" s="94"/>
      <c r="BCB76" s="94"/>
      <c r="BCC76" s="94"/>
      <c r="BCD76" s="94"/>
      <c r="BCE76" s="94"/>
      <c r="BCF76" s="94"/>
      <c r="BCG76" s="94"/>
      <c r="BCH76" s="94"/>
      <c r="BCI76" s="94"/>
      <c r="BCJ76" s="94"/>
      <c r="BCK76" s="94"/>
      <c r="BCL76" s="94"/>
      <c r="BCM76" s="94"/>
      <c r="BCN76" s="94"/>
      <c r="BCO76" s="94"/>
      <c r="BCP76" s="94"/>
      <c r="BCQ76" s="94"/>
      <c r="BCR76" s="94"/>
      <c r="BCS76" s="94"/>
      <c r="BCT76" s="94"/>
      <c r="BCU76" s="94"/>
      <c r="BCV76" s="94"/>
      <c r="BCW76" s="94"/>
      <c r="BCX76" s="94"/>
      <c r="BCY76" s="94"/>
      <c r="BCZ76" s="94"/>
      <c r="BDA76" s="94"/>
      <c r="BDB76" s="94"/>
      <c r="BDC76" s="94"/>
      <c r="BDD76" s="94"/>
      <c r="BDE76" s="94"/>
      <c r="BDF76" s="94"/>
      <c r="BDG76" s="94"/>
      <c r="BDH76" s="94"/>
      <c r="BDI76" s="94"/>
      <c r="BDJ76" s="94"/>
      <c r="BDK76" s="94"/>
      <c r="BDL76" s="94"/>
      <c r="BDM76" s="94"/>
      <c r="BDN76" s="94"/>
      <c r="BDO76" s="94"/>
      <c r="BDP76" s="94"/>
      <c r="BDQ76" s="94"/>
      <c r="BDR76" s="94"/>
      <c r="BDS76" s="94"/>
      <c r="BDT76" s="94"/>
      <c r="BDU76" s="94"/>
      <c r="BDV76" s="94"/>
      <c r="BDW76" s="94"/>
      <c r="BDX76" s="94"/>
      <c r="BDY76" s="94"/>
      <c r="BDZ76" s="94"/>
      <c r="BEA76" s="94"/>
      <c r="BEB76" s="94"/>
      <c r="BEC76" s="94"/>
      <c r="BED76" s="94"/>
      <c r="BEE76" s="94"/>
      <c r="BEF76" s="94"/>
      <c r="BEG76" s="94"/>
      <c r="BEH76" s="94"/>
      <c r="BEI76" s="94"/>
      <c r="BEJ76" s="94"/>
      <c r="BEK76" s="94"/>
      <c r="BEL76" s="94"/>
      <c r="BEM76" s="94"/>
      <c r="BEN76" s="94"/>
      <c r="BEO76" s="94"/>
      <c r="BEP76" s="94"/>
      <c r="BEQ76" s="94"/>
      <c r="BER76" s="94"/>
      <c r="BES76" s="94"/>
      <c r="BET76" s="94"/>
      <c r="BEU76" s="94"/>
      <c r="BEV76" s="94"/>
      <c r="BEW76" s="94"/>
      <c r="BEX76" s="94"/>
      <c r="BEY76" s="94"/>
      <c r="BEZ76" s="94"/>
      <c r="BFA76" s="94"/>
      <c r="BFB76" s="94"/>
      <c r="BFC76" s="94"/>
      <c r="BFD76" s="94"/>
      <c r="BFE76" s="94"/>
      <c r="BFF76" s="94"/>
      <c r="BFG76" s="94"/>
      <c r="BFH76" s="94"/>
      <c r="BFI76" s="94"/>
      <c r="BFJ76" s="94"/>
      <c r="BFK76" s="94"/>
      <c r="BFL76" s="94"/>
      <c r="BFM76" s="94"/>
      <c r="BFN76" s="94"/>
      <c r="BFO76" s="94"/>
      <c r="BFP76" s="94"/>
      <c r="BFQ76" s="94"/>
      <c r="BFR76" s="94"/>
      <c r="BFS76" s="94"/>
      <c r="BFT76" s="94"/>
      <c r="BFU76" s="94"/>
      <c r="BFV76" s="94"/>
      <c r="BFW76" s="94"/>
      <c r="BFX76" s="94"/>
      <c r="BFY76" s="94"/>
      <c r="BFZ76" s="94"/>
      <c r="BGA76" s="94"/>
      <c r="BGB76" s="94"/>
      <c r="BGC76" s="94"/>
      <c r="BGD76" s="94"/>
      <c r="BGE76" s="94"/>
      <c r="BGF76" s="94"/>
      <c r="BGG76" s="94"/>
      <c r="BGH76" s="94"/>
      <c r="BGI76" s="94"/>
      <c r="BGJ76" s="94"/>
      <c r="BGK76" s="94"/>
      <c r="BGL76" s="94"/>
      <c r="BGM76" s="94"/>
      <c r="BGN76" s="94"/>
      <c r="BGO76" s="94"/>
      <c r="BGP76" s="94"/>
      <c r="BGQ76" s="94"/>
      <c r="BGR76" s="94"/>
      <c r="BGS76" s="94"/>
      <c r="BGT76" s="94"/>
      <c r="BGU76" s="94"/>
      <c r="BGV76" s="94"/>
      <c r="BGW76" s="94"/>
      <c r="BGX76" s="94"/>
      <c r="BGY76" s="94"/>
      <c r="BGZ76" s="94"/>
      <c r="BHA76" s="94"/>
      <c r="BHB76" s="94"/>
      <c r="BHC76" s="94"/>
      <c r="BHD76" s="94"/>
      <c r="BHE76" s="94"/>
      <c r="BHF76" s="94"/>
      <c r="BHG76" s="94"/>
      <c r="BHH76" s="94"/>
      <c r="BHI76" s="94"/>
      <c r="BHJ76" s="94"/>
      <c r="BHK76" s="94"/>
      <c r="BHL76" s="94"/>
      <c r="BHM76" s="94"/>
      <c r="BHN76" s="94"/>
      <c r="BHO76" s="94"/>
      <c r="BHP76" s="94"/>
      <c r="BHQ76" s="94"/>
      <c r="BHR76" s="94"/>
      <c r="BHS76" s="94"/>
      <c r="BHT76" s="94"/>
      <c r="BHU76" s="94"/>
      <c r="BHV76" s="94"/>
      <c r="BHW76" s="94"/>
      <c r="BHX76" s="94"/>
      <c r="BHY76" s="94"/>
      <c r="BHZ76" s="94"/>
      <c r="BIA76" s="94"/>
      <c r="BIB76" s="94"/>
      <c r="BIC76" s="94"/>
      <c r="BID76" s="94"/>
      <c r="BIE76" s="94"/>
      <c r="BIF76" s="94"/>
      <c r="BIG76" s="94"/>
      <c r="BIH76" s="94"/>
      <c r="BII76" s="94"/>
      <c r="BIJ76" s="94"/>
      <c r="BIK76" s="94"/>
      <c r="BIL76" s="94"/>
      <c r="BIM76" s="94"/>
      <c r="BIN76" s="94"/>
      <c r="BIO76" s="94"/>
      <c r="BIP76" s="94"/>
      <c r="BIQ76" s="94"/>
      <c r="BIR76" s="94"/>
      <c r="BIS76" s="94"/>
      <c r="BIT76" s="94"/>
      <c r="BIU76" s="94"/>
      <c r="BIV76" s="94"/>
      <c r="BIW76" s="94"/>
      <c r="BIX76" s="94"/>
      <c r="BIY76" s="94"/>
      <c r="BIZ76" s="94"/>
      <c r="BJA76" s="94"/>
      <c r="BJB76" s="94"/>
      <c r="BJC76" s="94"/>
      <c r="BJD76" s="94"/>
      <c r="BJE76" s="94"/>
      <c r="BJF76" s="94"/>
      <c r="BJG76" s="94"/>
      <c r="BJH76" s="94"/>
      <c r="BJI76" s="94"/>
      <c r="BJJ76" s="94"/>
      <c r="BJK76" s="94"/>
      <c r="BJL76" s="94"/>
      <c r="BJM76" s="94"/>
      <c r="BJN76" s="94"/>
      <c r="BJO76" s="94"/>
      <c r="BJP76" s="94"/>
      <c r="BJQ76" s="94"/>
      <c r="BJR76" s="94"/>
      <c r="BJS76" s="94"/>
      <c r="BJT76" s="94"/>
      <c r="BJU76" s="94"/>
      <c r="BJV76" s="94"/>
      <c r="BJW76" s="94"/>
      <c r="BJX76" s="94"/>
      <c r="BJY76" s="94"/>
      <c r="BJZ76" s="94"/>
      <c r="BKA76" s="94"/>
      <c r="BKB76" s="94"/>
      <c r="BKC76" s="94"/>
      <c r="BKD76" s="94"/>
      <c r="BKE76" s="94"/>
      <c r="BKF76" s="94"/>
      <c r="BKG76" s="94"/>
      <c r="BKH76" s="94"/>
      <c r="BKI76" s="94"/>
      <c r="BKJ76" s="94"/>
      <c r="BKK76" s="94"/>
      <c r="BKL76" s="94"/>
      <c r="BKM76" s="94"/>
      <c r="BKN76" s="94"/>
      <c r="BKO76" s="94"/>
      <c r="BKP76" s="94"/>
      <c r="BKQ76" s="94"/>
      <c r="BKR76" s="94"/>
      <c r="BKS76" s="94"/>
      <c r="BKT76" s="94"/>
      <c r="BKU76" s="94"/>
      <c r="BKV76" s="94"/>
      <c r="BKW76" s="94"/>
      <c r="BKX76" s="94"/>
      <c r="BKY76" s="94"/>
      <c r="BKZ76" s="94"/>
      <c r="BLA76" s="94"/>
      <c r="BLB76" s="94"/>
      <c r="BLC76" s="94"/>
      <c r="BLD76" s="94"/>
      <c r="BLE76" s="94"/>
      <c r="BLF76" s="94"/>
      <c r="BLG76" s="94"/>
      <c r="BLH76" s="94"/>
      <c r="BLI76" s="94"/>
      <c r="BLJ76" s="94"/>
      <c r="BLK76" s="94"/>
      <c r="BLL76" s="94"/>
      <c r="BLM76" s="94"/>
      <c r="BLN76" s="94"/>
      <c r="BLO76" s="94"/>
      <c r="BLP76" s="94"/>
      <c r="BLQ76" s="94"/>
      <c r="BLR76" s="94"/>
      <c r="BLS76" s="94"/>
      <c r="BLT76" s="94"/>
      <c r="BLU76" s="94"/>
      <c r="BLV76" s="94"/>
      <c r="BLW76" s="94"/>
      <c r="BLX76" s="94"/>
      <c r="BLY76" s="94"/>
      <c r="BLZ76" s="94"/>
      <c r="BMA76" s="94"/>
      <c r="BMB76" s="94"/>
      <c r="BMC76" s="94"/>
      <c r="BMD76" s="94"/>
      <c r="BME76" s="94"/>
      <c r="BMF76" s="94"/>
      <c r="BMG76" s="94"/>
      <c r="BMH76" s="94"/>
      <c r="BMI76" s="94"/>
      <c r="BMJ76" s="94"/>
      <c r="BMK76" s="94"/>
      <c r="BML76" s="94"/>
      <c r="BMM76" s="94"/>
      <c r="BMN76" s="94"/>
      <c r="BMO76" s="94"/>
      <c r="BMP76" s="94"/>
      <c r="BMQ76" s="94"/>
      <c r="BMR76" s="94"/>
      <c r="BMS76" s="94"/>
      <c r="BMT76" s="94"/>
      <c r="BMU76" s="94"/>
      <c r="BMV76" s="94"/>
      <c r="BMW76" s="94"/>
      <c r="BMX76" s="94"/>
      <c r="BMY76" s="94"/>
      <c r="BMZ76" s="94"/>
      <c r="BNA76" s="94"/>
      <c r="BNB76" s="94"/>
      <c r="BNC76" s="94"/>
      <c r="BND76" s="94"/>
      <c r="BNE76" s="94"/>
      <c r="BNF76" s="94"/>
      <c r="BNG76" s="94"/>
      <c r="BNH76" s="94"/>
      <c r="BNI76" s="94"/>
      <c r="BNJ76" s="94"/>
      <c r="BNK76" s="94"/>
      <c r="BNL76" s="94"/>
      <c r="BNM76" s="94"/>
      <c r="BNN76" s="94"/>
      <c r="BNO76" s="94"/>
      <c r="BNP76" s="94"/>
      <c r="BNQ76" s="94"/>
      <c r="BNR76" s="94"/>
      <c r="BNS76" s="94"/>
      <c r="BNT76" s="94"/>
      <c r="BNU76" s="94"/>
      <c r="BNV76" s="94"/>
      <c r="BNW76" s="94"/>
      <c r="BNX76" s="94"/>
      <c r="BNY76" s="94"/>
      <c r="BNZ76" s="94"/>
      <c r="BOA76" s="94"/>
      <c r="BOB76" s="94"/>
      <c r="BOC76" s="94"/>
      <c r="BOD76" s="94"/>
      <c r="BOE76" s="94"/>
      <c r="BOF76" s="94"/>
      <c r="BOG76" s="94"/>
      <c r="BOH76" s="94"/>
      <c r="BOI76" s="94"/>
      <c r="BOJ76" s="94"/>
      <c r="BOK76" s="94"/>
      <c r="BOL76" s="94"/>
      <c r="BOM76" s="94"/>
      <c r="BON76" s="94"/>
      <c r="BOO76" s="94"/>
      <c r="BOP76" s="94"/>
      <c r="BOQ76" s="94"/>
      <c r="BOR76" s="94"/>
      <c r="BOS76" s="94"/>
      <c r="BOT76" s="94"/>
      <c r="BOU76" s="94"/>
      <c r="BOV76" s="94"/>
      <c r="BOW76" s="94"/>
      <c r="BOX76" s="94"/>
      <c r="BOY76" s="94"/>
      <c r="BOZ76" s="94"/>
      <c r="BPA76" s="94"/>
      <c r="BPB76" s="94"/>
      <c r="BPC76" s="94"/>
      <c r="BPD76" s="94"/>
      <c r="BPE76" s="94"/>
      <c r="BPF76" s="94"/>
      <c r="BPG76" s="94"/>
      <c r="BPH76" s="94"/>
      <c r="BPI76" s="94"/>
      <c r="BPJ76" s="94"/>
      <c r="BPK76" s="94"/>
      <c r="BPL76" s="94"/>
      <c r="BPM76" s="94"/>
      <c r="BPN76" s="94"/>
      <c r="BPO76" s="94"/>
      <c r="BPP76" s="94"/>
      <c r="BPQ76" s="94"/>
      <c r="BPR76" s="94"/>
      <c r="BPS76" s="94"/>
      <c r="BPT76" s="94"/>
      <c r="BPU76" s="94"/>
      <c r="BPV76" s="94"/>
      <c r="BPW76" s="94"/>
      <c r="BPX76" s="94"/>
      <c r="BPY76" s="94"/>
      <c r="BPZ76" s="94"/>
      <c r="BQA76" s="94"/>
      <c r="BQB76" s="94"/>
      <c r="BQC76" s="94"/>
      <c r="BQD76" s="94"/>
      <c r="BQE76" s="94"/>
      <c r="BQF76" s="94"/>
      <c r="BQG76" s="94"/>
      <c r="BQH76" s="94"/>
      <c r="BQI76" s="94"/>
      <c r="BQJ76" s="94"/>
      <c r="BQK76" s="94"/>
      <c r="BQL76" s="94"/>
      <c r="BQM76" s="94"/>
      <c r="BQN76" s="94"/>
      <c r="BQO76" s="94"/>
      <c r="BQP76" s="94"/>
      <c r="BQQ76" s="94"/>
      <c r="BQR76" s="94"/>
      <c r="BQS76" s="94"/>
      <c r="BQT76" s="94"/>
      <c r="BQU76" s="94"/>
      <c r="BQV76" s="94"/>
      <c r="BQW76" s="94"/>
      <c r="BQX76" s="94"/>
      <c r="BQY76" s="94"/>
      <c r="BQZ76" s="94"/>
      <c r="BRA76" s="94"/>
      <c r="BRB76" s="94"/>
      <c r="BRC76" s="94"/>
      <c r="BRD76" s="94"/>
      <c r="BRE76" s="94"/>
      <c r="BRF76" s="94"/>
      <c r="BRG76" s="94"/>
      <c r="BRH76" s="94"/>
      <c r="BRI76" s="94"/>
      <c r="BRJ76" s="94"/>
      <c r="BRK76" s="94"/>
      <c r="BRL76" s="94"/>
      <c r="BRM76" s="94"/>
      <c r="BRN76" s="94"/>
      <c r="BRO76" s="94"/>
      <c r="BRP76" s="94"/>
      <c r="BRQ76" s="94"/>
      <c r="BRR76" s="94"/>
      <c r="BRS76" s="94"/>
      <c r="BRT76" s="94"/>
      <c r="BRU76" s="94"/>
      <c r="BRV76" s="94"/>
      <c r="BRW76" s="94"/>
      <c r="BRX76" s="94"/>
      <c r="BRY76" s="94"/>
      <c r="BRZ76" s="94"/>
      <c r="BSA76" s="94"/>
      <c r="BSB76" s="94"/>
      <c r="BSC76" s="94"/>
      <c r="BSD76" s="94"/>
      <c r="BSE76" s="94"/>
      <c r="BSF76" s="94"/>
      <c r="BSG76" s="94"/>
      <c r="BSH76" s="94"/>
      <c r="BSI76" s="94"/>
      <c r="BSJ76" s="94"/>
      <c r="BSK76" s="94"/>
      <c r="BSL76" s="94"/>
      <c r="BSM76" s="94"/>
      <c r="BSN76" s="94"/>
      <c r="BSO76" s="94"/>
      <c r="BSP76" s="94"/>
      <c r="BSQ76" s="94"/>
      <c r="BSR76" s="94"/>
      <c r="BSS76" s="94"/>
      <c r="BST76" s="94"/>
      <c r="BSU76" s="94"/>
      <c r="BSV76" s="94"/>
      <c r="BSW76" s="94"/>
      <c r="BSX76" s="94"/>
      <c r="BSY76" s="94"/>
      <c r="BSZ76" s="94"/>
      <c r="BTA76" s="94"/>
      <c r="BTB76" s="94"/>
      <c r="BTC76" s="94"/>
      <c r="BTD76" s="94"/>
      <c r="BTE76" s="94"/>
      <c r="BTF76" s="94"/>
      <c r="BTG76" s="94"/>
      <c r="BTH76" s="94"/>
      <c r="BTI76" s="94"/>
      <c r="BTJ76" s="94"/>
      <c r="BTK76" s="94"/>
      <c r="BTL76" s="94"/>
      <c r="BTM76" s="94"/>
      <c r="BTN76" s="94"/>
      <c r="BTO76" s="94"/>
      <c r="BTP76" s="94"/>
      <c r="BTQ76" s="94"/>
      <c r="BTR76" s="94"/>
      <c r="BTS76" s="94"/>
      <c r="BTT76" s="94"/>
      <c r="BTU76" s="94"/>
      <c r="BTV76" s="94"/>
      <c r="BTW76" s="94"/>
      <c r="BTX76" s="94"/>
      <c r="BTY76" s="94"/>
      <c r="BTZ76" s="94"/>
      <c r="BUA76" s="94"/>
      <c r="BUB76" s="94"/>
      <c r="BUC76" s="94"/>
      <c r="BUD76" s="94"/>
      <c r="BUE76" s="94"/>
      <c r="BUF76" s="94"/>
      <c r="BUG76" s="94"/>
      <c r="BUH76" s="94"/>
      <c r="BUI76" s="94"/>
      <c r="BUJ76" s="94"/>
      <c r="BUK76" s="94"/>
      <c r="BUL76" s="94"/>
      <c r="BUM76" s="94"/>
      <c r="BUN76" s="94"/>
      <c r="BUO76" s="94"/>
      <c r="BUP76" s="94"/>
      <c r="BUQ76" s="94"/>
      <c r="BUR76" s="94"/>
      <c r="BUS76" s="94"/>
      <c r="BUT76" s="94"/>
      <c r="BUU76" s="94"/>
      <c r="BUV76" s="94"/>
      <c r="BUW76" s="94"/>
      <c r="BUX76" s="94"/>
      <c r="BUY76" s="94"/>
      <c r="BUZ76" s="94"/>
      <c r="BVA76" s="94"/>
      <c r="BVB76" s="94"/>
      <c r="BVC76" s="94"/>
      <c r="BVD76" s="94"/>
      <c r="BVE76" s="94"/>
      <c r="BVF76" s="94"/>
      <c r="BVG76" s="94"/>
      <c r="BVH76" s="94"/>
      <c r="BVI76" s="94"/>
      <c r="BVJ76" s="94"/>
      <c r="BVK76" s="94"/>
      <c r="BVL76" s="94"/>
      <c r="BVM76" s="94"/>
      <c r="BVN76" s="94"/>
      <c r="BVO76" s="94"/>
      <c r="BVP76" s="94"/>
      <c r="BVQ76" s="94"/>
      <c r="BVR76" s="94"/>
      <c r="BVS76" s="94"/>
      <c r="BVT76" s="94"/>
      <c r="BVU76" s="94"/>
      <c r="BVV76" s="94"/>
      <c r="BVW76" s="94"/>
      <c r="BVX76" s="94"/>
      <c r="BVY76" s="94"/>
      <c r="BVZ76" s="94"/>
      <c r="BWA76" s="94"/>
      <c r="BWB76" s="94"/>
      <c r="BWC76" s="94"/>
      <c r="BWD76" s="94"/>
      <c r="BWE76" s="94"/>
      <c r="BWF76" s="94"/>
      <c r="BWG76" s="94"/>
      <c r="BWH76" s="94"/>
      <c r="BWI76" s="94"/>
      <c r="BWJ76" s="94"/>
      <c r="BWK76" s="94"/>
      <c r="BWL76" s="94"/>
      <c r="BWM76" s="94"/>
      <c r="BWN76" s="94"/>
      <c r="BWO76" s="94"/>
      <c r="BWP76" s="94"/>
      <c r="BWQ76" s="94"/>
      <c r="BWR76" s="94"/>
      <c r="BWS76" s="94"/>
      <c r="BWT76" s="94"/>
      <c r="BWU76" s="94"/>
      <c r="BWV76" s="94"/>
      <c r="BWW76" s="94"/>
      <c r="BWX76" s="94"/>
      <c r="BWY76" s="94"/>
      <c r="BWZ76" s="94"/>
      <c r="BXA76" s="94"/>
      <c r="BXB76" s="94"/>
      <c r="BXC76" s="94"/>
      <c r="BXD76" s="94"/>
      <c r="BXE76" s="94"/>
      <c r="BXF76" s="94"/>
      <c r="BXG76" s="94"/>
      <c r="BXH76" s="94"/>
      <c r="BXI76" s="94"/>
      <c r="BXJ76" s="94"/>
      <c r="BXK76" s="94"/>
      <c r="BXL76" s="94"/>
      <c r="BXM76" s="94"/>
      <c r="BXN76" s="94"/>
      <c r="BXO76" s="94"/>
      <c r="BXP76" s="94"/>
      <c r="BXQ76" s="94"/>
      <c r="BXR76" s="94"/>
      <c r="BXS76" s="94"/>
      <c r="BXT76" s="94"/>
      <c r="BXU76" s="94"/>
      <c r="BXV76" s="94"/>
      <c r="BXW76" s="94"/>
      <c r="BXX76" s="94"/>
      <c r="BXY76" s="94"/>
      <c r="BXZ76" s="94"/>
      <c r="BYA76" s="94"/>
      <c r="BYB76" s="94"/>
      <c r="BYC76" s="94"/>
      <c r="BYD76" s="94"/>
      <c r="BYE76" s="94"/>
      <c r="BYF76" s="94"/>
      <c r="BYG76" s="94"/>
    </row>
    <row r="77" spans="1:2009" ht="15" customHeight="1" x14ac:dyDescent="0.25">
      <c r="A77" s="122"/>
      <c r="B77" s="312" t="s">
        <v>591</v>
      </c>
      <c r="C77" s="191"/>
      <c r="D77" s="191"/>
      <c r="E77" s="191"/>
      <c r="F77" s="191"/>
      <c r="G77" s="659"/>
    </row>
    <row r="78" spans="1:2009" ht="8.25" customHeight="1" x14ac:dyDescent="0.25">
      <c r="A78" s="122"/>
      <c r="B78" s="160"/>
      <c r="C78" s="602"/>
      <c r="D78" s="191"/>
      <c r="E78" s="191"/>
      <c r="F78" s="191"/>
      <c r="G78" s="659"/>
    </row>
    <row r="79" spans="1:2009" ht="14.25" customHeight="1" x14ac:dyDescent="0.25">
      <c r="A79" s="122"/>
      <c r="B79" s="548" t="s">
        <v>44</v>
      </c>
      <c r="C79" s="593">
        <v>6505.9</v>
      </c>
      <c r="D79" s="602"/>
      <c r="E79" s="191"/>
      <c r="F79" s="191"/>
      <c r="G79" s="659"/>
    </row>
    <row r="80" spans="1:2009" ht="14.25" hidden="1" customHeight="1" x14ac:dyDescent="0.25">
      <c r="A80" s="122"/>
      <c r="B80" s="548" t="s">
        <v>602</v>
      </c>
      <c r="C80" s="593"/>
      <c r="D80" s="602"/>
      <c r="E80" s="191"/>
      <c r="F80" s="191"/>
      <c r="G80" s="659"/>
    </row>
    <row r="81" spans="1:7" ht="14.25" hidden="1" customHeight="1" x14ac:dyDescent="0.25">
      <c r="A81" s="122"/>
      <c r="B81" s="548" t="s">
        <v>473</v>
      </c>
      <c r="C81" s="593"/>
      <c r="D81" s="602"/>
      <c r="E81" s="191"/>
      <c r="F81" s="191"/>
      <c r="G81" s="659"/>
    </row>
    <row r="82" spans="1:7" ht="14.25" hidden="1" customHeight="1" x14ac:dyDescent="0.25">
      <c r="A82" s="122"/>
      <c r="B82" s="548" t="s">
        <v>594</v>
      </c>
      <c r="C82" s="593"/>
      <c r="D82" s="602"/>
      <c r="E82" s="191"/>
      <c r="F82" s="191"/>
      <c r="G82" s="659"/>
    </row>
    <row r="83" spans="1:7" ht="14.25" hidden="1" customHeight="1" x14ac:dyDescent="0.25">
      <c r="A83" s="122"/>
      <c r="B83" s="548" t="s">
        <v>521</v>
      </c>
      <c r="C83" s="593"/>
      <c r="D83" s="602"/>
      <c r="E83" s="191"/>
      <c r="F83" s="191"/>
      <c r="G83" s="659"/>
    </row>
    <row r="84" spans="1:7" ht="14.25" hidden="1" customHeight="1" x14ac:dyDescent="0.25">
      <c r="A84" s="122"/>
      <c r="B84" s="548" t="s">
        <v>522</v>
      </c>
      <c r="C84" s="593"/>
      <c r="D84" s="602"/>
      <c r="E84" s="191"/>
      <c r="F84" s="191"/>
      <c r="G84" s="659"/>
    </row>
    <row r="85" spans="1:7" ht="14.25" hidden="1" customHeight="1" x14ac:dyDescent="0.25">
      <c r="A85" s="122"/>
      <c r="B85" s="548" t="s">
        <v>523</v>
      </c>
      <c r="C85" s="593"/>
      <c r="D85" s="602"/>
      <c r="E85" s="191"/>
      <c r="F85" s="191"/>
      <c r="G85" s="659"/>
    </row>
    <row r="86" spans="1:7" ht="14.25" hidden="1" customHeight="1" x14ac:dyDescent="0.25">
      <c r="A86" s="122"/>
      <c r="B86" s="548" t="s">
        <v>595</v>
      </c>
      <c r="C86" s="593"/>
      <c r="D86" s="602"/>
      <c r="E86" s="191"/>
      <c r="F86" s="191"/>
      <c r="G86" s="659"/>
    </row>
    <row r="87" spans="1:7" ht="14.25" hidden="1" customHeight="1" x14ac:dyDescent="0.25">
      <c r="A87" s="122"/>
      <c r="B87" s="548" t="s">
        <v>524</v>
      </c>
      <c r="C87" s="593"/>
      <c r="D87" s="602"/>
      <c r="E87" s="191"/>
      <c r="F87" s="191"/>
      <c r="G87" s="659"/>
    </row>
    <row r="88" spans="1:7" ht="14.25" customHeight="1" x14ac:dyDescent="0.25">
      <c r="A88" s="122"/>
      <c r="B88" s="548" t="s">
        <v>613</v>
      </c>
      <c r="C88" s="593">
        <v>20045.16</v>
      </c>
      <c r="D88" s="602"/>
      <c r="E88" s="191"/>
      <c r="F88" s="191"/>
      <c r="G88" s="659"/>
    </row>
    <row r="89" spans="1:7" ht="14.25" hidden="1" customHeight="1" x14ac:dyDescent="0.25">
      <c r="A89" s="122"/>
      <c r="B89" s="548" t="s">
        <v>603</v>
      </c>
      <c r="C89" s="593"/>
      <c r="D89" s="602"/>
      <c r="E89" s="191"/>
      <c r="F89" s="191"/>
      <c r="G89" s="659"/>
    </row>
    <row r="90" spans="1:7" ht="14.25" hidden="1" customHeight="1" x14ac:dyDescent="0.25">
      <c r="A90" s="122"/>
      <c r="B90" s="548" t="s">
        <v>431</v>
      </c>
      <c r="C90" s="593"/>
      <c r="D90" s="602"/>
      <c r="E90" s="191"/>
      <c r="F90" s="191"/>
      <c r="G90" s="659"/>
    </row>
    <row r="91" spans="1:7" ht="14.25" hidden="1" customHeight="1" x14ac:dyDescent="0.25">
      <c r="A91" s="122"/>
      <c r="B91" s="548" t="s">
        <v>596</v>
      </c>
      <c r="C91" s="593"/>
      <c r="D91" s="602"/>
      <c r="E91" s="191"/>
      <c r="F91" s="191"/>
      <c r="G91" s="659"/>
    </row>
    <row r="92" spans="1:7" ht="14.25" hidden="1" customHeight="1" x14ac:dyDescent="0.25">
      <c r="A92" s="122"/>
      <c r="B92" s="548" t="s">
        <v>454</v>
      </c>
      <c r="C92" s="593"/>
      <c r="D92" s="602"/>
      <c r="E92" s="191"/>
      <c r="F92" s="191"/>
      <c r="G92" s="659"/>
    </row>
    <row r="93" spans="1:7" ht="14.25" hidden="1" customHeight="1" x14ac:dyDescent="0.25">
      <c r="A93" s="122"/>
      <c r="B93" s="548" t="s">
        <v>465</v>
      </c>
      <c r="C93" s="593"/>
      <c r="D93" s="602"/>
      <c r="E93" s="191"/>
      <c r="F93" s="191"/>
      <c r="G93" s="659"/>
    </row>
    <row r="94" spans="1:7" ht="14.25" customHeight="1" x14ac:dyDescent="0.25">
      <c r="A94" s="122"/>
      <c r="B94" s="548" t="s">
        <v>597</v>
      </c>
      <c r="C94" s="593">
        <v>10094</v>
      </c>
      <c r="D94" s="602"/>
      <c r="E94" s="191"/>
      <c r="F94" s="191"/>
      <c r="G94" s="659"/>
    </row>
    <row r="95" spans="1:7" ht="14.25" customHeight="1" x14ac:dyDescent="0.25">
      <c r="A95" s="122"/>
      <c r="B95" s="548" t="s">
        <v>611</v>
      </c>
      <c r="C95" s="593">
        <v>234.5</v>
      </c>
      <c r="D95" s="602"/>
      <c r="E95" s="191"/>
      <c r="F95" s="191"/>
      <c r="G95" s="659"/>
    </row>
    <row r="96" spans="1:7" ht="14.25" hidden="1" customHeight="1" x14ac:dyDescent="0.25">
      <c r="A96" s="122"/>
      <c r="B96" s="548" t="s">
        <v>598</v>
      </c>
      <c r="C96" s="593"/>
      <c r="D96" s="602"/>
      <c r="E96" s="191"/>
      <c r="F96" s="191"/>
      <c r="G96" s="659"/>
    </row>
    <row r="97" spans="1:7" ht="14.25" customHeight="1" x14ac:dyDescent="0.25">
      <c r="A97" s="122"/>
      <c r="B97" s="548" t="s">
        <v>599</v>
      </c>
      <c r="C97" s="593">
        <v>3833.33</v>
      </c>
      <c r="D97" s="602"/>
      <c r="E97" s="191"/>
      <c r="F97" s="191"/>
      <c r="G97" s="659"/>
    </row>
    <row r="98" spans="1:7" ht="14.25" customHeight="1" x14ac:dyDescent="0.25">
      <c r="A98" s="122"/>
      <c r="B98" s="548" t="s">
        <v>612</v>
      </c>
      <c r="C98" s="593">
        <v>126.72</v>
      </c>
      <c r="D98" s="602"/>
      <c r="E98" s="191"/>
      <c r="F98" s="191"/>
      <c r="G98" s="659"/>
    </row>
    <row r="99" spans="1:7" ht="14.25" customHeight="1" x14ac:dyDescent="0.25">
      <c r="A99" s="122"/>
      <c r="B99" s="548"/>
      <c r="C99" s="593"/>
      <c r="D99" s="191"/>
      <c r="E99" s="191"/>
      <c r="F99" s="191"/>
      <c r="G99" s="659"/>
    </row>
    <row r="100" spans="1:7" ht="15" x14ac:dyDescent="0.25">
      <c r="A100" s="397"/>
      <c r="B100" s="161" t="s">
        <v>592</v>
      </c>
      <c r="C100" s="352">
        <f>SUM(C78:C99)</f>
        <v>40839.61</v>
      </c>
      <c r="D100" s="192"/>
      <c r="E100" s="192"/>
      <c r="F100" s="192"/>
    </row>
    <row r="101" spans="1:7" ht="5.25" customHeight="1" x14ac:dyDescent="0.2">
      <c r="C101" s="192"/>
      <c r="D101" s="192"/>
      <c r="E101" s="192"/>
      <c r="F101" s="192"/>
    </row>
    <row r="102" spans="1:7" ht="15.75" thickBot="1" x14ac:dyDescent="0.3">
      <c r="B102" s="161" t="s">
        <v>614</v>
      </c>
      <c r="C102" s="383">
        <f>G73-C100</f>
        <v>319548.48</v>
      </c>
      <c r="D102" s="192"/>
      <c r="E102" s="192"/>
      <c r="F102" s="192"/>
    </row>
    <row r="103" spans="1:7" ht="12" customHeight="1" thickTop="1" x14ac:dyDescent="0.2">
      <c r="C103" s="192"/>
      <c r="D103" s="192"/>
      <c r="E103" s="192"/>
      <c r="F103" s="192"/>
    </row>
    <row r="104" spans="1:7" ht="15.75" x14ac:dyDescent="0.25">
      <c r="B104" s="312" t="s">
        <v>174</v>
      </c>
      <c r="C104" s="192"/>
      <c r="D104" s="192"/>
      <c r="E104" s="192"/>
      <c r="F104" s="192"/>
    </row>
    <row r="105" spans="1:7" ht="16.5" customHeight="1" x14ac:dyDescent="0.2">
      <c r="B105" s="549" t="s">
        <v>615</v>
      </c>
      <c r="C105" s="550">
        <v>50000</v>
      </c>
      <c r="D105" s="192"/>
      <c r="E105" s="192"/>
      <c r="F105" s="192"/>
    </row>
    <row r="106" spans="1:7" ht="16.5" customHeight="1" x14ac:dyDescent="0.2">
      <c r="B106" s="549" t="s">
        <v>616</v>
      </c>
      <c r="C106" s="550">
        <v>3334</v>
      </c>
      <c r="D106" s="192"/>
      <c r="E106" s="192"/>
      <c r="F106" s="192"/>
    </row>
    <row r="107" spans="1:7" ht="16.5" customHeight="1" x14ac:dyDescent="0.2">
      <c r="B107" s="549"/>
      <c r="C107" s="550"/>
      <c r="D107" s="192"/>
      <c r="E107" s="192"/>
      <c r="F107" s="192"/>
    </row>
    <row r="108" spans="1:7" ht="16.5" hidden="1" customHeight="1" x14ac:dyDescent="0.2">
      <c r="B108" s="549"/>
      <c r="C108" s="550"/>
      <c r="D108" s="192"/>
      <c r="E108" s="192"/>
      <c r="F108" s="192"/>
    </row>
    <row r="109" spans="1:7" ht="15" hidden="1" x14ac:dyDescent="0.2">
      <c r="B109" s="524"/>
      <c r="C109" s="192"/>
      <c r="D109" s="192"/>
      <c r="E109" s="192"/>
      <c r="F109" s="192"/>
    </row>
    <row r="110" spans="1:7" hidden="1" x14ac:dyDescent="0.2">
      <c r="B110" s="425"/>
      <c r="C110" s="192"/>
      <c r="D110" s="192"/>
      <c r="E110" s="192"/>
      <c r="F110" s="192"/>
    </row>
    <row r="111" spans="1:7" hidden="1" x14ac:dyDescent="0.2">
      <c r="B111" s="425"/>
      <c r="C111" s="192"/>
      <c r="D111" s="192"/>
      <c r="E111" s="192"/>
      <c r="F111" s="192"/>
    </row>
    <row r="112" spans="1:7" hidden="1" x14ac:dyDescent="0.2">
      <c r="B112" s="425"/>
      <c r="C112" s="192"/>
      <c r="D112" s="192"/>
      <c r="E112" s="192"/>
      <c r="F112" s="192"/>
    </row>
    <row r="113" spans="2:6" hidden="1" x14ac:dyDescent="0.2">
      <c r="B113" s="425"/>
      <c r="C113" s="192"/>
      <c r="D113" s="192"/>
      <c r="E113" s="192"/>
      <c r="F113" s="192"/>
    </row>
    <row r="114" spans="2:6" hidden="1" x14ac:dyDescent="0.2">
      <c r="B114" s="425"/>
      <c r="C114" s="192"/>
      <c r="D114" s="192"/>
      <c r="E114" s="192"/>
      <c r="F114" s="192"/>
    </row>
    <row r="115" spans="2:6" hidden="1" x14ac:dyDescent="0.2">
      <c r="B115" s="425"/>
      <c r="C115" s="357"/>
      <c r="D115" s="192"/>
      <c r="E115" s="192"/>
      <c r="F115" s="192"/>
    </row>
    <row r="116" spans="2:6" hidden="1" x14ac:dyDescent="0.2">
      <c r="B116" s="425"/>
      <c r="C116" s="357"/>
      <c r="D116" s="192"/>
      <c r="E116" s="192"/>
      <c r="F116" s="192"/>
    </row>
    <row r="117" spans="2:6" hidden="1" x14ac:dyDescent="0.2">
      <c r="B117" s="425"/>
      <c r="C117" s="357"/>
      <c r="D117" s="192"/>
      <c r="E117" s="192"/>
      <c r="F117" s="192"/>
    </row>
    <row r="118" spans="2:6" hidden="1" x14ac:dyDescent="0.2">
      <c r="B118" s="425"/>
      <c r="C118" s="357"/>
      <c r="D118" s="192"/>
      <c r="E118" s="192"/>
      <c r="F118" s="192"/>
    </row>
    <row r="119" spans="2:6" hidden="1" x14ac:dyDescent="0.2">
      <c r="B119" s="425"/>
      <c r="C119" s="357"/>
      <c r="D119" s="192"/>
      <c r="E119" s="192"/>
      <c r="F119" s="192"/>
    </row>
    <row r="120" spans="2:6" hidden="1" x14ac:dyDescent="0.2">
      <c r="B120" s="425"/>
      <c r="C120" s="357"/>
      <c r="D120" s="192"/>
      <c r="E120" s="192"/>
      <c r="F120" s="192"/>
    </row>
    <row r="121" spans="2:6" hidden="1" x14ac:dyDescent="0.2">
      <c r="B121" s="425"/>
      <c r="C121" s="357"/>
      <c r="D121" s="192"/>
      <c r="E121" s="192"/>
      <c r="F121" s="192"/>
    </row>
    <row r="122" spans="2:6" hidden="1" x14ac:dyDescent="0.2">
      <c r="B122" s="425"/>
      <c r="C122" s="357"/>
      <c r="D122" s="192"/>
      <c r="E122" s="192"/>
      <c r="F122" s="192"/>
    </row>
    <row r="123" spans="2:6" hidden="1" x14ac:dyDescent="0.2">
      <c r="B123" s="425"/>
      <c r="C123" s="357"/>
      <c r="D123" s="192"/>
      <c r="E123" s="192"/>
      <c r="F123" s="192"/>
    </row>
    <row r="124" spans="2:6" hidden="1" x14ac:dyDescent="0.2">
      <c r="B124" s="425"/>
      <c r="C124" s="357"/>
      <c r="D124" s="192"/>
      <c r="E124" s="192"/>
      <c r="F124" s="192"/>
    </row>
    <row r="125" spans="2:6" hidden="1" x14ac:dyDescent="0.2">
      <c r="B125" s="425"/>
      <c r="C125" s="357"/>
      <c r="D125" s="192"/>
      <c r="E125" s="192"/>
      <c r="F125" s="192"/>
    </row>
    <row r="126" spans="2:6" x14ac:dyDescent="0.2">
      <c r="B126" s="425"/>
      <c r="C126" s="357"/>
      <c r="D126" s="192"/>
      <c r="E126" s="192"/>
      <c r="F126" s="192"/>
    </row>
    <row r="127" spans="2:6" ht="16.5" customHeight="1" x14ac:dyDescent="0.25">
      <c r="B127" s="433" t="s">
        <v>276</v>
      </c>
      <c r="C127" s="357"/>
      <c r="D127" s="192"/>
      <c r="E127" s="192"/>
      <c r="F127" s="192"/>
    </row>
    <row r="128" spans="2:6" ht="16.5" hidden="1" customHeight="1" x14ac:dyDescent="0.25">
      <c r="B128" s="548" t="s">
        <v>461</v>
      </c>
      <c r="C128" s="550">
        <f>D7</f>
        <v>0</v>
      </c>
      <c r="D128" s="192"/>
      <c r="E128" s="192"/>
      <c r="F128" s="192"/>
    </row>
    <row r="129" spans="2:6" ht="16.5" hidden="1" customHeight="1" x14ac:dyDescent="0.25">
      <c r="B129" s="548" t="s">
        <v>464</v>
      </c>
      <c r="C129" s="550">
        <v>17484.310000000001</v>
      </c>
      <c r="D129" s="192"/>
      <c r="E129" s="192"/>
      <c r="F129" s="192"/>
    </row>
    <row r="130" spans="2:6" ht="16.5" hidden="1" customHeight="1" x14ac:dyDescent="0.25">
      <c r="B130" s="548" t="s">
        <v>604</v>
      </c>
      <c r="C130" s="550">
        <v>19437.580000000002</v>
      </c>
      <c r="D130" s="192"/>
      <c r="E130" s="192"/>
      <c r="F130" s="192"/>
    </row>
    <row r="131" spans="2:6" ht="16.5" hidden="1" customHeight="1" x14ac:dyDescent="0.25">
      <c r="B131" s="548" t="s">
        <v>600</v>
      </c>
      <c r="C131" s="550">
        <v>18494.259999999998</v>
      </c>
      <c r="D131" s="192"/>
      <c r="E131" s="192"/>
      <c r="F131" s="192"/>
    </row>
    <row r="132" spans="2:6" ht="16.5" hidden="1" customHeight="1" x14ac:dyDescent="0.25">
      <c r="B132" s="548" t="s">
        <v>605</v>
      </c>
      <c r="C132" s="192">
        <v>18897.57</v>
      </c>
      <c r="D132" s="192"/>
      <c r="E132" s="192"/>
      <c r="F132" s="192"/>
    </row>
    <row r="133" spans="2:6" ht="16.5" customHeight="1" x14ac:dyDescent="0.25">
      <c r="B133" s="548"/>
      <c r="C133" s="192"/>
      <c r="D133" s="192"/>
      <c r="E133" s="192"/>
      <c r="F133" s="192"/>
    </row>
    <row r="134" spans="2:6" ht="16.5" hidden="1" customHeight="1" x14ac:dyDescent="0.25">
      <c r="B134" s="548" t="s">
        <v>493</v>
      </c>
      <c r="C134" s="192"/>
      <c r="D134" s="192"/>
      <c r="E134" s="192"/>
      <c r="F134" s="192"/>
    </row>
    <row r="135" spans="2:6" ht="18.75" hidden="1" customHeight="1" x14ac:dyDescent="0.25">
      <c r="B135" s="548" t="s">
        <v>601</v>
      </c>
      <c r="C135" s="192"/>
      <c r="D135" s="192"/>
      <c r="E135" s="192"/>
      <c r="F135" s="192"/>
    </row>
    <row r="136" spans="2:6" ht="17.25" customHeight="1" thickBot="1" x14ac:dyDescent="0.3">
      <c r="B136" s="548" t="s">
        <v>509</v>
      </c>
      <c r="C136" s="614">
        <f>SUM(C133:C135)</f>
        <v>0</v>
      </c>
      <c r="D136" s="192"/>
      <c r="E136" s="192"/>
      <c r="F136" s="192"/>
    </row>
    <row r="137" spans="2:6" ht="12" customHeight="1" thickTop="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6" ht="12" customHeight="1" x14ac:dyDescent="0.2">
      <c r="C193" s="192"/>
      <c r="D193" s="192"/>
      <c r="E193" s="192"/>
      <c r="F193" s="192"/>
    </row>
    <row r="194" spans="2:6" ht="12" customHeight="1" x14ac:dyDescent="0.2">
      <c r="C194" s="192"/>
      <c r="D194" s="192"/>
      <c r="E194" s="192"/>
      <c r="F194" s="192"/>
    </row>
    <row r="195" spans="2:6" ht="12" customHeight="1" x14ac:dyDescent="0.2">
      <c r="C195" s="192"/>
      <c r="D195" s="192"/>
      <c r="E195" s="192"/>
      <c r="F195" s="192"/>
    </row>
    <row r="196" spans="2:6" ht="12" customHeight="1" x14ac:dyDescent="0.2">
      <c r="C196" s="192"/>
      <c r="D196" s="192"/>
      <c r="E196" s="192"/>
      <c r="F196" s="192"/>
    </row>
    <row r="197" spans="2:6" ht="12" customHeight="1" x14ac:dyDescent="0.2">
      <c r="C197" s="192"/>
      <c r="D197" s="192"/>
      <c r="E197" s="192"/>
      <c r="F197" s="192"/>
    </row>
    <row r="198" spans="2:6" ht="12" customHeight="1" x14ac:dyDescent="0.2">
      <c r="C198" s="192"/>
      <c r="D198" s="192"/>
      <c r="E198" s="192"/>
      <c r="F198" s="192"/>
    </row>
    <row r="199" spans="2:6" ht="14.25" customHeight="1" x14ac:dyDescent="0.2"/>
    <row r="200" spans="2:6" ht="15.75" hidden="1" x14ac:dyDescent="0.25">
      <c r="B200" s="351"/>
      <c r="C200" s="227"/>
    </row>
    <row r="201" spans="2:6" ht="15" hidden="1" x14ac:dyDescent="0.25">
      <c r="B201" s="313"/>
      <c r="C201" s="353"/>
    </row>
    <row r="202" spans="2:6" ht="15" hidden="1" x14ac:dyDescent="0.25">
      <c r="B202" s="313"/>
      <c r="C202" s="357"/>
    </row>
    <row r="203" spans="2:6" ht="15" hidden="1" x14ac:dyDescent="0.25">
      <c r="B203" s="313"/>
      <c r="C203" s="192"/>
    </row>
    <row r="204" spans="2:6" hidden="1" x14ac:dyDescent="0.2">
      <c r="B204" s="279"/>
    </row>
    <row r="205" spans="2:6" hidden="1" x14ac:dyDescent="0.2">
      <c r="B205" s="279"/>
    </row>
    <row r="206" spans="2:6" hidden="1" x14ac:dyDescent="0.2">
      <c r="B206" s="279"/>
    </row>
    <row r="207" spans="2:6" hidden="1" x14ac:dyDescent="0.2"/>
    <row r="208" spans="2:6" hidden="1" x14ac:dyDescent="0.2"/>
    <row r="209" spans="2:14" hidden="1" x14ac:dyDescent="0.2">
      <c r="C209" s="310">
        <v>41698</v>
      </c>
      <c r="D209" s="310">
        <v>41609</v>
      </c>
      <c r="E209" s="310">
        <v>41548</v>
      </c>
      <c r="F209" s="310">
        <v>41487</v>
      </c>
      <c r="G209" s="627">
        <v>41426</v>
      </c>
      <c r="H209" s="310">
        <v>41365</v>
      </c>
      <c r="I209" s="727">
        <v>41306</v>
      </c>
      <c r="J209" s="310">
        <v>41274</v>
      </c>
      <c r="K209" s="310">
        <v>41213</v>
      </c>
      <c r="L209" s="310">
        <v>41152</v>
      </c>
      <c r="M209" s="311">
        <v>41090</v>
      </c>
      <c r="N209" s="310">
        <v>41029</v>
      </c>
    </row>
    <row r="210" spans="2:14" hidden="1" x14ac:dyDescent="0.2">
      <c r="B210" s="57" t="s">
        <v>131</v>
      </c>
      <c r="C210" s="227">
        <f>C73</f>
        <v>158769.66999999998</v>
      </c>
      <c r="D210" s="227">
        <f>105452.64+311868.06-305987</f>
        <v>111333.70000000001</v>
      </c>
      <c r="E210" s="227">
        <v>85798.300000000017</v>
      </c>
      <c r="F210" s="192">
        <f>53253.08+18642.89</f>
        <v>71895.97</v>
      </c>
      <c r="G210" s="627">
        <v>126315</v>
      </c>
      <c r="H210" s="192">
        <v>69404</v>
      </c>
      <c r="I210" s="727">
        <v>75744</v>
      </c>
      <c r="J210" s="192">
        <v>119840.47</v>
      </c>
      <c r="K210" s="192">
        <v>120024</v>
      </c>
      <c r="L210" s="192">
        <v>109142</v>
      </c>
      <c r="M210" s="309">
        <v>142216.66</v>
      </c>
      <c r="N210" s="192">
        <v>104785.62</v>
      </c>
    </row>
    <row r="211" spans="2:14" hidden="1" x14ac:dyDescent="0.2">
      <c r="B211" s="57" t="s">
        <v>132</v>
      </c>
      <c r="C211" s="227">
        <f>D73</f>
        <v>97851.62</v>
      </c>
      <c r="D211" s="227">
        <f>74767.18-13600.56</f>
        <v>61166.619999999995</v>
      </c>
      <c r="E211" s="227">
        <v>86248.31</v>
      </c>
      <c r="F211" s="192">
        <v>43187.16</v>
      </c>
      <c r="G211" s="627">
        <v>60049</v>
      </c>
      <c r="H211" s="192">
        <v>101941</v>
      </c>
      <c r="I211" s="727">
        <v>43152</v>
      </c>
      <c r="J211" s="192">
        <v>58938.2</v>
      </c>
      <c r="K211" s="192">
        <v>85767</v>
      </c>
      <c r="L211" s="192">
        <v>119436</v>
      </c>
      <c r="M211" s="309">
        <v>73223.850000000006</v>
      </c>
      <c r="N211" s="192">
        <v>86907.23</v>
      </c>
    </row>
    <row r="212" spans="2:14" hidden="1" x14ac:dyDescent="0.2">
      <c r="B212" s="57" t="s">
        <v>133</v>
      </c>
      <c r="C212" s="227">
        <f>E73</f>
        <v>59309.73</v>
      </c>
      <c r="D212" s="227">
        <f>66720.93-13675.33</f>
        <v>53045.599999999991</v>
      </c>
      <c r="E212" s="227">
        <v>32950.589999999997</v>
      </c>
      <c r="F212" s="192">
        <v>65970.55</v>
      </c>
      <c r="G212" s="627">
        <v>18719</v>
      </c>
      <c r="H212" s="192">
        <v>3668</v>
      </c>
      <c r="I212" s="727">
        <v>50430</v>
      </c>
      <c r="J212" s="192">
        <v>88408.17</v>
      </c>
      <c r="K212" s="192">
        <v>26680</v>
      </c>
      <c r="L212" s="192">
        <v>51922</v>
      </c>
      <c r="M212" s="309">
        <v>77261.37</v>
      </c>
      <c r="N212" s="192">
        <v>11021.67</v>
      </c>
    </row>
    <row r="213" spans="2:14" hidden="1" x14ac:dyDescent="0.2">
      <c r="B213" s="57" t="s">
        <v>134</v>
      </c>
      <c r="C213" s="227">
        <f>F73</f>
        <v>44057.07</v>
      </c>
      <c r="D213" s="227">
        <v>86322.43</v>
      </c>
      <c r="E213" s="227">
        <v>66109.450000000012</v>
      </c>
      <c r="F213" s="192">
        <v>56011.13</v>
      </c>
      <c r="G213" s="627">
        <v>1250</v>
      </c>
      <c r="H213" s="192">
        <v>0</v>
      </c>
      <c r="I213" s="727">
        <v>9959</v>
      </c>
      <c r="J213" s="192">
        <v>18374.45</v>
      </c>
      <c r="K213" s="192">
        <v>22103</v>
      </c>
      <c r="L213" s="192">
        <v>71168</v>
      </c>
      <c r="M213" s="309">
        <v>55167.87</v>
      </c>
      <c r="N213" s="192"/>
    </row>
    <row r="214" spans="2:14" hidden="1" x14ac:dyDescent="0.2">
      <c r="C214" s="227">
        <f>SUM(C210:C213)</f>
        <v>359988.08999999997</v>
      </c>
      <c r="D214" s="227">
        <f>SUM(D210:D213)</f>
        <v>311868.34999999998</v>
      </c>
      <c r="E214" s="227">
        <v>271106.65000000002</v>
      </c>
      <c r="F214" s="192">
        <f>SUM(F210:F213)</f>
        <v>237064.81</v>
      </c>
      <c r="G214" s="627">
        <f t="shared" ref="G214:N214" si="5">SUM(G210:G213)</f>
        <v>206333</v>
      </c>
      <c r="H214" s="192">
        <f t="shared" si="5"/>
        <v>175013</v>
      </c>
      <c r="I214" s="727">
        <f t="shared" si="5"/>
        <v>179285</v>
      </c>
      <c r="J214" s="192">
        <f t="shared" si="5"/>
        <v>285561.28999999998</v>
      </c>
      <c r="K214" s="192">
        <f t="shared" si="5"/>
        <v>254574</v>
      </c>
      <c r="L214" s="192">
        <f t="shared" si="5"/>
        <v>351668</v>
      </c>
      <c r="M214" s="192">
        <f t="shared" si="5"/>
        <v>347869.75</v>
      </c>
      <c r="N214" s="192">
        <f t="shared" si="5"/>
        <v>202714.52</v>
      </c>
    </row>
    <row r="215" spans="2:14" hidden="1" x14ac:dyDescent="0.2">
      <c r="D215" s="192"/>
      <c r="E215" s="192"/>
      <c r="F215" s="192"/>
      <c r="H215" s="192"/>
      <c r="I215" s="727"/>
      <c r="J215" s="192"/>
      <c r="K215" s="192"/>
      <c r="L215" s="309"/>
    </row>
    <row r="216" spans="2:14" hidden="1" x14ac:dyDescent="0.2">
      <c r="C216" s="192"/>
      <c r="D216" s="192"/>
      <c r="E216" s="192"/>
      <c r="F216" s="192"/>
      <c r="H216" s="309"/>
      <c r="J216" s="309"/>
      <c r="K216" s="309"/>
    </row>
    <row r="217" spans="2:14" hidden="1" x14ac:dyDescent="0.2">
      <c r="C217" s="192"/>
      <c r="D217" s="192"/>
      <c r="E217" s="192"/>
      <c r="F217" s="192"/>
      <c r="H217" s="309"/>
      <c r="J217" s="309"/>
      <c r="K217" s="309"/>
    </row>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7"/>
  <sheetViews>
    <sheetView topLeftCell="A32" zoomScale="70" zoomScaleNormal="70" workbookViewId="0">
      <selection activeCell="H62" sqref="H62"/>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hidden="1" customWidth="1"/>
    <col min="12" max="12" width="24" style="18" hidden="1"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977" t="s">
        <v>49</v>
      </c>
      <c r="I6" s="977"/>
      <c r="J6" s="977"/>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44926</v>
      </c>
      <c r="I8" s="281"/>
      <c r="J8" s="281">
        <v>44561</v>
      </c>
      <c r="K8" s="71"/>
      <c r="L8" s="281">
        <f>H8-366+1</f>
        <v>44561</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432400.88</v>
      </c>
      <c r="I13" s="244"/>
      <c r="J13" s="244">
        <v>406500.45</v>
      </c>
      <c r="K13" s="76"/>
      <c r="L13" s="244">
        <v>271974.19</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220.4</v>
      </c>
      <c r="I14" s="234"/>
      <c r="J14" s="234">
        <v>200.04</v>
      </c>
      <c r="K14" s="76"/>
      <c r="L14" s="234">
        <v>887.88</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432821.28</v>
      </c>
      <c r="I16" s="236"/>
      <c r="J16" s="236">
        <f>SUM(J13:J15)</f>
        <v>406900.49</v>
      </c>
      <c r="K16" s="68"/>
      <c r="L16" s="236">
        <f>ROUND(SUM(L10:L15),5)</f>
        <v>273062.07</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'December''22 AR Aging '!G73</f>
        <v>360388.08999999997</v>
      </c>
      <c r="I19" s="280"/>
      <c r="J19" s="280">
        <v>339829.81</v>
      </c>
      <c r="K19" s="247"/>
      <c r="L19" s="280">
        <v>397934.47</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89"/>
      <c r="B20" s="391"/>
      <c r="C20" s="79"/>
      <c r="D20" s="79" t="s">
        <v>160</v>
      </c>
      <c r="E20" s="79"/>
      <c r="F20" s="79"/>
      <c r="G20" s="280"/>
      <c r="H20" s="232">
        <v>0</v>
      </c>
      <c r="I20" s="232"/>
      <c r="J20" s="232">
        <v>999.33</v>
      </c>
      <c r="K20" s="247"/>
      <c r="L20" s="232">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1"/>
      <c r="C21" s="75"/>
      <c r="D21" s="75" t="s">
        <v>212</v>
      </c>
      <c r="E21" s="75"/>
      <c r="F21" s="75"/>
      <c r="G21" s="234"/>
      <c r="H21" s="234">
        <v>385735.14</v>
      </c>
      <c r="I21" s="234"/>
      <c r="J21" s="234">
        <v>334446.53999999998</v>
      </c>
      <c r="K21" s="247"/>
      <c r="L21" s="234">
        <v>329502.62</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1"/>
      <c r="C22" s="78"/>
      <c r="D22" s="78" t="s">
        <v>79</v>
      </c>
      <c r="E22" s="78"/>
      <c r="F22" s="78"/>
      <c r="G22" s="232"/>
      <c r="H22" s="235">
        <v>5820.22</v>
      </c>
      <c r="I22" s="232"/>
      <c r="J22" s="398">
        <v>4915.8999999999996</v>
      </c>
      <c r="K22" s="247"/>
      <c r="L22" s="235">
        <v>7734.22</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751943.45</v>
      </c>
      <c r="I23" s="237"/>
      <c r="J23" s="237">
        <f>SUM(J19:J22)</f>
        <v>680191.58</v>
      </c>
      <c r="K23" s="262"/>
      <c r="L23" s="237">
        <f>SUM(L19:L22)</f>
        <v>735171.30999999994</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28">
        <f>H16+H23</f>
        <v>1184764.73</v>
      </c>
      <c r="I25" s="237"/>
      <c r="J25" s="728">
        <f>J16+J23</f>
        <v>1087092.0699999998</v>
      </c>
      <c r="K25" s="68"/>
      <c r="L25" s="728">
        <f>L16+L23</f>
        <v>1008233.3799999999</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45"/>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1"/>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1"/>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1"/>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326</v>
      </c>
      <c r="C32" s="80"/>
      <c r="D32" s="80"/>
      <c r="E32" s="80"/>
      <c r="F32" s="80"/>
      <c r="G32" s="237"/>
      <c r="H32" s="239">
        <v>151755.57999999999</v>
      </c>
      <c r="I32" s="237"/>
      <c r="J32" s="239">
        <v>130132.16</v>
      </c>
      <c r="K32" s="68"/>
      <c r="L32" s="239">
        <v>136678.16</v>
      </c>
      <c r="M32" s="68"/>
      <c r="N32" s="68"/>
      <c r="O32" s="68"/>
      <c r="P32" s="746"/>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t="s">
        <v>632</v>
      </c>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1336520.31</v>
      </c>
      <c r="I35" s="269"/>
      <c r="J35" s="245">
        <f>J25+J32</f>
        <v>1217224.2299999997</v>
      </c>
      <c r="K35" s="82"/>
      <c r="L35" s="245">
        <f>L25+L32</f>
        <v>1144911.5399999998</v>
      </c>
      <c r="M35" s="82"/>
      <c r="N35" s="82"/>
      <c r="O35" s="82"/>
      <c r="P35" s="621"/>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1"/>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f>21269.25</f>
        <v>21269.25</v>
      </c>
      <c r="I42" s="246"/>
      <c r="J42" s="246">
        <v>46360.43</v>
      </c>
      <c r="K42" s="379"/>
      <c r="L42" s="246">
        <v>40038.35</v>
      </c>
      <c r="M42" s="76"/>
      <c r="N42" s="379"/>
      <c r="O42" s="76"/>
      <c r="P42" s="729"/>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v>484.79</v>
      </c>
      <c r="I43" s="232"/>
      <c r="J43" s="232">
        <v>655.5</v>
      </c>
      <c r="K43" s="76"/>
      <c r="L43" s="232">
        <v>74.83</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hidden="1" x14ac:dyDescent="0.2">
      <c r="A44" s="420"/>
      <c r="B44" s="420"/>
      <c r="C44" s="420"/>
      <c r="D44" s="420" t="s">
        <v>408</v>
      </c>
      <c r="F44" s="420"/>
      <c r="G44" s="232"/>
      <c r="H44" s="232">
        <v>0</v>
      </c>
      <c r="I44" s="232"/>
      <c r="J44" s="232"/>
      <c r="K44" s="76"/>
      <c r="L44" s="232"/>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420"/>
      <c r="B45" s="420"/>
      <c r="C45" s="420"/>
      <c r="D45" s="1039" t="s">
        <v>510</v>
      </c>
      <c r="E45" s="1039"/>
      <c r="F45" s="1039"/>
      <c r="G45" s="232"/>
      <c r="H45" s="232">
        <v>53584.59</v>
      </c>
      <c r="I45" s="232"/>
      <c r="J45" s="232"/>
      <c r="K45" s="76"/>
      <c r="L45" s="232"/>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x14ac:dyDescent="0.2">
      <c r="A46" s="75"/>
      <c r="B46" s="75"/>
      <c r="C46" s="75"/>
      <c r="D46" s="79" t="s">
        <v>84</v>
      </c>
      <c r="F46" s="75"/>
      <c r="G46" s="232"/>
      <c r="H46" s="234">
        <v>30370</v>
      </c>
      <c r="I46" s="234"/>
      <c r="J46" s="234">
        <v>23785</v>
      </c>
      <c r="K46" s="76"/>
      <c r="L46" s="234"/>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hidden="1" x14ac:dyDescent="0.2">
      <c r="A47" s="75"/>
      <c r="B47" s="75"/>
      <c r="C47" s="75"/>
      <c r="D47" s="79" t="s">
        <v>156</v>
      </c>
      <c r="F47" s="75"/>
      <c r="G47" s="232"/>
      <c r="H47" s="234">
        <v>0</v>
      </c>
      <c r="I47" s="234"/>
      <c r="J47" s="234">
        <v>0</v>
      </c>
      <c r="K47" s="76"/>
      <c r="L47" s="234">
        <v>0</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75"/>
      <c r="D48" s="78" t="s">
        <v>95</v>
      </c>
      <c r="E48" s="152"/>
      <c r="F48" s="78"/>
      <c r="G48" s="232"/>
      <c r="H48" s="234">
        <f>'December''22 Revenues &amp; Expenses'!L58</f>
        <v>181336.16999999998</v>
      </c>
      <c r="I48" s="322"/>
      <c r="J48" s="234">
        <v>127942.94</v>
      </c>
      <c r="K48" s="247"/>
      <c r="L48" s="234">
        <v>111736.31</v>
      </c>
      <c r="M48" s="76"/>
      <c r="N48" s="76"/>
      <c r="O48" s="76"/>
      <c r="P48" s="247"/>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20.25" x14ac:dyDescent="0.2">
      <c r="A49" s="75"/>
      <c r="B49" s="75"/>
      <c r="C49" s="80" t="s">
        <v>71</v>
      </c>
      <c r="D49" s="75"/>
      <c r="F49" s="75"/>
      <c r="G49" s="232"/>
      <c r="H49" s="242">
        <f>SUM(H42:H48)</f>
        <v>287044.8</v>
      </c>
      <c r="I49" s="322"/>
      <c r="J49" s="242">
        <f>SUM(J42:J48)</f>
        <v>198743.87</v>
      </c>
      <c r="K49" s="76"/>
      <c r="L49" s="242">
        <f>SUM(L42:L48)</f>
        <v>151849.49</v>
      </c>
      <c r="M49" s="76"/>
      <c r="N49" s="76"/>
      <c r="O49" s="76"/>
      <c r="P49" s="729"/>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9.75" customHeight="1" x14ac:dyDescent="0.2">
      <c r="A50" s="75"/>
      <c r="B50" s="75"/>
      <c r="C50" s="75"/>
      <c r="D50" s="75"/>
      <c r="E50" s="75"/>
      <c r="F50" s="75"/>
      <c r="G50" s="232"/>
      <c r="H50" s="234"/>
      <c r="I50" s="322"/>
      <c r="J50" s="234"/>
      <c r="K50" s="76"/>
      <c r="L50" s="234"/>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88" t="s">
        <v>73</v>
      </c>
      <c r="D51" s="88"/>
      <c r="E51" s="152"/>
      <c r="F51" s="152"/>
      <c r="G51" s="232"/>
      <c r="H51" s="235"/>
      <c r="I51" s="322"/>
      <c r="J51" s="235"/>
      <c r="K51" s="76"/>
      <c r="L51" s="235"/>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87</v>
      </c>
      <c r="E52" s="75"/>
      <c r="F52" s="75"/>
      <c r="G52" s="232"/>
      <c r="H52" s="232">
        <f>44806.79+3367.62-H54-H55</f>
        <v>45529.890000000007</v>
      </c>
      <c r="I52" s="322"/>
      <c r="J52" s="232">
        <f>36749.24+3605.15-J54-J55</f>
        <v>37944.31</v>
      </c>
      <c r="K52" s="76"/>
      <c r="L52" s="232">
        <f>18750.19+3295.87-L54-L55</f>
        <v>20543.839999999997</v>
      </c>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88</v>
      </c>
      <c r="E53" s="75"/>
      <c r="F53" s="75"/>
      <c r="G53" s="232"/>
      <c r="H53" s="232">
        <v>23431.200000000001</v>
      </c>
      <c r="I53" s="322"/>
      <c r="J53" s="232">
        <v>22462.79</v>
      </c>
      <c r="K53" s="76"/>
      <c r="L53" s="232">
        <v>29420.74</v>
      </c>
      <c r="M53" s="76"/>
      <c r="N53" s="76"/>
      <c r="O53" s="76"/>
      <c r="P53" s="76"/>
      <c r="Q53" s="247"/>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89</v>
      </c>
      <c r="E54" s="75"/>
      <c r="F54" s="75"/>
      <c r="G54" s="232"/>
      <c r="H54" s="234">
        <v>2469.14</v>
      </c>
      <c r="I54" s="322"/>
      <c r="J54" s="234">
        <v>2203.98</v>
      </c>
      <c r="K54" s="76"/>
      <c r="L54" s="234">
        <v>1379.52</v>
      </c>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75"/>
      <c r="D55" s="75" t="s">
        <v>90</v>
      </c>
      <c r="E55" s="75"/>
      <c r="F55" s="75"/>
      <c r="G55" s="232"/>
      <c r="H55" s="235">
        <v>175.38</v>
      </c>
      <c r="I55" s="322"/>
      <c r="J55" s="235">
        <v>206.1</v>
      </c>
      <c r="K55" s="76"/>
      <c r="L55" s="235">
        <v>122.7</v>
      </c>
      <c r="M55" s="76"/>
      <c r="N55" s="76"/>
      <c r="O55" s="76"/>
      <c r="P55" s="76"/>
      <c r="Q55" s="247"/>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20.25" x14ac:dyDescent="0.2">
      <c r="A56" s="75"/>
      <c r="B56" s="75"/>
      <c r="C56" s="67" t="s">
        <v>72</v>
      </c>
      <c r="D56" s="75"/>
      <c r="F56" s="79"/>
      <c r="G56" s="232"/>
      <c r="H56" s="232">
        <f>ROUND(SUM(H51:H55),5)</f>
        <v>71605.61</v>
      </c>
      <c r="I56" s="322"/>
      <c r="J56" s="232">
        <f>SUM(J52:J55)</f>
        <v>62817.18</v>
      </c>
      <c r="K56" s="76"/>
      <c r="L56" s="232">
        <f>ROUND(SUM(L51:L55),5)</f>
        <v>51466.8</v>
      </c>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7" customFormat="1" ht="7.5" customHeight="1" x14ac:dyDescent="0.2">
      <c r="A57" s="75"/>
      <c r="B57" s="75"/>
      <c r="C57" s="78"/>
      <c r="D57" s="78"/>
      <c r="E57" s="78"/>
      <c r="F57" s="78"/>
      <c r="G57" s="232"/>
      <c r="H57" s="235"/>
      <c r="I57" s="322"/>
      <c r="J57" s="235"/>
      <c r="K57" s="76"/>
      <c r="L57" s="23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row>
    <row r="58" spans="1:61" s="74" customFormat="1" ht="20.25" x14ac:dyDescent="0.2">
      <c r="A58" s="73"/>
      <c r="B58" s="73"/>
      <c r="C58" s="73" t="s">
        <v>74</v>
      </c>
      <c r="D58" s="73"/>
      <c r="E58" s="73"/>
      <c r="F58" s="73"/>
      <c r="G58" s="237"/>
      <c r="H58" s="236">
        <f>H49+H56</f>
        <v>358650.41</v>
      </c>
      <c r="I58" s="384"/>
      <c r="J58" s="236">
        <f>J49+J56</f>
        <v>261561.05</v>
      </c>
      <c r="K58" s="262"/>
      <c r="L58" s="236">
        <f>L49+L56</f>
        <v>203316.28999999998</v>
      </c>
      <c r="M58" s="68"/>
      <c r="N58" s="341"/>
      <c r="O58" s="68"/>
      <c r="P58" s="341"/>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18.75" customHeight="1" x14ac:dyDescent="0.2">
      <c r="A59" s="73"/>
      <c r="B59" s="73"/>
      <c r="C59" s="73"/>
      <c r="D59" s="73"/>
      <c r="E59" s="73"/>
      <c r="F59" s="73"/>
      <c r="G59" s="237"/>
      <c r="H59" s="236"/>
      <c r="I59" s="384"/>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4" customFormat="1" ht="24" thickBot="1" x14ac:dyDescent="0.25">
      <c r="A60" s="73"/>
      <c r="B60" s="86" t="s">
        <v>62</v>
      </c>
      <c r="C60" s="87"/>
      <c r="D60" s="87"/>
      <c r="E60" s="87"/>
      <c r="F60" s="87"/>
      <c r="G60" s="232"/>
      <c r="H60" s="241"/>
      <c r="I60" s="322"/>
      <c r="J60" s="241"/>
      <c r="K60" s="68"/>
      <c r="L60" s="241"/>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row>
    <row r="61" spans="1:61" s="77" customFormat="1" ht="20.25" x14ac:dyDescent="0.2">
      <c r="A61" s="75"/>
      <c r="B61" s="75"/>
      <c r="D61" s="75" t="s">
        <v>329</v>
      </c>
      <c r="E61" s="75"/>
      <c r="F61" s="75"/>
      <c r="G61" s="232"/>
      <c r="H61" s="234">
        <f>J61+J63</f>
        <v>942610.05400000024</v>
      </c>
      <c r="I61" s="322"/>
      <c r="J61" s="234">
        <f>688043.29+35972.48+12500</f>
        <v>736515.77</v>
      </c>
      <c r="K61" s="247"/>
      <c r="L61" s="234">
        <v>736515.77</v>
      </c>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7" customFormat="1" ht="20.25" x14ac:dyDescent="0.2">
      <c r="A62" s="75"/>
      <c r="B62" s="75"/>
      <c r="D62" s="75" t="s">
        <v>330</v>
      </c>
      <c r="E62" s="75"/>
      <c r="F62" s="75"/>
      <c r="G62" s="232"/>
      <c r="H62" s="234">
        <f>'December''22 Revenues &amp; Expenses'!L78-0.5</f>
        <v>75892.91</v>
      </c>
      <c r="I62" s="322"/>
      <c r="J62" s="234">
        <v>13215.59</v>
      </c>
      <c r="K62" s="247"/>
      <c r="L62" s="234">
        <v>27770.09</v>
      </c>
      <c r="M62" s="76"/>
      <c r="N62" s="76"/>
      <c r="O62" s="247"/>
      <c r="P62" s="247"/>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row>
    <row r="63" spans="1:61" s="74" customFormat="1" ht="21" thickBot="1" x14ac:dyDescent="0.25">
      <c r="A63" s="73"/>
      <c r="B63" s="73"/>
      <c r="D63" s="75" t="s">
        <v>129</v>
      </c>
      <c r="E63" s="73"/>
      <c r="F63" s="87"/>
      <c r="G63" s="322"/>
      <c r="H63" s="241">
        <f>'December''22 State of Activities'!G59</f>
        <v>-40471.529999999795</v>
      </c>
      <c r="I63" s="322"/>
      <c r="J63" s="241">
        <f>'December''22 State of Activities'!H59</f>
        <v>206094.28400000022</v>
      </c>
      <c r="K63" s="68"/>
      <c r="L63" s="241">
        <f>'December''22 State of Activities'!J59</f>
        <v>180009.39000000013</v>
      </c>
      <c r="M63" s="68"/>
      <c r="N63" s="68"/>
      <c r="O63" s="68"/>
      <c r="P63" s="38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23.25" x14ac:dyDescent="0.2">
      <c r="A64" s="73"/>
      <c r="B64" s="89" t="s">
        <v>63</v>
      </c>
      <c r="C64" s="90"/>
      <c r="D64" s="90"/>
      <c r="E64" s="90"/>
      <c r="F64" s="67"/>
      <c r="G64" s="384"/>
      <c r="H64" s="237">
        <f>ROUND(SUM(H60:H63),5)</f>
        <v>978031.43400000001</v>
      </c>
      <c r="I64" s="384"/>
      <c r="J64" s="237">
        <f>ROUND(SUM(J60:J63),5)</f>
        <v>955825.64399999997</v>
      </c>
      <c r="K64" s="68"/>
      <c r="L64" s="237">
        <f>ROUND(SUM(L60:L63),5)</f>
        <v>944295.25</v>
      </c>
      <c r="M64" s="68"/>
      <c r="N64" s="68"/>
      <c r="O64" s="68"/>
      <c r="P64" s="38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74" customFormat="1" ht="12.75" customHeight="1" x14ac:dyDescent="0.2">
      <c r="A65" s="73"/>
      <c r="B65" s="73"/>
      <c r="C65" s="73"/>
      <c r="D65" s="73"/>
      <c r="E65" s="73"/>
      <c r="F65" s="73"/>
      <c r="G65" s="322"/>
      <c r="H65" s="235"/>
      <c r="I65" s="322"/>
      <c r="J65" s="235"/>
      <c r="K65" s="68"/>
      <c r="L65" s="235"/>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row>
    <row r="66" spans="1:61" s="91" customFormat="1" ht="27" thickBot="1" x14ac:dyDescent="0.25">
      <c r="A66" s="81" t="s">
        <v>64</v>
      </c>
      <c r="B66" s="81"/>
      <c r="C66" s="81"/>
      <c r="D66" s="81"/>
      <c r="E66" s="81"/>
      <c r="F66" s="81"/>
      <c r="G66" s="385"/>
      <c r="H66" s="354">
        <f>SUM(H58+H64)</f>
        <v>1336681.844</v>
      </c>
      <c r="I66" s="385"/>
      <c r="J66" s="354">
        <f>SUM(J58+J64)</f>
        <v>1217386.6939999999</v>
      </c>
      <c r="K66" s="82"/>
      <c r="L66" s="354">
        <f>SUM(L58+L64)</f>
        <v>1147611.54</v>
      </c>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ht="15" thickTop="1" x14ac:dyDescent="0.2">
      <c r="D67" s="342"/>
      <c r="G67" s="1"/>
      <c r="I67" s="1"/>
    </row>
    <row r="68" spans="1:61" hidden="1" x14ac:dyDescent="0.2">
      <c r="G68" s="386"/>
      <c r="H68" s="249"/>
      <c r="I68" s="249"/>
      <c r="J68" s="249"/>
      <c r="L68" s="249"/>
    </row>
    <row r="69" spans="1:61" ht="14.25" customHeight="1" x14ac:dyDescent="0.2">
      <c r="C69" s="1038" t="s">
        <v>198</v>
      </c>
      <c r="D69" s="1038"/>
      <c r="E69" s="1038"/>
      <c r="F69" s="1038"/>
      <c r="G69" s="1"/>
      <c r="H69" s="435">
        <f>(H19+H16)/H58</f>
        <v>2.2116505317810735</v>
      </c>
      <c r="J69" s="435">
        <v>3.7805007540674778</v>
      </c>
      <c r="K69" s="262"/>
      <c r="L69" s="435">
        <f>(L19+L16)/L58</f>
        <v>3.3002596102850394</v>
      </c>
    </row>
    <row r="72" spans="1:61" x14ac:dyDescent="0.2">
      <c r="G72" s="272"/>
      <c r="H72" s="249"/>
      <c r="I72" s="272"/>
      <c r="J72" s="249"/>
      <c r="L72" s="249">
        <f>L66-L35</f>
        <v>2700.0000000002328</v>
      </c>
    </row>
    <row r="73" spans="1:61" x14ac:dyDescent="0.2">
      <c r="L73" s="603"/>
    </row>
    <row r="77" spans="1:61" x14ac:dyDescent="0.2">
      <c r="H77" s="272"/>
    </row>
  </sheetData>
  <mergeCells count="3">
    <mergeCell ref="C69:F69"/>
    <mergeCell ref="H6:J6"/>
    <mergeCell ref="D45:F45"/>
  </mergeCells>
  <pageMargins left="0.7" right="0.45" top="0.25" bottom="0" header="0.3" footer="0"/>
  <pageSetup scale="7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6"/>
  <sheetViews>
    <sheetView topLeftCell="A34" zoomScale="70" zoomScaleNormal="70" workbookViewId="0">
      <selection activeCell="N61" sqref="N6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4.25" style="18" customWidth="1"/>
    <col min="9" max="9" width="1.625" style="18" hidden="1" customWidth="1"/>
    <col min="10" max="10" width="23" style="18" hidden="1" customWidth="1"/>
    <col min="11" max="11" width="1.875" style="366" customWidth="1"/>
    <col min="12" max="12" width="17.25" style="18" customWidth="1"/>
    <col min="13" max="13" width="10.75" style="18" bestFit="1" customWidth="1"/>
    <col min="14" max="14" width="72.625" style="532"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8"/>
      <c r="L1" s="59"/>
      <c r="M1" s="59"/>
      <c r="N1" s="525"/>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332</v>
      </c>
      <c r="B2" s="59"/>
      <c r="C2" s="60"/>
      <c r="D2" s="60"/>
      <c r="E2" s="60"/>
      <c r="F2" s="59"/>
      <c r="G2" s="230"/>
      <c r="H2" s="59"/>
      <c r="I2" s="59"/>
      <c r="J2" s="230"/>
      <c r="K2" s="358"/>
      <c r="L2" s="59"/>
      <c r="M2" s="59"/>
      <c r="N2" s="525"/>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hidden="1" customHeight="1" x14ac:dyDescent="0.4">
      <c r="A3" s="58" t="s">
        <v>527</v>
      </c>
      <c r="B3" s="59"/>
      <c r="C3" s="60"/>
      <c r="D3" s="60"/>
      <c r="E3" s="60"/>
      <c r="F3" s="59"/>
      <c r="G3" s="230"/>
      <c r="H3" s="59"/>
      <c r="I3" s="59"/>
      <c r="J3" s="59"/>
      <c r="K3" s="358"/>
      <c r="L3" s="59"/>
      <c r="M3" s="59"/>
      <c r="N3" s="525"/>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633</v>
      </c>
      <c r="B4" s="59"/>
      <c r="C4" s="60"/>
      <c r="D4" s="60"/>
      <c r="E4" s="60"/>
      <c r="F4" s="59"/>
      <c r="G4" s="230"/>
      <c r="H4" s="59"/>
      <c r="I4" s="59"/>
      <c r="J4" s="59"/>
      <c r="K4" s="358"/>
      <c r="L4" s="59"/>
      <c r="M4" s="59"/>
      <c r="N4" s="525"/>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59"/>
      <c r="L5" s="62"/>
      <c r="M5" s="62"/>
      <c r="N5" s="526"/>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977" t="s">
        <v>49</v>
      </c>
      <c r="H6" s="977"/>
      <c r="I6" s="977"/>
      <c r="J6" s="977"/>
      <c r="K6" s="610"/>
      <c r="L6" s="415" t="s">
        <v>181</v>
      </c>
      <c r="M6" s="412" t="s">
        <v>193</v>
      </c>
      <c r="N6" s="610"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1"/>
      <c r="N7" s="527"/>
    </row>
    <row r="8" spans="1:113" s="72" customFormat="1" ht="21" thickBot="1" x14ac:dyDescent="0.35">
      <c r="A8" s="69"/>
      <c r="B8" s="153" t="s">
        <v>100</v>
      </c>
      <c r="C8" s="153"/>
      <c r="D8" s="153"/>
      <c r="E8" s="153"/>
      <c r="F8" s="153"/>
      <c r="G8" s="281">
        <f>'December''22 Financial Position'!H8</f>
        <v>44926</v>
      </c>
      <c r="H8" s="281">
        <v>44561</v>
      </c>
      <c r="I8" s="323"/>
      <c r="J8" s="281">
        <f>G8-365</f>
        <v>44561</v>
      </c>
      <c r="K8" s="362"/>
      <c r="L8" s="1040" t="s">
        <v>637</v>
      </c>
      <c r="M8" s="1040"/>
      <c r="N8" s="812"/>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803443.93</v>
      </c>
      <c r="H9" s="263">
        <v>639880.07999999996</v>
      </c>
      <c r="I9" s="326"/>
      <c r="J9" s="263">
        <v>509627.56</v>
      </c>
      <c r="K9" s="361"/>
      <c r="L9" s="378">
        <f>G9-H9</f>
        <v>163563.85000000009</v>
      </c>
      <c r="M9" s="436">
        <f>L9/H9</f>
        <v>0.25561641175015187</v>
      </c>
      <c r="N9" s="528" t="s">
        <v>640</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2"/>
      <c r="C10" s="75" t="s">
        <v>150</v>
      </c>
      <c r="D10" s="75"/>
      <c r="E10" s="75"/>
      <c r="F10" s="73"/>
      <c r="G10" s="264">
        <f>84477.96+126.27+30</f>
        <v>84634.23000000001</v>
      </c>
      <c r="H10" s="264">
        <f>85610.11+162.47</f>
        <v>85772.58</v>
      </c>
      <c r="I10" s="322"/>
      <c r="J10" s="264">
        <v>69417.240000000005</v>
      </c>
      <c r="K10" s="361"/>
      <c r="L10" s="275">
        <f>G10-H10</f>
        <v>-1138.3499999999913</v>
      </c>
      <c r="M10" s="436">
        <f>L10/H10</f>
        <v>-1.3271723900575117E-2</v>
      </c>
      <c r="N10" s="527"/>
      <c r="O10" s="68"/>
      <c r="P10" s="68"/>
      <c r="Q10" s="68">
        <f>308943-240750</f>
        <v>68193</v>
      </c>
      <c r="R10" s="68">
        <f>298771-254181</f>
        <v>44590</v>
      </c>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hidden="1" x14ac:dyDescent="0.2">
      <c r="A11" s="73"/>
      <c r="B11" s="392"/>
      <c r="C11" s="420" t="s">
        <v>505</v>
      </c>
      <c r="D11" s="420"/>
      <c r="E11" s="420"/>
      <c r="F11" s="73"/>
      <c r="G11" s="264">
        <v>0</v>
      </c>
      <c r="H11" s="264">
        <v>162.47</v>
      </c>
      <c r="I11" s="322"/>
      <c r="J11" s="264">
        <v>0</v>
      </c>
      <c r="K11" s="361"/>
      <c r="L11" s="275">
        <f>G11-H11</f>
        <v>-162.47</v>
      </c>
      <c r="M11" s="436"/>
      <c r="N11" s="527"/>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2"/>
      <c r="C12" s="75" t="s">
        <v>179</v>
      </c>
      <c r="D12" s="75"/>
      <c r="E12" s="75"/>
      <c r="F12" s="73"/>
      <c r="G12" s="264">
        <v>37478.050000000003</v>
      </c>
      <c r="H12" s="264">
        <v>39312.44</v>
      </c>
      <c r="I12" s="322"/>
      <c r="J12" s="264">
        <v>30881.72</v>
      </c>
      <c r="K12" s="361"/>
      <c r="L12" s="275">
        <f>G12-H12</f>
        <v>-1834.3899999999994</v>
      </c>
      <c r="M12" s="436">
        <f>L12/H12</f>
        <v>-4.6661820024399385E-2</v>
      </c>
      <c r="N12" s="527"/>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2"/>
      <c r="C13" s="420" t="s">
        <v>634</v>
      </c>
      <c r="D13" s="420"/>
      <c r="E13" s="420"/>
      <c r="F13" s="73"/>
      <c r="G13" s="264">
        <v>15040</v>
      </c>
      <c r="H13" s="264"/>
      <c r="I13" s="322"/>
      <c r="J13" s="264"/>
      <c r="K13" s="361"/>
      <c r="L13" s="275"/>
      <c r="M13" s="436"/>
      <c r="N13" s="527"/>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2"/>
      <c r="C14" s="75" t="s">
        <v>102</v>
      </c>
      <c r="D14" s="75"/>
      <c r="E14" s="75"/>
      <c r="F14" s="73"/>
      <c r="G14" s="264"/>
      <c r="H14" s="264"/>
      <c r="I14" s="322"/>
      <c r="J14" s="264"/>
      <c r="K14" s="361"/>
      <c r="L14" s="275"/>
      <c r="M14" s="436"/>
      <c r="N14" s="527"/>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2"/>
      <c r="C15" s="77"/>
      <c r="D15" s="75" t="s">
        <v>139</v>
      </c>
      <c r="E15" s="75"/>
      <c r="F15" s="73"/>
      <c r="G15" s="264">
        <v>207422.59</v>
      </c>
      <c r="H15" s="264">
        <v>199860.3</v>
      </c>
      <c r="I15" s="322"/>
      <c r="J15" s="264">
        <v>166358.42000000001</v>
      </c>
      <c r="K15" s="361"/>
      <c r="L15" s="275">
        <f t="shared" ref="L15:L29" si="0">G15-H15</f>
        <v>7562.2900000000081</v>
      </c>
      <c r="M15" s="436">
        <f t="shared" ref="M15:M30" si="1">L15/H15</f>
        <v>3.7837879759011712E-2</v>
      </c>
      <c r="N15" s="527"/>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2"/>
      <c r="C16" s="77"/>
      <c r="D16" s="75" t="s">
        <v>159</v>
      </c>
      <c r="E16" s="75"/>
      <c r="F16" s="73"/>
      <c r="G16" s="264">
        <v>18000</v>
      </c>
      <c r="H16" s="264">
        <v>18000</v>
      </c>
      <c r="I16" s="322"/>
      <c r="J16" s="264">
        <f>G16</f>
        <v>18000</v>
      </c>
      <c r="K16" s="361"/>
      <c r="L16" s="275">
        <f t="shared" si="0"/>
        <v>0</v>
      </c>
      <c r="M16" s="436">
        <f t="shared" si="1"/>
        <v>0</v>
      </c>
      <c r="N16" s="527"/>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2"/>
      <c r="C17" s="77"/>
      <c r="D17" s="420" t="s">
        <v>405</v>
      </c>
      <c r="E17" s="420"/>
      <c r="F17" s="73"/>
      <c r="G17" s="264">
        <v>266201.37</v>
      </c>
      <c r="H17" s="264">
        <v>195826.92</v>
      </c>
      <c r="I17" s="322"/>
      <c r="J17" s="264">
        <v>145606.24</v>
      </c>
      <c r="K17" s="361"/>
      <c r="L17" s="275">
        <f t="shared" si="0"/>
        <v>70374.449999999983</v>
      </c>
      <c r="M17" s="436">
        <f t="shared" si="1"/>
        <v>0.35937066262391287</v>
      </c>
      <c r="N17" s="527" t="s">
        <v>486</v>
      </c>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2"/>
      <c r="C18" s="75" t="s">
        <v>103</v>
      </c>
      <c r="D18" s="75"/>
      <c r="E18" s="75"/>
      <c r="F18" s="73"/>
      <c r="G18" s="264">
        <f>'December''22 Revenues &amp; Expenses'!J69</f>
        <v>17485.37</v>
      </c>
      <c r="H18" s="264">
        <v>17445.740000000002</v>
      </c>
      <c r="I18" s="322"/>
      <c r="J18" s="264">
        <v>14076.21</v>
      </c>
      <c r="K18" s="361"/>
      <c r="L18" s="275">
        <f t="shared" si="0"/>
        <v>39.629999999997381</v>
      </c>
      <c r="M18" s="436">
        <f t="shared" si="1"/>
        <v>2.2716147323069919E-3</v>
      </c>
      <c r="N18" s="528"/>
      <c r="O18" s="68"/>
      <c r="P18" s="68"/>
      <c r="Q18" s="2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2"/>
      <c r="C19" s="389" t="s">
        <v>161</v>
      </c>
      <c r="D19" s="389"/>
      <c r="E19" s="389"/>
      <c r="F19" s="73"/>
      <c r="G19" s="264">
        <v>125</v>
      </c>
      <c r="H19" s="264">
        <v>489.56</v>
      </c>
      <c r="I19" s="322"/>
      <c r="J19" s="264">
        <v>489.56</v>
      </c>
      <c r="K19" s="361"/>
      <c r="L19" s="275">
        <f t="shared" si="0"/>
        <v>-364.56</v>
      </c>
      <c r="M19" s="436">
        <f t="shared" si="1"/>
        <v>-0.74466868208186943</v>
      </c>
      <c r="N19" s="52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2"/>
      <c r="C20" s="75" t="s">
        <v>110</v>
      </c>
      <c r="D20" s="75"/>
      <c r="E20" s="75"/>
      <c r="F20" s="73"/>
      <c r="G20" s="264">
        <v>433.36</v>
      </c>
      <c r="H20" s="264">
        <v>551.77</v>
      </c>
      <c r="I20" s="322"/>
      <c r="J20" s="264">
        <v>486.44</v>
      </c>
      <c r="K20" s="361"/>
      <c r="L20" s="275">
        <f t="shared" si="0"/>
        <v>-118.40999999999997</v>
      </c>
      <c r="M20" s="436">
        <f t="shared" si="1"/>
        <v>-0.21460028635119702</v>
      </c>
      <c r="N20" s="527"/>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2"/>
      <c r="C21" s="389" t="s">
        <v>237</v>
      </c>
      <c r="D21" s="389"/>
      <c r="E21" s="389"/>
      <c r="F21" s="73"/>
      <c r="G21" s="264">
        <v>12684.73</v>
      </c>
      <c r="H21" s="264">
        <v>13040.92</v>
      </c>
      <c r="I21" s="322"/>
      <c r="J21" s="264">
        <v>-32.69</v>
      </c>
      <c r="K21" s="361"/>
      <c r="L21" s="275">
        <f t="shared" si="0"/>
        <v>-356.19000000000051</v>
      </c>
      <c r="M21" s="436">
        <f t="shared" si="1"/>
        <v>-2.7313257040147514E-2</v>
      </c>
      <c r="N21" s="527"/>
      <c r="O21" s="68"/>
      <c r="P21" s="68"/>
      <c r="Q21" s="2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2"/>
      <c r="C22" s="75" t="s">
        <v>302</v>
      </c>
      <c r="D22" s="75"/>
      <c r="E22" s="75"/>
      <c r="F22" s="73"/>
      <c r="G22" s="264">
        <v>-61396.13</v>
      </c>
      <c r="H22" s="264">
        <v>14856.56</v>
      </c>
      <c r="I22" s="322"/>
      <c r="J22" s="264">
        <v>22986.25</v>
      </c>
      <c r="K22" s="361"/>
      <c r="L22" s="275">
        <f t="shared" si="0"/>
        <v>-76252.69</v>
      </c>
      <c r="M22" s="436">
        <f t="shared" si="1"/>
        <v>-5.1325939517627237</v>
      </c>
      <c r="N22" s="527"/>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2"/>
      <c r="C23" s="75" t="s">
        <v>460</v>
      </c>
      <c r="D23" s="75"/>
      <c r="E23" s="75"/>
      <c r="F23" s="73"/>
      <c r="G23" s="264">
        <v>168020.75</v>
      </c>
      <c r="H23" s="264">
        <v>98525.94</v>
      </c>
      <c r="I23" s="322"/>
      <c r="J23" s="264">
        <v>65832.570000000007</v>
      </c>
      <c r="K23" s="361"/>
      <c r="L23" s="275">
        <f t="shared" si="0"/>
        <v>69494.81</v>
      </c>
      <c r="M23" s="436">
        <f t="shared" si="1"/>
        <v>0.70534531312261517</v>
      </c>
      <c r="N23" s="527" t="s">
        <v>641</v>
      </c>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2"/>
      <c r="C24" s="75" t="s">
        <v>145</v>
      </c>
      <c r="D24" s="75"/>
      <c r="E24" s="75"/>
      <c r="F24" s="73"/>
      <c r="G24" s="264">
        <f>27090.95-30</f>
        <v>27060.95</v>
      </c>
      <c r="H24" s="264">
        <f>31219.52-H11</f>
        <v>31057.05</v>
      </c>
      <c r="I24" s="322"/>
      <c r="J24" s="264">
        <v>23952.86</v>
      </c>
      <c r="K24" s="361"/>
      <c r="L24" s="275">
        <f t="shared" si="0"/>
        <v>-3996.0999999999985</v>
      </c>
      <c r="M24" s="436">
        <f t="shared" si="1"/>
        <v>-0.12866965793595975</v>
      </c>
      <c r="N24" s="624"/>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2"/>
      <c r="C25" s="420" t="s">
        <v>459</v>
      </c>
      <c r="D25" s="420"/>
      <c r="E25" s="420"/>
      <c r="F25" s="73"/>
      <c r="G25" s="264"/>
      <c r="H25" s="264">
        <v>197400</v>
      </c>
      <c r="I25" s="322"/>
      <c r="J25" s="264">
        <v>197400</v>
      </c>
      <c r="K25" s="361"/>
      <c r="L25" s="275">
        <f t="shared" si="0"/>
        <v>-197400</v>
      </c>
      <c r="M25" s="436">
        <f t="shared" si="1"/>
        <v>-1</v>
      </c>
      <c r="N25" s="624"/>
      <c r="O25" s="68"/>
      <c r="P25" s="68"/>
      <c r="Q25" s="2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0.25" x14ac:dyDescent="0.2">
      <c r="A26" s="73"/>
      <c r="B26" s="392"/>
      <c r="C26" s="75" t="s">
        <v>322</v>
      </c>
      <c r="D26" s="75"/>
      <c r="E26" s="75"/>
      <c r="F26" s="73"/>
      <c r="G26" s="264"/>
      <c r="H26" s="264">
        <v>3150</v>
      </c>
      <c r="I26" s="322"/>
      <c r="J26" s="264">
        <v>3150</v>
      </c>
      <c r="K26" s="361"/>
      <c r="L26" s="275">
        <f t="shared" si="0"/>
        <v>-3150</v>
      </c>
      <c r="M26" s="436">
        <f t="shared" si="1"/>
        <v>-1</v>
      </c>
      <c r="N26" s="527"/>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1" thickBot="1" x14ac:dyDescent="0.25">
      <c r="A27" s="73"/>
      <c r="B27" s="392"/>
      <c r="C27" s="75" t="s">
        <v>109</v>
      </c>
      <c r="D27" s="75"/>
      <c r="E27" s="75"/>
      <c r="F27" s="73"/>
      <c r="G27" s="265">
        <v>52740</v>
      </c>
      <c r="H27" s="265">
        <v>52740</v>
      </c>
      <c r="I27" s="322"/>
      <c r="J27" s="265">
        <f>G27</f>
        <v>52740</v>
      </c>
      <c r="K27" s="361"/>
      <c r="L27" s="377">
        <f t="shared" si="0"/>
        <v>0</v>
      </c>
      <c r="M27" s="463">
        <f t="shared" si="1"/>
        <v>0</v>
      </c>
      <c r="N27" s="527"/>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0.25" x14ac:dyDescent="0.2">
      <c r="A28" s="73"/>
      <c r="B28" s="392"/>
      <c r="C28" s="75"/>
      <c r="D28" s="73" t="s">
        <v>105</v>
      </c>
      <c r="E28" s="75"/>
      <c r="F28" s="73"/>
      <c r="G28" s="264">
        <f>SUM(G9:G27)</f>
        <v>1649374.2000000002</v>
      </c>
      <c r="H28" s="234">
        <f>SUM(H9:H27)</f>
        <v>1608072.3299999998</v>
      </c>
      <c r="I28" s="232"/>
      <c r="J28" s="234">
        <f>SUM(J9:J27)</f>
        <v>1320972.3800000001</v>
      </c>
      <c r="K28" s="361"/>
      <c r="L28" s="234">
        <f t="shared" si="0"/>
        <v>41301.870000000345</v>
      </c>
      <c r="M28" s="436">
        <f t="shared" si="1"/>
        <v>2.5684087232568917E-2</v>
      </c>
      <c r="N28" s="527"/>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1" thickBot="1" x14ac:dyDescent="0.25">
      <c r="A29" s="73"/>
      <c r="B29" s="392"/>
      <c r="C29" s="73" t="s">
        <v>106</v>
      </c>
      <c r="D29" s="75"/>
      <c r="E29" s="75"/>
      <c r="F29" s="73"/>
      <c r="G29" s="265">
        <v>99372.22</v>
      </c>
      <c r="H29" s="241">
        <v>96686.19</v>
      </c>
      <c r="I29" s="232"/>
      <c r="J29" s="241">
        <v>78131.69</v>
      </c>
      <c r="K29" s="361"/>
      <c r="L29" s="241">
        <f t="shared" si="0"/>
        <v>2686.0299999999988</v>
      </c>
      <c r="M29" s="463">
        <f t="shared" si="1"/>
        <v>2.7780906456237431E-2</v>
      </c>
      <c r="N29" s="528"/>
      <c r="O29" s="68"/>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20.25" x14ac:dyDescent="0.2">
      <c r="A30" s="73"/>
      <c r="B30" s="392"/>
      <c r="C30" s="75"/>
      <c r="D30" s="73" t="s">
        <v>107</v>
      </c>
      <c r="E30" s="75"/>
      <c r="F30" s="73"/>
      <c r="G30" s="234">
        <f>SUM(G28:G29)</f>
        <v>1748746.4200000002</v>
      </c>
      <c r="H30" s="234">
        <f>SUM(H28:H29)</f>
        <v>1704758.5199999998</v>
      </c>
      <c r="I30" s="232"/>
      <c r="J30" s="234">
        <f>SUM(J28:J29)</f>
        <v>1399104.07</v>
      </c>
      <c r="K30" s="262"/>
      <c r="L30" s="234">
        <f>SUM(L28:L29)</f>
        <v>43987.900000000343</v>
      </c>
      <c r="M30" s="436">
        <f t="shared" si="1"/>
        <v>2.5803009331785212E-2</v>
      </c>
      <c r="N30" s="528"/>
      <c r="O30" s="262"/>
      <c r="P30" s="68"/>
      <c r="Q30" s="341"/>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6" customHeight="1" x14ac:dyDescent="0.2">
      <c r="A31" s="73"/>
      <c r="B31" s="392"/>
      <c r="C31" s="75"/>
      <c r="D31" s="73"/>
      <c r="E31" s="75"/>
      <c r="F31" s="73"/>
      <c r="G31" s="234"/>
      <c r="H31" s="234"/>
      <c r="I31" s="232"/>
      <c r="J31" s="234"/>
      <c r="K31" s="361"/>
      <c r="L31" s="402"/>
      <c r="M31" s="512"/>
      <c r="N31" s="527"/>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74" customFormat="1" ht="21" thickBot="1" x14ac:dyDescent="0.25">
      <c r="A32" s="73"/>
      <c r="B32" s="393" t="s">
        <v>111</v>
      </c>
      <c r="C32" s="87"/>
      <c r="D32" s="87"/>
      <c r="E32" s="87"/>
      <c r="F32" s="87"/>
      <c r="G32" s="241"/>
      <c r="H32" s="241"/>
      <c r="I32" s="68"/>
      <c r="J32" s="241"/>
      <c r="K32" s="361"/>
      <c r="L32" s="402"/>
      <c r="M32" s="512"/>
      <c r="N32" s="52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row>
    <row r="33" spans="1:16" s="68" customFormat="1" ht="20.25" x14ac:dyDescent="0.2">
      <c r="A33" s="67"/>
      <c r="B33" s="394"/>
      <c r="C33" s="79" t="s">
        <v>112</v>
      </c>
      <c r="D33" s="79"/>
      <c r="E33" s="79"/>
      <c r="F33" s="79"/>
      <c r="G33" s="232">
        <v>1007778.19</v>
      </c>
      <c r="H33" s="232">
        <v>873066.21</v>
      </c>
      <c r="I33" s="275"/>
      <c r="J33" s="232">
        <v>714778.08</v>
      </c>
      <c r="K33" s="361"/>
      <c r="L33" s="275">
        <f t="shared" ref="L33:L55" si="2">G33-H33</f>
        <v>134711.97999999998</v>
      </c>
      <c r="M33" s="436">
        <f t="shared" ref="M33:M44" si="3">L33/H33</f>
        <v>0.15429755321764199</v>
      </c>
      <c r="N33" s="528" t="s">
        <v>503</v>
      </c>
    </row>
    <row r="34" spans="1:16" s="68" customFormat="1" ht="20.25" x14ac:dyDescent="0.2">
      <c r="A34" s="67"/>
      <c r="B34" s="394"/>
      <c r="C34" s="79" t="s">
        <v>113</v>
      </c>
      <c r="D34" s="79"/>
      <c r="E34" s="79"/>
      <c r="F34" s="79"/>
      <c r="G34" s="232">
        <v>220591.78</v>
      </c>
      <c r="H34" s="232">
        <v>163567.74</v>
      </c>
      <c r="I34" s="275"/>
      <c r="J34" s="232">
        <v>122518.36</v>
      </c>
      <c r="K34" s="361"/>
      <c r="L34" s="275">
        <f t="shared" si="2"/>
        <v>57024.040000000008</v>
      </c>
      <c r="M34" s="436">
        <f t="shared" si="3"/>
        <v>0.34862644675533216</v>
      </c>
      <c r="N34" s="722" t="s">
        <v>639</v>
      </c>
    </row>
    <row r="35" spans="1:16" s="68" customFormat="1" ht="20.25" x14ac:dyDescent="0.2">
      <c r="A35" s="67"/>
      <c r="B35" s="394"/>
      <c r="C35" s="79" t="s">
        <v>114</v>
      </c>
      <c r="D35" s="79"/>
      <c r="E35" s="79"/>
      <c r="F35" s="79"/>
      <c r="G35" s="232">
        <f>150*12</f>
        <v>1800</v>
      </c>
      <c r="H35" s="232">
        <f>54540-H27</f>
        <v>1800</v>
      </c>
      <c r="I35" s="275"/>
      <c r="J35" s="232">
        <f>G35</f>
        <v>1800</v>
      </c>
      <c r="K35" s="361"/>
      <c r="L35" s="275">
        <f t="shared" si="2"/>
        <v>0</v>
      </c>
      <c r="M35" s="436">
        <f t="shared" si="3"/>
        <v>0</v>
      </c>
      <c r="N35" s="674"/>
    </row>
    <row r="36" spans="1:16" s="68" customFormat="1" ht="20.25" x14ac:dyDescent="0.2">
      <c r="A36" s="67"/>
      <c r="B36" s="394"/>
      <c r="C36" s="79" t="s">
        <v>104</v>
      </c>
      <c r="D36" s="79"/>
      <c r="E36" s="79"/>
      <c r="F36" s="79"/>
      <c r="G36" s="232">
        <f>G27</f>
        <v>52740</v>
      </c>
      <c r="H36" s="232">
        <f>H27</f>
        <v>52740</v>
      </c>
      <c r="I36" s="275"/>
      <c r="J36" s="232">
        <f>J27</f>
        <v>52740</v>
      </c>
      <c r="K36" s="361"/>
      <c r="L36" s="275">
        <f t="shared" si="2"/>
        <v>0</v>
      </c>
      <c r="M36" s="436">
        <f t="shared" si="3"/>
        <v>0</v>
      </c>
      <c r="N36" s="674"/>
    </row>
    <row r="37" spans="1:16" s="68" customFormat="1" ht="20.25" x14ac:dyDescent="0.2">
      <c r="A37" s="67"/>
      <c r="B37" s="394"/>
      <c r="C37" s="79" t="s">
        <v>115</v>
      </c>
      <c r="D37" s="79"/>
      <c r="E37" s="79"/>
      <c r="F37" s="79"/>
      <c r="G37" s="232">
        <v>21455.64</v>
      </c>
      <c r="H37" s="232">
        <v>20551.490000000002</v>
      </c>
      <c r="I37" s="275"/>
      <c r="J37" s="232">
        <v>17138.34</v>
      </c>
      <c r="K37" s="361"/>
      <c r="L37" s="275">
        <f t="shared" si="2"/>
        <v>904.14999999999782</v>
      </c>
      <c r="M37" s="436">
        <f t="shared" si="3"/>
        <v>4.3994377050033735E-2</v>
      </c>
      <c r="N37" s="674"/>
    </row>
    <row r="38" spans="1:16" s="68" customFormat="1" ht="20.25" x14ac:dyDescent="0.2">
      <c r="A38" s="67"/>
      <c r="B38" s="394"/>
      <c r="C38" s="79" t="s">
        <v>116</v>
      </c>
      <c r="D38" s="79"/>
      <c r="E38" s="79"/>
      <c r="F38" s="79"/>
      <c r="G38" s="232">
        <v>2520.5300000000002</v>
      </c>
      <c r="H38" s="232">
        <v>2608.8200000000002</v>
      </c>
      <c r="I38" s="275"/>
      <c r="J38" s="232">
        <v>1996.58</v>
      </c>
      <c r="K38" s="361"/>
      <c r="L38" s="275">
        <f t="shared" si="2"/>
        <v>-88.289999999999964</v>
      </c>
      <c r="M38" s="436">
        <f t="shared" si="3"/>
        <v>-3.384288682239478E-2</v>
      </c>
      <c r="N38" s="674"/>
    </row>
    <row r="39" spans="1:16" s="68" customFormat="1" ht="20.25" x14ac:dyDescent="0.2">
      <c r="A39" s="67"/>
      <c r="B39" s="394"/>
      <c r="C39" s="79" t="s">
        <v>117</v>
      </c>
      <c r="D39" s="79"/>
      <c r="E39" s="79"/>
      <c r="F39" s="79"/>
      <c r="G39" s="232">
        <v>3693.23</v>
      </c>
      <c r="H39" s="232">
        <v>4468.68</v>
      </c>
      <c r="I39" s="275"/>
      <c r="J39" s="232">
        <v>3325.69</v>
      </c>
      <c r="K39" s="361"/>
      <c r="L39" s="275">
        <f t="shared" si="2"/>
        <v>-775.45000000000027</v>
      </c>
      <c r="M39" s="436">
        <f t="shared" si="3"/>
        <v>-0.173529990959299</v>
      </c>
      <c r="N39" s="674"/>
    </row>
    <row r="40" spans="1:16" s="68" customFormat="1" ht="20.25" x14ac:dyDescent="0.2">
      <c r="A40" s="67"/>
      <c r="B40" s="394"/>
      <c r="C40" s="79" t="s">
        <v>118</v>
      </c>
      <c r="D40" s="79"/>
      <c r="E40" s="79"/>
      <c r="F40" s="79"/>
      <c r="G40" s="232">
        <v>9957.61</v>
      </c>
      <c r="H40" s="232">
        <v>11468.65</v>
      </c>
      <c r="I40" s="275"/>
      <c r="J40" s="232">
        <v>6561.28</v>
      </c>
      <c r="K40" s="361"/>
      <c r="L40" s="275">
        <f t="shared" si="2"/>
        <v>-1511.0399999999991</v>
      </c>
      <c r="M40" s="436">
        <f t="shared" si="3"/>
        <v>-0.13175395534783946</v>
      </c>
      <c r="N40" s="674"/>
    </row>
    <row r="41" spans="1:16" s="68" customFormat="1" ht="20.25" x14ac:dyDescent="0.2">
      <c r="A41" s="67"/>
      <c r="B41" s="394"/>
      <c r="C41" s="79" t="s">
        <v>119</v>
      </c>
      <c r="D41" s="79"/>
      <c r="E41" s="79"/>
      <c r="F41" s="79"/>
      <c r="G41" s="232">
        <f>30529.33+14188.56</f>
        <v>44717.89</v>
      </c>
      <c r="H41" s="232">
        <f>26437.37+17898.29</f>
        <v>44335.66</v>
      </c>
      <c r="I41" s="275"/>
      <c r="J41" s="232">
        <f>21420.09+15737.16</f>
        <v>37157.25</v>
      </c>
      <c r="K41" s="361"/>
      <c r="L41" s="275">
        <f t="shared" si="2"/>
        <v>382.22999999999593</v>
      </c>
      <c r="M41" s="436">
        <f t="shared" si="3"/>
        <v>8.6212768683266681E-3</v>
      </c>
      <c r="N41" s="674"/>
    </row>
    <row r="42" spans="1:16" s="68" customFormat="1" ht="20.25" x14ac:dyDescent="0.2">
      <c r="A42" s="67"/>
      <c r="B42" s="394"/>
      <c r="C42" s="79" t="s">
        <v>120</v>
      </c>
      <c r="D42" s="79"/>
      <c r="E42" s="79"/>
      <c r="F42" s="79"/>
      <c r="G42" s="232">
        <v>4597.3500000000004</v>
      </c>
      <c r="H42" s="232">
        <v>3409.16</v>
      </c>
      <c r="I42" s="275"/>
      <c r="J42" s="232">
        <f>3227.13</f>
        <v>3227.13</v>
      </c>
      <c r="K42" s="361"/>
      <c r="L42" s="275">
        <f t="shared" si="2"/>
        <v>1188.1900000000005</v>
      </c>
      <c r="M42" s="436">
        <f t="shared" si="3"/>
        <v>0.34852866981895853</v>
      </c>
      <c r="N42" s="674"/>
    </row>
    <row r="43" spans="1:16" s="68" customFormat="1" ht="20.25" x14ac:dyDescent="0.2">
      <c r="A43" s="67"/>
      <c r="B43" s="394"/>
      <c r="C43" s="79" t="s">
        <v>121</v>
      </c>
      <c r="D43" s="79"/>
      <c r="E43" s="79"/>
      <c r="F43" s="79"/>
      <c r="G43" s="232">
        <v>1250.1300000000001</v>
      </c>
      <c r="H43" s="232">
        <v>1279.73</v>
      </c>
      <c r="I43" s="275"/>
      <c r="J43" s="232">
        <f>960.77</f>
        <v>960.77</v>
      </c>
      <c r="K43" s="361"/>
      <c r="L43" s="275">
        <f t="shared" si="2"/>
        <v>-29.599999999999909</v>
      </c>
      <c r="M43" s="436">
        <f t="shared" si="3"/>
        <v>-2.312987895884281E-2</v>
      </c>
      <c r="N43" s="674"/>
    </row>
    <row r="44" spans="1:16" s="68" customFormat="1" ht="20.25" x14ac:dyDescent="0.2">
      <c r="A44" s="67"/>
      <c r="B44" s="394"/>
      <c r="C44" s="79" t="s">
        <v>166</v>
      </c>
      <c r="D44" s="79"/>
      <c r="E44" s="79"/>
      <c r="F44" s="79"/>
      <c r="G44" s="232">
        <v>22675</v>
      </c>
      <c r="H44" s="232">
        <v>11350</v>
      </c>
      <c r="I44" s="275"/>
      <c r="J44" s="232">
        <v>10350</v>
      </c>
      <c r="K44" s="361"/>
      <c r="L44" s="275">
        <f t="shared" si="2"/>
        <v>11325</v>
      </c>
      <c r="M44" s="436">
        <f t="shared" si="3"/>
        <v>0.99779735682819382</v>
      </c>
      <c r="N44" s="674" t="s">
        <v>635</v>
      </c>
    </row>
    <row r="45" spans="1:16" s="68" customFormat="1" ht="20.25" hidden="1" x14ac:dyDescent="0.2">
      <c r="A45" s="67"/>
      <c r="B45" s="394"/>
      <c r="C45" s="979" t="s">
        <v>324</v>
      </c>
      <c r="D45" s="979"/>
      <c r="E45" s="979"/>
      <c r="F45" s="979"/>
      <c r="G45" s="232"/>
      <c r="H45" s="232"/>
      <c r="I45" s="275"/>
      <c r="J45" s="232"/>
      <c r="K45" s="361"/>
      <c r="L45" s="275">
        <f t="shared" si="2"/>
        <v>0</v>
      </c>
      <c r="M45" s="436">
        <v>1</v>
      </c>
      <c r="N45" s="674"/>
    </row>
    <row r="46" spans="1:16" s="76" customFormat="1" ht="20.25" x14ac:dyDescent="0.2">
      <c r="A46" s="79"/>
      <c r="B46" s="390"/>
      <c r="C46" s="79" t="s">
        <v>122</v>
      </c>
      <c r="D46" s="79"/>
      <c r="E46" s="79"/>
      <c r="F46" s="79"/>
      <c r="G46" s="322">
        <v>23073.200000000001</v>
      </c>
      <c r="H46" s="322">
        <v>15569.28</v>
      </c>
      <c r="I46" s="400"/>
      <c r="J46" s="322">
        <v>15424.3</v>
      </c>
      <c r="K46" s="363"/>
      <c r="L46" s="275">
        <f t="shared" si="2"/>
        <v>7503.92</v>
      </c>
      <c r="M46" s="436">
        <f t="shared" ref="M46:M55" si="4">L46/H46</f>
        <v>0.48196962223044354</v>
      </c>
      <c r="N46" s="674" t="s">
        <v>514</v>
      </c>
    </row>
    <row r="47" spans="1:16" s="76" customFormat="1" ht="20.25" x14ac:dyDescent="0.2">
      <c r="A47" s="79"/>
      <c r="B47" s="390"/>
      <c r="C47" s="79" t="s">
        <v>123</v>
      </c>
      <c r="D47" s="79"/>
      <c r="E47" s="79"/>
      <c r="F47" s="79"/>
      <c r="G47" s="322">
        <v>12215.08</v>
      </c>
      <c r="H47" s="322">
        <v>11475.97</v>
      </c>
      <c r="I47" s="232"/>
      <c r="J47" s="232">
        <v>9567.01</v>
      </c>
      <c r="K47" s="363"/>
      <c r="L47" s="275">
        <f t="shared" si="2"/>
        <v>739.11000000000058</v>
      </c>
      <c r="M47" s="436">
        <f t="shared" si="4"/>
        <v>6.4405013258138577E-2</v>
      </c>
      <c r="N47" s="529"/>
    </row>
    <row r="48" spans="1:16" s="76" customFormat="1" ht="20.25" x14ac:dyDescent="0.2">
      <c r="A48" s="79"/>
      <c r="B48" s="390"/>
      <c r="C48" s="79" t="s">
        <v>130</v>
      </c>
      <c r="D48" s="79"/>
      <c r="E48" s="79"/>
      <c r="F48" s="79"/>
      <c r="G48" s="232">
        <f>1999.96</f>
        <v>1999.96</v>
      </c>
      <c r="H48" s="232">
        <v>1861.99</v>
      </c>
      <c r="I48" s="232"/>
      <c r="J48" s="232">
        <v>1489.99</v>
      </c>
      <c r="K48" s="363"/>
      <c r="L48" s="275">
        <f t="shared" si="2"/>
        <v>137.97000000000003</v>
      </c>
      <c r="M48" s="436">
        <f t="shared" si="4"/>
        <v>7.4098142310109097E-2</v>
      </c>
      <c r="P48" s="247"/>
    </row>
    <row r="49" spans="1:18" s="76" customFormat="1" ht="20.25" x14ac:dyDescent="0.2">
      <c r="A49" s="79"/>
      <c r="B49" s="390"/>
      <c r="C49" s="79" t="s">
        <v>124</v>
      </c>
      <c r="D49" s="79"/>
      <c r="E49" s="79"/>
      <c r="F49" s="79"/>
      <c r="G49" s="322">
        <v>6581.01</v>
      </c>
      <c r="H49" s="322">
        <v>727.6</v>
      </c>
      <c r="I49" s="232"/>
      <c r="J49" s="322">
        <v>340</v>
      </c>
      <c r="K49" s="363"/>
      <c r="L49" s="275">
        <f t="shared" si="2"/>
        <v>5853.41</v>
      </c>
      <c r="M49" s="436">
        <f t="shared" si="4"/>
        <v>8.0448185816382622</v>
      </c>
      <c r="N49" s="674"/>
      <c r="P49" s="247"/>
    </row>
    <row r="50" spans="1:18" s="68" customFormat="1" ht="20.25" x14ac:dyDescent="0.2">
      <c r="A50" s="67"/>
      <c r="B50" s="394"/>
      <c r="C50" s="79" t="s">
        <v>199</v>
      </c>
      <c r="D50" s="79"/>
      <c r="E50" s="79"/>
      <c r="F50" s="79"/>
      <c r="G50" s="232">
        <v>8352.76</v>
      </c>
      <c r="H50" s="232">
        <v>3471.0360000000001</v>
      </c>
      <c r="I50" s="232"/>
      <c r="J50" s="232">
        <v>2462.7800000000002</v>
      </c>
      <c r="K50" s="361"/>
      <c r="L50" s="275">
        <f t="shared" si="2"/>
        <v>4881.7240000000002</v>
      </c>
      <c r="M50" s="436">
        <f t="shared" si="4"/>
        <v>1.4064169890488027</v>
      </c>
      <c r="N50" s="674" t="s">
        <v>636</v>
      </c>
    </row>
    <row r="51" spans="1:18" s="76" customFormat="1" ht="20.25" x14ac:dyDescent="0.2">
      <c r="A51" s="79"/>
      <c r="B51" s="390"/>
      <c r="C51" s="79" t="s">
        <v>511</v>
      </c>
      <c r="D51" s="79"/>
      <c r="E51" s="79"/>
      <c r="F51" s="79"/>
      <c r="G51" s="322">
        <v>38909</v>
      </c>
      <c r="H51" s="322">
        <v>38596</v>
      </c>
      <c r="I51" s="232"/>
      <c r="J51" s="322">
        <v>32050</v>
      </c>
      <c r="K51" s="363"/>
      <c r="L51" s="275">
        <f t="shared" si="2"/>
        <v>313</v>
      </c>
      <c r="M51" s="436">
        <f t="shared" si="4"/>
        <v>8.1096486682557777E-3</v>
      </c>
      <c r="N51" s="529"/>
    </row>
    <row r="52" spans="1:18" s="76" customFormat="1" ht="20.25" x14ac:dyDescent="0.2">
      <c r="A52" s="79"/>
      <c r="B52" s="390"/>
      <c r="C52" s="79" t="s">
        <v>126</v>
      </c>
      <c r="D52" s="79"/>
      <c r="E52" s="79"/>
      <c r="F52" s="79"/>
      <c r="G52" s="322">
        <f>11900+130658.19+3300+6607.12</f>
        <v>152465.31</v>
      </c>
      <c r="H52" s="322">
        <f>11720+76750.27+6893.12</f>
        <v>95363.39</v>
      </c>
      <c r="I52" s="232"/>
      <c r="J52" s="322">
        <f>9650+46926.27+5693.12</f>
        <v>62269.39</v>
      </c>
      <c r="K52" s="363"/>
      <c r="L52" s="275">
        <f t="shared" si="2"/>
        <v>57101.919999999998</v>
      </c>
      <c r="M52" s="436">
        <f t="shared" si="4"/>
        <v>0.59878240486207546</v>
      </c>
      <c r="N52" s="527" t="s">
        <v>486</v>
      </c>
    </row>
    <row r="53" spans="1:18" s="76" customFormat="1" ht="20.25" x14ac:dyDescent="0.2">
      <c r="A53" s="79"/>
      <c r="B53" s="390"/>
      <c r="C53" s="79" t="s">
        <v>165</v>
      </c>
      <c r="D53" s="79"/>
      <c r="E53" s="79"/>
      <c r="F53" s="79"/>
      <c r="G53" s="232">
        <v>74987.45</v>
      </c>
      <c r="H53" s="232">
        <v>69143.429999999993</v>
      </c>
      <c r="I53" s="232"/>
      <c r="J53" s="232">
        <f>58676.33</f>
        <v>58676.33</v>
      </c>
      <c r="K53" s="363"/>
      <c r="L53" s="275">
        <f t="shared" si="2"/>
        <v>5844.0200000000041</v>
      </c>
      <c r="M53" s="436">
        <f t="shared" si="4"/>
        <v>8.4520250152472984E-2</v>
      </c>
      <c r="N53" s="674" t="s">
        <v>528</v>
      </c>
    </row>
    <row r="54" spans="1:18" s="76" customFormat="1" ht="20.25" x14ac:dyDescent="0.2">
      <c r="A54" s="79"/>
      <c r="B54" s="390"/>
      <c r="C54" s="79" t="s">
        <v>127</v>
      </c>
      <c r="D54" s="79"/>
      <c r="E54" s="79"/>
      <c r="F54" s="79"/>
      <c r="G54" s="232">
        <f>1237.48+74988.02</f>
        <v>76225.5</v>
      </c>
      <c r="H54" s="232">
        <f>66441.41+3892.74</f>
        <v>70334.150000000009</v>
      </c>
      <c r="I54" s="232"/>
      <c r="J54" s="232">
        <f>3892.74+58941.41</f>
        <v>62834.15</v>
      </c>
      <c r="K54" s="363"/>
      <c r="L54" s="275">
        <f t="shared" si="2"/>
        <v>5891.3499999999913</v>
      </c>
      <c r="M54" s="436">
        <f t="shared" si="4"/>
        <v>8.3762297546781911E-2</v>
      </c>
      <c r="N54" s="674"/>
    </row>
    <row r="55" spans="1:18" s="76" customFormat="1" ht="21" thickBot="1" x14ac:dyDescent="0.25">
      <c r="A55" s="79"/>
      <c r="B55" s="390"/>
      <c r="C55" s="79" t="s">
        <v>512</v>
      </c>
      <c r="D55" s="79"/>
      <c r="E55" s="79"/>
      <c r="F55" s="79"/>
      <c r="G55" s="241">
        <f>591.33+40</f>
        <v>631.33000000000004</v>
      </c>
      <c r="H55" s="241">
        <f>1427.25+48</f>
        <v>1475.25</v>
      </c>
      <c r="I55" s="232"/>
      <c r="J55" s="241">
        <v>1427.25</v>
      </c>
      <c r="K55" s="665"/>
      <c r="L55" s="377">
        <f t="shared" si="2"/>
        <v>-843.92</v>
      </c>
      <c r="M55" s="463">
        <f t="shared" si="4"/>
        <v>-0.5720521945432977</v>
      </c>
      <c r="N55" s="674"/>
    </row>
    <row r="56" spans="1:18" s="76" customFormat="1" ht="21" hidden="1" thickBot="1" x14ac:dyDescent="0.25">
      <c r="A56" s="79"/>
      <c r="B56" s="390"/>
      <c r="C56" s="79"/>
      <c r="D56" s="79"/>
      <c r="E56" s="79"/>
      <c r="F56" s="79"/>
      <c r="G56" s="241"/>
      <c r="H56" s="241"/>
      <c r="I56" s="232"/>
      <c r="J56" s="241"/>
      <c r="K56" s="363"/>
      <c r="L56" s="377"/>
      <c r="M56" s="463"/>
      <c r="N56" s="527"/>
    </row>
    <row r="57" spans="1:18" s="68" customFormat="1" ht="20.25" x14ac:dyDescent="0.2">
      <c r="A57" s="67"/>
      <c r="B57" s="394"/>
      <c r="C57" s="67"/>
      <c r="D57" s="73" t="s">
        <v>128</v>
      </c>
      <c r="E57" s="67"/>
      <c r="F57" s="67"/>
      <c r="G57" s="237">
        <f>SUM(G33:G55)</f>
        <v>1789217.95</v>
      </c>
      <c r="H57" s="237">
        <f>SUM(H33:H55)</f>
        <v>1498664.2359999996</v>
      </c>
      <c r="I57" s="232"/>
      <c r="J57" s="237">
        <f>SUM(J33:J55)</f>
        <v>1219094.68</v>
      </c>
      <c r="K57" s="361"/>
      <c r="L57" s="234">
        <f>SUM(L33:L55)</f>
        <v>290553.71399999992</v>
      </c>
      <c r="M57" s="436">
        <f>L57/H57</f>
        <v>0.19387512360707326</v>
      </c>
      <c r="N57" s="530"/>
    </row>
    <row r="58" spans="1:18" s="68" customFormat="1" ht="10.5" customHeight="1" thickBot="1" x14ac:dyDescent="0.25">
      <c r="A58" s="67"/>
      <c r="B58" s="394"/>
      <c r="C58" s="67"/>
      <c r="D58" s="73"/>
      <c r="E58" s="67"/>
      <c r="F58" s="67"/>
      <c r="G58" s="241"/>
      <c r="H58" s="241"/>
      <c r="I58" s="232"/>
      <c r="J58" s="241"/>
      <c r="K58" s="361"/>
      <c r="L58" s="404"/>
      <c r="M58" s="513"/>
      <c r="N58" s="530"/>
    </row>
    <row r="59" spans="1:18" s="68" customFormat="1" ht="21" thickBot="1" x14ac:dyDescent="0.25">
      <c r="A59" s="67"/>
      <c r="B59" s="394"/>
      <c r="C59" s="67"/>
      <c r="D59" s="67" t="s">
        <v>129</v>
      </c>
      <c r="E59" s="67"/>
      <c r="F59" s="67"/>
      <c r="G59" s="241">
        <f>G30-G57</f>
        <v>-40471.529999999795</v>
      </c>
      <c r="H59" s="241">
        <f>H30-H57</f>
        <v>206094.28400000022</v>
      </c>
      <c r="I59" s="232"/>
      <c r="J59" s="241">
        <f>J30-J57</f>
        <v>180009.39000000013</v>
      </c>
      <c r="K59" s="361"/>
      <c r="L59" s="241">
        <f>L30-L57</f>
        <v>-246565.81399999958</v>
      </c>
      <c r="M59" s="507">
        <f>L59/H59</f>
        <v>-1.196373859645711</v>
      </c>
      <c r="N59" s="530"/>
    </row>
    <row r="60" spans="1:18" s="68" customFormat="1" ht="11.25" customHeight="1" x14ac:dyDescent="0.2">
      <c r="A60" s="67"/>
      <c r="B60" s="394"/>
      <c r="C60" s="67"/>
      <c r="D60" s="67"/>
      <c r="E60" s="67"/>
      <c r="F60" s="67"/>
      <c r="G60" s="232"/>
      <c r="H60" s="232"/>
      <c r="I60" s="232"/>
      <c r="J60" s="232"/>
      <c r="K60" s="361"/>
      <c r="L60" s="402"/>
      <c r="M60" s="512"/>
      <c r="N60" s="527"/>
    </row>
    <row r="61" spans="1:18" s="76" customFormat="1" ht="21" thickBot="1" x14ac:dyDescent="0.25">
      <c r="A61" s="79"/>
      <c r="B61" s="393" t="s">
        <v>334</v>
      </c>
      <c r="C61" s="87"/>
      <c r="D61" s="87"/>
      <c r="E61" s="87"/>
      <c r="F61" s="87"/>
      <c r="G61" s="664"/>
      <c r="H61" s="241"/>
      <c r="I61" s="232"/>
      <c r="J61" s="241"/>
      <c r="K61" s="363"/>
      <c r="L61" s="402"/>
      <c r="M61" s="512"/>
      <c r="N61" s="527"/>
    </row>
    <row r="62" spans="1:18" s="76" customFormat="1" ht="20.25" x14ac:dyDescent="0.2">
      <c r="A62" s="79"/>
      <c r="B62" s="394"/>
      <c r="C62" s="67"/>
      <c r="D62" s="67" t="s">
        <v>141</v>
      </c>
      <c r="E62" s="67"/>
      <c r="F62" s="67"/>
      <c r="G62" s="232"/>
      <c r="H62" s="232"/>
      <c r="I62" s="232"/>
      <c r="J62" s="232"/>
      <c r="K62" s="363"/>
      <c r="L62" s="402"/>
      <c r="M62" s="512"/>
      <c r="N62" s="527"/>
    </row>
    <row r="63" spans="1:18" s="76" customFormat="1" ht="20.25" x14ac:dyDescent="0.2">
      <c r="A63" s="79"/>
      <c r="B63" s="394"/>
      <c r="C63" s="67"/>
      <c r="D63" s="67"/>
      <c r="E63" s="79" t="s">
        <v>142</v>
      </c>
      <c r="F63" s="67"/>
      <c r="G63" s="232">
        <f>52000+10400</f>
        <v>62400</v>
      </c>
      <c r="H63" s="232">
        <v>41600</v>
      </c>
      <c r="I63" s="232"/>
      <c r="J63" s="232">
        <v>41600</v>
      </c>
      <c r="K63" s="363"/>
      <c r="L63" s="275">
        <f t="shared" ref="L63:L64" si="5">G63-H63</f>
        <v>20800</v>
      </c>
      <c r="M63" s="436">
        <f>L63/H63</f>
        <v>0.5</v>
      </c>
      <c r="N63" s="527"/>
      <c r="R63" s="247"/>
    </row>
    <row r="64" spans="1:18" s="76" customFormat="1" ht="20.25" x14ac:dyDescent="0.2">
      <c r="A64" s="79"/>
      <c r="B64" s="394"/>
      <c r="C64" s="67"/>
      <c r="D64" s="67"/>
      <c r="E64" s="79" t="s">
        <v>169</v>
      </c>
      <c r="F64" s="67"/>
      <c r="G64" s="232">
        <f>20000</f>
        <v>20000</v>
      </c>
      <c r="H64" s="232">
        <v>18500</v>
      </c>
      <c r="I64" s="232"/>
      <c r="J64" s="232">
        <v>18500</v>
      </c>
      <c r="K64" s="363"/>
      <c r="L64" s="275">
        <f t="shared" si="5"/>
        <v>1500</v>
      </c>
      <c r="M64" s="436">
        <f>L64/H64</f>
        <v>8.1081081081081086E-2</v>
      </c>
      <c r="N64" s="527"/>
    </row>
    <row r="65" spans="1:14" s="76" customFormat="1" ht="20.25" x14ac:dyDescent="0.2">
      <c r="A65" s="79"/>
      <c r="B65" s="394"/>
      <c r="C65" s="67"/>
      <c r="D65" s="67"/>
      <c r="E65" s="79" t="s">
        <v>440</v>
      </c>
      <c r="F65" s="67"/>
      <c r="G65" s="232"/>
      <c r="H65" s="232">
        <v>15000</v>
      </c>
      <c r="I65" s="232"/>
      <c r="J65" s="232">
        <v>15000</v>
      </c>
      <c r="K65" s="363"/>
      <c r="L65" s="275">
        <f>G65-H65</f>
        <v>-15000</v>
      </c>
      <c r="M65" s="436"/>
      <c r="N65" s="527"/>
    </row>
    <row r="66" spans="1:14" s="76" customFormat="1" ht="20.25" x14ac:dyDescent="0.2">
      <c r="A66" s="79"/>
      <c r="B66" s="394"/>
      <c r="C66" s="67"/>
      <c r="D66" s="67"/>
      <c r="E66" s="79" t="s">
        <v>395</v>
      </c>
      <c r="F66" s="67"/>
      <c r="G66" s="232">
        <v>50000</v>
      </c>
      <c r="H66" s="232"/>
      <c r="I66" s="232"/>
      <c r="J66" s="232"/>
      <c r="K66" s="363"/>
      <c r="L66" s="275">
        <f>G66-H66</f>
        <v>50000</v>
      </c>
      <c r="M66" s="436"/>
      <c r="N66" s="527"/>
    </row>
    <row r="67" spans="1:14" s="76" customFormat="1" ht="21" thickBot="1" x14ac:dyDescent="0.25">
      <c r="A67" s="79"/>
      <c r="B67" s="394"/>
      <c r="C67" s="67"/>
      <c r="D67" s="67"/>
      <c r="E67" s="79" t="s">
        <v>140</v>
      </c>
      <c r="F67" s="67"/>
      <c r="G67" s="235">
        <f>29650-1</f>
        <v>29649</v>
      </c>
      <c r="H67" s="235">
        <v>6600</v>
      </c>
      <c r="I67" s="235"/>
      <c r="J67" s="235">
        <f>100+2500</f>
        <v>2600</v>
      </c>
      <c r="K67" s="619"/>
      <c r="L67" s="377">
        <f>G67-H67</f>
        <v>23049</v>
      </c>
      <c r="M67" s="510">
        <f>L67/H67</f>
        <v>3.4922727272727272</v>
      </c>
      <c r="N67" s="527"/>
    </row>
    <row r="68" spans="1:14" s="76" customFormat="1" ht="21" thickBot="1" x14ac:dyDescent="0.25">
      <c r="A68" s="79"/>
      <c r="B68" s="394"/>
      <c r="C68" s="67"/>
      <c r="D68" s="67" t="s">
        <v>106</v>
      </c>
      <c r="E68" s="67"/>
      <c r="F68" s="67"/>
      <c r="G68" s="241">
        <f>-G29</f>
        <v>-99372.22</v>
      </c>
      <c r="H68" s="241">
        <f>-H29</f>
        <v>-96686.19</v>
      </c>
      <c r="I68" s="232"/>
      <c r="J68" s="241">
        <f>-J29</f>
        <v>-78131.69</v>
      </c>
      <c r="K68" s="363"/>
      <c r="L68" s="377">
        <f>G68-H68</f>
        <v>-2686.0299999999988</v>
      </c>
      <c r="M68" s="463">
        <f>L68/H68</f>
        <v>2.7780906456237431E-2</v>
      </c>
      <c r="N68" s="527"/>
    </row>
    <row r="69" spans="1:14" s="76" customFormat="1" ht="21" thickBot="1" x14ac:dyDescent="0.25">
      <c r="A69" s="79"/>
      <c r="B69" s="394"/>
      <c r="C69" s="67"/>
      <c r="D69" s="67"/>
      <c r="E69" s="67" t="s">
        <v>333</v>
      </c>
      <c r="F69" s="67"/>
      <c r="G69" s="241">
        <f>SUM(G62:G68)</f>
        <v>62676.78</v>
      </c>
      <c r="H69" s="241">
        <f>SUM(H62:H68)</f>
        <v>-14986.190000000002</v>
      </c>
      <c r="I69" s="232"/>
      <c r="J69" s="241">
        <f>SUM(J62:J68)</f>
        <v>-431.69000000000233</v>
      </c>
      <c r="K69" s="363"/>
      <c r="L69" s="241">
        <f>SUM(L63:L68)</f>
        <v>77662.97</v>
      </c>
      <c r="M69" s="463">
        <f>L69/H69</f>
        <v>-5.1823025065076571</v>
      </c>
      <c r="N69" s="527"/>
    </row>
    <row r="70" spans="1:14" s="68" customFormat="1" ht="7.5" customHeight="1" x14ac:dyDescent="0.2">
      <c r="A70" s="67"/>
      <c r="B70" s="394"/>
      <c r="C70" s="67"/>
      <c r="D70" s="67"/>
      <c r="E70" s="67"/>
      <c r="F70" s="67"/>
      <c r="G70" s="273"/>
      <c r="H70" s="273"/>
      <c r="I70" s="273"/>
      <c r="J70" s="273"/>
      <c r="K70" s="361"/>
      <c r="L70" s="402"/>
      <c r="M70" s="402"/>
      <c r="N70" s="527"/>
    </row>
    <row r="71" spans="1:14" s="68" customFormat="1" ht="20.25" x14ac:dyDescent="0.2">
      <c r="A71" s="67"/>
      <c r="B71" s="394"/>
      <c r="C71" s="67"/>
      <c r="D71" s="67"/>
      <c r="E71" s="67" t="s">
        <v>86</v>
      </c>
      <c r="F71" s="67"/>
      <c r="G71" s="237">
        <f>G59+G69</f>
        <v>22205.250000000204</v>
      </c>
      <c r="H71" s="237">
        <f>H59+H69</f>
        <v>191108.09400000022</v>
      </c>
      <c r="I71" s="237"/>
      <c r="J71" s="237">
        <f>J59+J69</f>
        <v>179577.70000000013</v>
      </c>
      <c r="K71" s="361"/>
      <c r="L71" s="237">
        <f>L59+L69</f>
        <v>-168902.84399999958</v>
      </c>
      <c r="M71" s="237"/>
      <c r="N71" s="527"/>
    </row>
    <row r="72" spans="1:14" s="68" customFormat="1" ht="8.25" customHeight="1" x14ac:dyDescent="0.2">
      <c r="A72" s="67"/>
      <c r="B72" s="394"/>
      <c r="C72" s="67"/>
      <c r="D72" s="67"/>
      <c r="E72" s="67"/>
      <c r="F72" s="67"/>
      <c r="G72" s="232"/>
      <c r="H72" s="232"/>
      <c r="I72" s="232"/>
      <c r="J72" s="232"/>
      <c r="K72" s="361"/>
      <c r="L72" s="402"/>
      <c r="M72" s="402"/>
      <c r="N72" s="527"/>
    </row>
    <row r="73" spans="1:14" s="82" customFormat="1" ht="26.25" x14ac:dyDescent="0.2">
      <c r="A73" s="268"/>
      <c r="B73" s="395"/>
      <c r="C73" s="67"/>
      <c r="D73" s="67" t="s">
        <v>144</v>
      </c>
      <c r="E73" s="67"/>
      <c r="F73" s="67"/>
      <c r="G73" s="237">
        <f>H74</f>
        <v>955825.64400000032</v>
      </c>
      <c r="H73" s="237">
        <f>764817.55-100</f>
        <v>764717.55</v>
      </c>
      <c r="I73" s="237"/>
      <c r="J73" s="237">
        <f>H73</f>
        <v>764717.55</v>
      </c>
      <c r="K73" s="364"/>
      <c r="L73" s="403"/>
      <c r="M73" s="403"/>
      <c r="N73" s="531"/>
    </row>
    <row r="74" spans="1:14" s="84" customFormat="1" ht="21" thickBot="1" x14ac:dyDescent="0.25">
      <c r="A74" s="67"/>
      <c r="B74" s="394"/>
      <c r="C74" s="67"/>
      <c r="E74" s="67" t="s">
        <v>143</v>
      </c>
      <c r="F74" s="67"/>
      <c r="G74" s="321">
        <f>G71+G73</f>
        <v>978030.89400000055</v>
      </c>
      <c r="H74" s="321">
        <f>H71+H73</f>
        <v>955825.64400000032</v>
      </c>
      <c r="I74" s="273"/>
      <c r="J74" s="321">
        <f>J71+J73</f>
        <v>944295.25000000023</v>
      </c>
      <c r="K74" s="365"/>
      <c r="L74" s="273"/>
      <c r="M74" s="403"/>
      <c r="N74" s="531"/>
    </row>
    <row r="75" spans="1:14" s="65" customFormat="1" ht="6.75" customHeight="1" thickTop="1" x14ac:dyDescent="0.2">
      <c r="A75" s="268"/>
      <c r="B75" s="395"/>
      <c r="C75" s="67"/>
      <c r="D75" s="268"/>
      <c r="E75" s="268"/>
      <c r="F75" s="268"/>
      <c r="G75" s="270"/>
      <c r="H75" s="232"/>
      <c r="I75" s="232"/>
      <c r="J75" s="232"/>
      <c r="K75" s="360"/>
      <c r="L75" s="402"/>
      <c r="M75" s="402"/>
      <c r="N75" s="527"/>
    </row>
    <row r="76" spans="1:14" s="68" customFormat="1" ht="16.5" customHeight="1" x14ac:dyDescent="0.2">
      <c r="A76" s="67"/>
      <c r="B76" s="394"/>
      <c r="D76" s="342"/>
      <c r="E76" s="67"/>
      <c r="G76" s="232"/>
      <c r="H76" s="232"/>
      <c r="I76" s="232"/>
      <c r="J76" s="232"/>
      <c r="K76" s="361"/>
      <c r="L76" s="402"/>
      <c r="M76" s="402"/>
      <c r="N76" s="527"/>
    </row>
    <row r="77" spans="1:14" s="68" customFormat="1" ht="23.25" x14ac:dyDescent="0.2">
      <c r="A77" s="67"/>
      <c r="B77" s="396"/>
      <c r="C77" s="67"/>
      <c r="D77" s="67"/>
      <c r="E77" s="67"/>
      <c r="F77" s="67"/>
      <c r="G77" s="232"/>
      <c r="H77" s="232"/>
      <c r="I77" s="232"/>
      <c r="J77" s="232"/>
      <c r="K77" s="361"/>
      <c r="L77" s="402"/>
      <c r="M77" s="402"/>
      <c r="N77" s="527"/>
    </row>
    <row r="78" spans="1:14" s="68" customFormat="1" ht="20.25" x14ac:dyDescent="0.2">
      <c r="A78" s="67"/>
      <c r="B78" s="394"/>
      <c r="C78" s="67"/>
      <c r="D78" s="67"/>
      <c r="E78" s="67"/>
      <c r="F78" s="67"/>
      <c r="G78" s="232"/>
      <c r="H78" s="232"/>
      <c r="I78" s="232"/>
      <c r="J78" s="232"/>
      <c r="K78" s="361"/>
      <c r="L78" s="402"/>
      <c r="M78" s="402"/>
      <c r="N78" s="527"/>
    </row>
    <row r="79" spans="1:14" s="76" customFormat="1" ht="20.25" x14ac:dyDescent="0.2">
      <c r="A79" s="79"/>
      <c r="B79" s="390"/>
      <c r="C79" s="79"/>
      <c r="D79" s="79"/>
      <c r="F79" s="79"/>
      <c r="G79" s="246"/>
      <c r="H79" s="232"/>
      <c r="I79" s="232"/>
      <c r="J79" s="232"/>
      <c r="K79" s="363"/>
      <c r="L79" s="402"/>
      <c r="M79" s="402"/>
      <c r="N79" s="527"/>
    </row>
    <row r="80" spans="1:14" s="76" customFormat="1" ht="20.25" x14ac:dyDescent="0.2">
      <c r="A80" s="79"/>
      <c r="B80" s="390"/>
      <c r="C80" s="79"/>
      <c r="D80" s="79"/>
      <c r="F80" s="79"/>
      <c r="G80" s="232"/>
      <c r="H80" s="232"/>
      <c r="I80" s="232"/>
      <c r="J80" s="232"/>
      <c r="K80" s="363"/>
      <c r="L80" s="402"/>
      <c r="M80" s="402"/>
      <c r="N80" s="527"/>
    </row>
    <row r="81" spans="1:14" s="76" customFormat="1" ht="20.25" x14ac:dyDescent="0.2">
      <c r="A81" s="79"/>
      <c r="B81" s="390"/>
      <c r="C81" s="79"/>
      <c r="D81" s="79"/>
      <c r="F81" s="79"/>
      <c r="G81" s="232"/>
      <c r="H81" s="232"/>
      <c r="I81" s="232"/>
      <c r="J81" s="232"/>
      <c r="K81" s="363"/>
      <c r="L81" s="402"/>
      <c r="M81" s="402"/>
      <c r="N81" s="527"/>
    </row>
    <row r="82" spans="1:14" s="76" customFormat="1" ht="20.25" x14ac:dyDescent="0.2">
      <c r="A82" s="79"/>
      <c r="B82" s="79"/>
      <c r="C82" s="79"/>
      <c r="D82" s="79"/>
      <c r="F82" s="79"/>
      <c r="G82" s="232"/>
      <c r="H82" s="232"/>
      <c r="I82" s="232"/>
      <c r="J82" s="232"/>
      <c r="K82" s="363"/>
      <c r="L82" s="402"/>
      <c r="M82" s="402"/>
      <c r="N82" s="527"/>
    </row>
    <row r="83" spans="1:14" s="76" customFormat="1" ht="20.25" x14ac:dyDescent="0.2">
      <c r="A83" s="79"/>
      <c r="B83" s="79"/>
      <c r="C83" s="79"/>
      <c r="D83" s="79"/>
      <c r="F83" s="79"/>
      <c r="G83" s="232"/>
      <c r="H83" s="232"/>
      <c r="I83" s="232"/>
      <c r="J83" s="232"/>
      <c r="K83" s="363"/>
      <c r="L83" s="402"/>
      <c r="M83" s="402"/>
      <c r="N83" s="527"/>
    </row>
    <row r="84" spans="1:14" s="76" customFormat="1" ht="20.25" x14ac:dyDescent="0.2">
      <c r="A84" s="79"/>
      <c r="B84" s="79"/>
      <c r="C84" s="79"/>
      <c r="D84" s="79"/>
      <c r="F84" s="79"/>
      <c r="G84" s="232"/>
      <c r="H84" s="232"/>
      <c r="I84" s="232"/>
      <c r="J84" s="232"/>
      <c r="K84" s="363"/>
      <c r="L84" s="402"/>
      <c r="M84" s="402"/>
      <c r="N84" s="527"/>
    </row>
    <row r="85" spans="1:14" s="76" customFormat="1" ht="20.25" x14ac:dyDescent="0.2">
      <c r="A85" s="79"/>
      <c r="B85" s="79"/>
      <c r="C85" s="67"/>
      <c r="D85" s="79"/>
      <c r="F85" s="79"/>
      <c r="G85" s="232"/>
      <c r="H85" s="232"/>
      <c r="I85" s="232"/>
      <c r="J85" s="232"/>
      <c r="K85" s="363"/>
      <c r="L85" s="402"/>
      <c r="M85" s="402"/>
      <c r="N85" s="527"/>
    </row>
    <row r="86" spans="1:14" s="76" customFormat="1" ht="20.25" x14ac:dyDescent="0.2">
      <c r="A86" s="79"/>
      <c r="B86" s="79"/>
      <c r="C86" s="79"/>
      <c r="D86" s="79"/>
      <c r="E86" s="79"/>
      <c r="F86" s="79"/>
      <c r="G86" s="232"/>
      <c r="H86" s="232"/>
      <c r="I86" s="232"/>
      <c r="J86" s="232"/>
      <c r="K86" s="363"/>
      <c r="L86" s="402"/>
      <c r="M86" s="402"/>
      <c r="N86" s="527"/>
    </row>
    <row r="87" spans="1:14" s="76" customFormat="1" ht="20.25" x14ac:dyDescent="0.2">
      <c r="A87" s="79"/>
      <c r="B87" s="79"/>
      <c r="C87" s="67"/>
      <c r="D87" s="67"/>
      <c r="G87" s="232"/>
      <c r="H87" s="232"/>
      <c r="I87" s="232"/>
      <c r="J87" s="232"/>
      <c r="K87" s="363"/>
      <c r="L87" s="402"/>
      <c r="M87" s="402"/>
      <c r="N87" s="527"/>
    </row>
    <row r="88" spans="1:14" s="76" customFormat="1" ht="20.25" x14ac:dyDescent="0.2">
      <c r="A88" s="79"/>
      <c r="B88" s="79"/>
      <c r="C88" s="79"/>
      <c r="D88" s="79"/>
      <c r="E88" s="79"/>
      <c r="F88" s="79"/>
      <c r="G88" s="232"/>
      <c r="H88" s="232"/>
      <c r="I88" s="232"/>
      <c r="J88" s="232"/>
      <c r="K88" s="363"/>
      <c r="L88" s="402"/>
      <c r="M88" s="402"/>
      <c r="N88" s="527"/>
    </row>
    <row r="89" spans="1:14" s="76" customFormat="1" ht="20.25" x14ac:dyDescent="0.2">
      <c r="A89" s="79"/>
      <c r="B89" s="79"/>
      <c r="C89" s="79"/>
      <c r="D89" s="79"/>
      <c r="E89" s="79"/>
      <c r="F89" s="79"/>
      <c r="G89" s="232"/>
      <c r="H89" s="232"/>
      <c r="I89" s="232"/>
      <c r="J89" s="232"/>
      <c r="K89" s="363"/>
      <c r="L89" s="402"/>
      <c r="M89" s="402"/>
      <c r="N89" s="527"/>
    </row>
    <row r="90" spans="1:14" s="76" customFormat="1" ht="20.25" x14ac:dyDescent="0.2">
      <c r="A90" s="79"/>
      <c r="B90" s="79"/>
      <c r="C90" s="79"/>
      <c r="D90" s="79"/>
      <c r="E90" s="79"/>
      <c r="F90" s="79"/>
      <c r="G90" s="232"/>
      <c r="H90" s="232"/>
      <c r="I90" s="232"/>
      <c r="J90" s="232"/>
      <c r="K90" s="363"/>
      <c r="L90" s="402"/>
      <c r="M90" s="402"/>
      <c r="N90" s="527"/>
    </row>
    <row r="91" spans="1:14" s="76" customFormat="1" ht="20.25" x14ac:dyDescent="0.2">
      <c r="A91" s="79"/>
      <c r="B91" s="79"/>
      <c r="C91" s="79"/>
      <c r="D91" s="79"/>
      <c r="E91" s="79"/>
      <c r="F91" s="79"/>
      <c r="G91" s="232"/>
      <c r="H91" s="232"/>
      <c r="I91" s="232"/>
      <c r="J91" s="232"/>
      <c r="K91" s="363"/>
      <c r="L91" s="402"/>
      <c r="M91" s="402"/>
      <c r="N91" s="527"/>
    </row>
    <row r="92" spans="1:14" s="76" customFormat="1" ht="20.25" x14ac:dyDescent="0.2">
      <c r="A92" s="79"/>
      <c r="B92" s="79"/>
      <c r="C92" s="67"/>
      <c r="D92" s="79"/>
      <c r="F92" s="79"/>
      <c r="G92" s="232"/>
      <c r="H92" s="232"/>
      <c r="I92" s="232"/>
      <c r="J92" s="232"/>
      <c r="K92" s="363"/>
      <c r="L92" s="402"/>
      <c r="M92" s="402"/>
      <c r="N92" s="527"/>
    </row>
    <row r="93" spans="1:14" s="76" customFormat="1" ht="20.25" x14ac:dyDescent="0.2">
      <c r="A93" s="79"/>
      <c r="B93" s="79"/>
      <c r="C93" s="79"/>
      <c r="D93" s="79"/>
      <c r="E93" s="79"/>
      <c r="F93" s="79"/>
      <c r="G93" s="232"/>
      <c r="H93" s="232"/>
      <c r="I93" s="232"/>
      <c r="J93" s="232"/>
      <c r="K93" s="363"/>
      <c r="L93" s="402"/>
      <c r="M93" s="402"/>
      <c r="N93" s="527"/>
    </row>
    <row r="94" spans="1:14" s="68" customFormat="1" ht="20.25" x14ac:dyDescent="0.2">
      <c r="A94" s="67"/>
      <c r="B94" s="67"/>
      <c r="C94" s="67"/>
      <c r="D94" s="67"/>
      <c r="E94" s="67"/>
      <c r="F94" s="67"/>
      <c r="G94" s="237"/>
      <c r="H94" s="237"/>
      <c r="I94" s="237"/>
      <c r="J94" s="237"/>
      <c r="K94" s="361"/>
      <c r="N94" s="527"/>
    </row>
    <row r="95" spans="1:14" s="68" customFormat="1" ht="20.25" x14ac:dyDescent="0.2">
      <c r="A95" s="67"/>
      <c r="B95" s="67"/>
      <c r="C95" s="67"/>
      <c r="D95" s="67"/>
      <c r="E95" s="67"/>
      <c r="F95" s="67"/>
      <c r="G95" s="237"/>
      <c r="H95" s="237"/>
      <c r="I95" s="237"/>
      <c r="J95" s="237"/>
      <c r="K95" s="361"/>
      <c r="N95" s="527"/>
    </row>
    <row r="96" spans="1:14" s="68" customFormat="1" ht="23.25" x14ac:dyDescent="0.2">
      <c r="A96" s="67"/>
      <c r="B96" s="271"/>
      <c r="C96" s="67"/>
      <c r="D96" s="67"/>
      <c r="E96" s="67"/>
      <c r="F96" s="67"/>
      <c r="G96" s="232"/>
      <c r="H96" s="232"/>
      <c r="I96" s="232"/>
      <c r="J96" s="232"/>
      <c r="K96" s="361"/>
      <c r="N96" s="527"/>
    </row>
    <row r="97" spans="1:14" s="76" customFormat="1" ht="20.25" x14ac:dyDescent="0.2">
      <c r="A97" s="79"/>
      <c r="B97" s="79"/>
      <c r="D97" s="79"/>
      <c r="E97" s="79"/>
      <c r="F97" s="79"/>
      <c r="G97" s="232"/>
      <c r="H97" s="232"/>
      <c r="I97" s="232"/>
      <c r="J97" s="232"/>
      <c r="K97" s="363"/>
      <c r="N97" s="527"/>
    </row>
    <row r="98" spans="1:14" s="76" customFormat="1" ht="20.25" x14ac:dyDescent="0.2">
      <c r="A98" s="79"/>
      <c r="B98" s="79"/>
      <c r="D98" s="79"/>
      <c r="E98" s="79"/>
      <c r="F98" s="79"/>
      <c r="G98" s="232"/>
      <c r="H98" s="232"/>
      <c r="I98" s="232"/>
      <c r="J98" s="232"/>
      <c r="K98" s="363"/>
      <c r="N98" s="527"/>
    </row>
    <row r="99" spans="1:14" s="68" customFormat="1" ht="20.25" x14ac:dyDescent="0.2">
      <c r="A99" s="67"/>
      <c r="B99" s="67"/>
      <c r="D99" s="79"/>
      <c r="E99" s="67"/>
      <c r="F99" s="67"/>
      <c r="G99" s="232"/>
      <c r="H99" s="232"/>
      <c r="I99" s="232"/>
      <c r="J99" s="232"/>
      <c r="K99" s="361"/>
      <c r="N99" s="527"/>
    </row>
    <row r="100" spans="1:14" s="68" customFormat="1" ht="23.25" x14ac:dyDescent="0.2">
      <c r="A100" s="67"/>
      <c r="B100" s="271"/>
      <c r="C100" s="67"/>
      <c r="D100" s="67"/>
      <c r="E100" s="67"/>
      <c r="F100" s="67"/>
      <c r="G100" s="237"/>
      <c r="H100" s="237"/>
      <c r="I100" s="237"/>
      <c r="J100" s="237"/>
      <c r="K100" s="361"/>
      <c r="N100" s="527"/>
    </row>
    <row r="101" spans="1:14" s="68" customFormat="1" ht="20.25" x14ac:dyDescent="0.2">
      <c r="A101" s="67"/>
      <c r="B101" s="67"/>
      <c r="C101" s="67"/>
      <c r="D101" s="67"/>
      <c r="E101" s="67"/>
      <c r="F101" s="67"/>
      <c r="G101" s="232"/>
      <c r="H101" s="232"/>
      <c r="I101" s="232"/>
      <c r="J101" s="232"/>
      <c r="K101" s="361"/>
      <c r="N101" s="527"/>
    </row>
    <row r="102" spans="1:14" s="82" customFormat="1" ht="26.25" x14ac:dyDescent="0.2">
      <c r="A102" s="268"/>
      <c r="B102" s="268"/>
      <c r="C102" s="268"/>
      <c r="D102" s="268"/>
      <c r="E102" s="268"/>
      <c r="F102" s="268"/>
      <c r="G102" s="269"/>
      <c r="H102" s="237"/>
      <c r="I102" s="237"/>
      <c r="J102" s="237"/>
      <c r="K102" s="364"/>
      <c r="N102" s="531"/>
    </row>
    <row r="103" spans="1:14" s="18" customFormat="1" ht="20.25" x14ac:dyDescent="0.3">
      <c r="A103" s="122"/>
      <c r="B103" s="122"/>
      <c r="C103" s="122"/>
      <c r="D103" s="122"/>
      <c r="E103" s="122"/>
      <c r="F103" s="122"/>
      <c r="G103" s="272"/>
      <c r="H103" s="277"/>
      <c r="I103" s="277"/>
      <c r="J103" s="277"/>
      <c r="K103" s="366"/>
      <c r="N103" s="532"/>
    </row>
    <row r="104" spans="1:14" ht="20.25" x14ac:dyDescent="0.3">
      <c r="H104" s="277"/>
      <c r="I104" s="277"/>
      <c r="J104" s="277"/>
    </row>
    <row r="105" spans="1:14" ht="20.25" x14ac:dyDescent="0.3">
      <c r="H105" s="277"/>
      <c r="I105" s="277"/>
      <c r="J105" s="277"/>
    </row>
    <row r="106" spans="1:14" ht="20.25" x14ac:dyDescent="0.3">
      <c r="H106" s="274"/>
      <c r="I106" s="274"/>
      <c r="J106" s="274"/>
    </row>
  </sheetData>
  <mergeCells count="3">
    <mergeCell ref="L8:M8"/>
    <mergeCell ref="G6:J6"/>
    <mergeCell ref="C45:F45"/>
  </mergeCells>
  <pageMargins left="0.65" right="0.15" top="0.25" bottom="0.25" header="0.3" footer="0.3"/>
  <pageSetup scale="4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6"/>
  <sheetViews>
    <sheetView tabSelected="1" topLeftCell="A7" zoomScale="70" zoomScaleNormal="70" workbookViewId="0">
      <selection activeCell="A9" sqref="A9:XFD9"/>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hidden="1" customWidth="1"/>
    <col min="13" max="13" width="23.125" style="18" hidden="1"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hidden="1" customHeight="1" x14ac:dyDescent="0.4">
      <c r="A3" s="58" t="str">
        <f>'December''22 State of Activities'!A3</f>
        <v>Ten Months Ended October 31, 2022 and 2021</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'December''22 State of Activities'!A4</f>
        <v>For the Years Ended December 31, 2022 and 2021</v>
      </c>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67"/>
      <c r="H6" s="240" t="s">
        <v>49</v>
      </c>
      <c r="I6" s="240"/>
      <c r="J6" s="977" t="s">
        <v>49</v>
      </c>
      <c r="K6" s="977"/>
      <c r="L6" s="977"/>
      <c r="M6" s="977"/>
      <c r="N6" s="65"/>
      <c r="O6" s="415" t="s">
        <v>181</v>
      </c>
      <c r="P6" s="412"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0">
        <f>'December''22 State of Activities'!G8</f>
        <v>44926</v>
      </c>
      <c r="K8" s="671">
        <v>44561</v>
      </c>
      <c r="L8" s="672"/>
      <c r="M8" s="671">
        <f>'December''22 State of Activities'!J8</f>
        <v>44561</v>
      </c>
      <c r="N8" s="71"/>
      <c r="O8" s="1040" t="s">
        <v>637</v>
      </c>
      <c r="P8" s="1040"/>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150</v>
      </c>
      <c r="D9" s="420"/>
      <c r="E9" s="420"/>
      <c r="F9" s="73"/>
      <c r="G9" s="264">
        <v>127719</v>
      </c>
      <c r="H9" s="264">
        <v>67566.5</v>
      </c>
      <c r="I9" s="322"/>
      <c r="J9" s="326">
        <f>'December''22 State of Activities'!G10</f>
        <v>84634.23000000001</v>
      </c>
      <c r="K9" s="326">
        <f>85646.89+162.47</f>
        <v>85809.36</v>
      </c>
      <c r="L9" s="326"/>
      <c r="M9" s="326">
        <f>'December''22 State of Activities'!J10</f>
        <v>69417.240000000005</v>
      </c>
      <c r="N9" s="68"/>
      <c r="O9" s="378">
        <f>J9-K9</f>
        <v>-1175.1299999999901</v>
      </c>
      <c r="P9" s="413">
        <f>O9/K9</f>
        <v>-1.3694659883257375E-2</v>
      </c>
      <c r="Q9" s="68"/>
      <c r="R9" s="38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214</v>
      </c>
      <c r="D10" s="420"/>
      <c r="E10" s="420"/>
      <c r="F10" s="73"/>
      <c r="G10" s="263">
        <v>875436</v>
      </c>
      <c r="H10" s="263">
        <v>372424.1</v>
      </c>
      <c r="I10" s="326"/>
      <c r="J10" s="322">
        <f>5970+(5970*0.14)+7000</f>
        <v>13805.8</v>
      </c>
      <c r="K10" s="322">
        <v>34505.879999999997</v>
      </c>
      <c r="L10" s="326"/>
      <c r="M10" s="322">
        <v>22322</v>
      </c>
      <c r="N10" s="68"/>
      <c r="O10" s="508">
        <f>J10-K10</f>
        <v>-20700.079999999998</v>
      </c>
      <c r="P10" s="413">
        <f>O10/K10</f>
        <v>-0.59990007500170983</v>
      </c>
      <c r="Q10" s="68"/>
      <c r="R10" s="38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390</v>
      </c>
      <c r="D11" s="420"/>
      <c r="E11" s="420"/>
      <c r="F11" s="73"/>
      <c r="G11" s="263"/>
      <c r="H11" s="263"/>
      <c r="I11" s="326"/>
      <c r="J11" s="322">
        <f>29668+15310-12000</f>
        <v>32978</v>
      </c>
      <c r="K11" s="322">
        <v>0</v>
      </c>
      <c r="L11" s="326"/>
      <c r="M11" s="322"/>
      <c r="N11" s="68"/>
      <c r="O11" s="508">
        <f>J11-K11</f>
        <v>32978</v>
      </c>
      <c r="P11" s="413"/>
      <c r="Q11" s="68"/>
      <c r="R11" s="38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0" t="s">
        <v>102</v>
      </c>
      <c r="D12" s="420"/>
      <c r="E12" s="420"/>
      <c r="F12" s="73"/>
      <c r="G12" s="264"/>
      <c r="H12" s="264"/>
      <c r="I12" s="322"/>
      <c r="J12" s="322"/>
      <c r="K12" s="322"/>
      <c r="L12" s="322"/>
      <c r="M12" s="322"/>
      <c r="N12" s="68"/>
      <c r="O12" s="508"/>
      <c r="P12" s="424"/>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215</v>
      </c>
      <c r="E13" s="420"/>
      <c r="F13" s="73"/>
      <c r="G13" s="264">
        <v>94235.25</v>
      </c>
      <c r="H13" s="264">
        <v>37190.379999999997</v>
      </c>
      <c r="I13" s="322"/>
      <c r="J13" s="322">
        <f>'December''22 Revenues &amp; Expenses'!I22</f>
        <v>46000</v>
      </c>
      <c r="K13" s="322">
        <v>45500</v>
      </c>
      <c r="L13" s="322"/>
      <c r="M13" s="322">
        <v>37917</v>
      </c>
      <c r="N13" s="68"/>
      <c r="O13" s="508">
        <f t="shared" ref="O13:O29" si="0">J13-K13</f>
        <v>500</v>
      </c>
      <c r="P13" s="436">
        <f>O13/K13</f>
        <v>1.098901098901099E-2</v>
      </c>
      <c r="Q13" s="68"/>
      <c r="R13" s="849"/>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0" t="s">
        <v>159</v>
      </c>
      <c r="E14" s="420"/>
      <c r="F14" s="73"/>
      <c r="G14" s="264"/>
      <c r="H14" s="264"/>
      <c r="I14" s="322"/>
      <c r="J14" s="322">
        <f>'December''22 Revenues &amp; Expenses'!I30</f>
        <v>18000</v>
      </c>
      <c r="K14" s="322">
        <v>18000</v>
      </c>
      <c r="L14" s="322"/>
      <c r="M14" s="322">
        <f>'December''22 State of Activities'!J16</f>
        <v>18000</v>
      </c>
      <c r="N14" s="68"/>
      <c r="O14" s="508">
        <f t="shared" si="0"/>
        <v>0</v>
      </c>
      <c r="P14" s="436">
        <f>O14/K14</f>
        <v>0</v>
      </c>
      <c r="Q14" s="68"/>
      <c r="R14" s="68"/>
      <c r="S14" s="387"/>
      <c r="T14" s="470"/>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103</v>
      </c>
      <c r="D15" s="420"/>
      <c r="E15" s="420"/>
      <c r="F15" s="73"/>
      <c r="G15" s="264">
        <v>0</v>
      </c>
      <c r="H15" s="264">
        <v>3517</v>
      </c>
      <c r="I15" s="322"/>
      <c r="J15" s="322">
        <f>'December''22 State of Activities'!G18</f>
        <v>17485.37</v>
      </c>
      <c r="K15" s="322">
        <v>17445.740000000002</v>
      </c>
      <c r="L15" s="322"/>
      <c r="M15" s="322">
        <f>'December''22 State of Activities'!J18</f>
        <v>14076.21</v>
      </c>
      <c r="N15" s="68"/>
      <c r="O15" s="508">
        <f t="shared" si="0"/>
        <v>39.629999999997381</v>
      </c>
      <c r="P15" s="436">
        <f>O15/K15</f>
        <v>2.2716147323069919E-3</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216</v>
      </c>
      <c r="D16" s="420"/>
      <c r="E16" s="420"/>
      <c r="F16" s="73"/>
      <c r="G16" s="264">
        <v>31459</v>
      </c>
      <c r="H16" s="264">
        <v>13920.35</v>
      </c>
      <c r="I16" s="322"/>
      <c r="J16" s="322">
        <f>'December''22 Revenues &amp; Expenses'!H46</f>
        <v>27500</v>
      </c>
      <c r="K16" s="322">
        <v>25000</v>
      </c>
      <c r="L16" s="322"/>
      <c r="M16" s="322">
        <v>21073</v>
      </c>
      <c r="N16" s="68"/>
      <c r="O16" s="508">
        <f t="shared" si="0"/>
        <v>2500</v>
      </c>
      <c r="P16" s="436">
        <f>O16/K16</f>
        <v>0.1</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471</v>
      </c>
      <c r="D17" s="420"/>
      <c r="E17" s="420"/>
      <c r="F17" s="73"/>
      <c r="G17" s="264"/>
      <c r="H17" s="264"/>
      <c r="I17" s="322"/>
      <c r="J17" s="322">
        <v>0</v>
      </c>
      <c r="K17" s="322">
        <v>5350</v>
      </c>
      <c r="L17" s="322"/>
      <c r="M17" s="322"/>
      <c r="N17" s="68"/>
      <c r="O17" s="508">
        <f t="shared" si="0"/>
        <v>-5350</v>
      </c>
      <c r="P17" s="436"/>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0" t="s">
        <v>380</v>
      </c>
      <c r="D18" s="420"/>
      <c r="E18" s="420"/>
      <c r="F18" s="73"/>
      <c r="G18" s="264"/>
      <c r="H18" s="264"/>
      <c r="I18" s="322"/>
      <c r="J18" s="322">
        <v>3339.95</v>
      </c>
      <c r="K18" s="322">
        <v>30028.48</v>
      </c>
      <c r="L18" s="322"/>
      <c r="M18" s="322">
        <v>26444</v>
      </c>
      <c r="N18" s="68"/>
      <c r="O18" s="508">
        <f t="shared" si="0"/>
        <v>-26688.53</v>
      </c>
      <c r="P18" s="413">
        <f>O18/K18</f>
        <v>-0.88877392395485888</v>
      </c>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392</v>
      </c>
      <c r="D19" s="420"/>
      <c r="E19" s="420"/>
      <c r="F19" s="73"/>
      <c r="G19" s="264"/>
      <c r="H19" s="264"/>
      <c r="I19" s="322"/>
      <c r="J19" s="322">
        <v>0</v>
      </c>
      <c r="K19" s="322">
        <v>20000</v>
      </c>
      <c r="L19" s="322"/>
      <c r="M19" s="322"/>
      <c r="N19" s="68"/>
      <c r="O19" s="508">
        <f t="shared" si="0"/>
        <v>-20000</v>
      </c>
      <c r="P19" s="413"/>
      <c r="Q19" s="68"/>
      <c r="R19" s="68"/>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hidden="1" x14ac:dyDescent="0.2">
      <c r="A20" s="73"/>
      <c r="B20" s="73"/>
      <c r="C20" s="420" t="s">
        <v>411</v>
      </c>
      <c r="D20" s="420"/>
      <c r="E20" s="420"/>
      <c r="F20" s="73"/>
      <c r="G20" s="264"/>
      <c r="H20" s="264"/>
      <c r="I20" s="322"/>
      <c r="J20" s="322">
        <v>0</v>
      </c>
      <c r="K20" s="322">
        <v>0</v>
      </c>
      <c r="L20" s="322"/>
      <c r="M20" s="322"/>
      <c r="N20" s="68"/>
      <c r="O20" s="508">
        <f t="shared" si="0"/>
        <v>0</v>
      </c>
      <c r="P20" s="436"/>
      <c r="Q20" s="68"/>
      <c r="R20" s="68"/>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hidden="1" x14ac:dyDescent="0.2">
      <c r="A21" s="73"/>
      <c r="B21" s="73"/>
      <c r="C21" s="420" t="s">
        <v>412</v>
      </c>
      <c r="D21" s="420"/>
      <c r="E21" s="420"/>
      <c r="F21" s="73"/>
      <c r="G21" s="264"/>
      <c r="H21" s="264"/>
      <c r="I21" s="322"/>
      <c r="J21" s="322">
        <v>0</v>
      </c>
      <c r="K21" s="322">
        <v>0</v>
      </c>
      <c r="L21" s="322"/>
      <c r="M21" s="322"/>
      <c r="N21" s="68"/>
      <c r="O21" s="508">
        <f t="shared" si="0"/>
        <v>0</v>
      </c>
      <c r="P21" s="436"/>
      <c r="Q21" s="68"/>
      <c r="R21" s="68"/>
      <c r="S21" s="387"/>
      <c r="T21" s="470"/>
      <c r="U21" s="361"/>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hidden="1" x14ac:dyDescent="0.2">
      <c r="A22" s="73"/>
      <c r="B22" s="73"/>
      <c r="C22" s="420" t="s">
        <v>335</v>
      </c>
      <c r="D22" s="420"/>
      <c r="E22" s="420"/>
      <c r="F22" s="73"/>
      <c r="G22" s="264"/>
      <c r="H22" s="264"/>
      <c r="I22" s="322"/>
      <c r="J22" s="322"/>
      <c r="K22" s="322"/>
      <c r="L22" s="322"/>
      <c r="M22" s="322"/>
      <c r="N22" s="68"/>
      <c r="O22" s="508">
        <f t="shared" si="0"/>
        <v>0</v>
      </c>
      <c r="P22" s="436"/>
      <c r="Q22" s="68"/>
      <c r="R22" s="68"/>
      <c r="S22" s="387"/>
      <c r="T22" s="470"/>
      <c r="U22" s="361"/>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hidden="1" customHeight="1" x14ac:dyDescent="0.2">
      <c r="A23" s="73"/>
      <c r="B23" s="73"/>
      <c r="C23" s="1039" t="s">
        <v>338</v>
      </c>
      <c r="D23" s="1039"/>
      <c r="E23" s="1039"/>
      <c r="F23" s="1039"/>
      <c r="G23" s="264"/>
      <c r="H23" s="264"/>
      <c r="I23" s="322"/>
      <c r="J23" s="322">
        <v>0</v>
      </c>
      <c r="K23" s="322">
        <v>0</v>
      </c>
      <c r="L23" s="322"/>
      <c r="M23" s="322">
        <f>K23</f>
        <v>0</v>
      </c>
      <c r="N23" s="68"/>
      <c r="O23" s="508">
        <f t="shared" si="0"/>
        <v>0</v>
      </c>
      <c r="P23" s="436"/>
      <c r="Q23" s="68"/>
      <c r="R23" s="68"/>
      <c r="S23" s="387"/>
      <c r="T23" s="470"/>
      <c r="U23" s="361"/>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0" t="s">
        <v>344</v>
      </c>
      <c r="D24" s="420"/>
      <c r="E24" s="420"/>
      <c r="F24" s="73"/>
      <c r="G24" s="264">
        <v>1125</v>
      </c>
      <c r="H24" s="264">
        <v>6050</v>
      </c>
      <c r="I24" s="322"/>
      <c r="J24" s="322">
        <v>0</v>
      </c>
      <c r="K24" s="322">
        <v>3150</v>
      </c>
      <c r="L24" s="322"/>
      <c r="M24" s="322">
        <f>'December''22 State of Activities'!J26</f>
        <v>3150</v>
      </c>
      <c r="N24" s="68"/>
      <c r="O24" s="508">
        <f t="shared" si="0"/>
        <v>-3150</v>
      </c>
      <c r="P24" s="436"/>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0" t="s">
        <v>217</v>
      </c>
      <c r="D25" s="420"/>
      <c r="E25" s="420"/>
      <c r="F25" s="73"/>
      <c r="G25" s="265">
        <v>31250</v>
      </c>
      <c r="H25" s="265">
        <v>15624.98</v>
      </c>
      <c r="I25" s="322"/>
      <c r="J25" s="265">
        <f>'December''22 State of Activities'!G27*0.2</f>
        <v>10548</v>
      </c>
      <c r="K25" s="265">
        <f>'[4]December''21 State of Activities'!H26*0.2</f>
        <v>10548</v>
      </c>
      <c r="L25" s="322"/>
      <c r="M25" s="265">
        <f>'December''22 State of Activities'!J27*0.2</f>
        <v>10548</v>
      </c>
      <c r="N25" s="68"/>
      <c r="O25" s="377">
        <f t="shared" si="0"/>
        <v>0</v>
      </c>
      <c r="P25" s="414">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0"/>
      <c r="D26" s="73" t="s">
        <v>105</v>
      </c>
      <c r="E26" s="420"/>
      <c r="F26" s="73"/>
      <c r="G26" s="234">
        <v>1161224.25</v>
      </c>
      <c r="H26" s="234">
        <v>516293.30999999994</v>
      </c>
      <c r="I26" s="232"/>
      <c r="J26" s="264">
        <f>SUM(J9:J25)</f>
        <v>254291.35000000003</v>
      </c>
      <c r="K26" s="264">
        <f>SUM(K9:K25)</f>
        <v>295337.45999999996</v>
      </c>
      <c r="L26" s="322"/>
      <c r="M26" s="264">
        <f>SUM(M9:M25)</f>
        <v>222947.44999999998</v>
      </c>
      <c r="N26" s="68"/>
      <c r="O26" s="275">
        <f t="shared" si="0"/>
        <v>-41046.109999999928</v>
      </c>
      <c r="P26" s="436">
        <f>O26/K26</f>
        <v>-0.13898037180925146</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218</v>
      </c>
      <c r="D27" s="420"/>
      <c r="E27" s="420"/>
      <c r="F27" s="73"/>
      <c r="G27" s="241">
        <v>150176</v>
      </c>
      <c r="H27" s="241">
        <v>47700.27</v>
      </c>
      <c r="I27" s="232"/>
      <c r="J27" s="322">
        <f>20000/12*12</f>
        <v>20000</v>
      </c>
      <c r="K27" s="322">
        <v>18500</v>
      </c>
      <c r="L27" s="322"/>
      <c r="M27" s="322">
        <f>18500/12*10</f>
        <v>15416.666666666668</v>
      </c>
      <c r="N27" s="68"/>
      <c r="O27" s="508">
        <f t="shared" si="0"/>
        <v>1500</v>
      </c>
      <c r="P27" s="413">
        <f>O27/K27</f>
        <v>8.1081081081081086E-2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219</v>
      </c>
      <c r="D28" s="420"/>
      <c r="E28" s="420"/>
      <c r="F28" s="73"/>
      <c r="G28" s="232"/>
      <c r="H28" s="232"/>
      <c r="I28" s="232"/>
      <c r="J28" s="265">
        <v>43041.19</v>
      </c>
      <c r="K28" s="265">
        <v>26400.720000000001</v>
      </c>
      <c r="L28" s="322"/>
      <c r="M28" s="265">
        <v>22282</v>
      </c>
      <c r="N28" s="68"/>
      <c r="O28" s="377">
        <f t="shared" si="0"/>
        <v>16640.47</v>
      </c>
      <c r="P28" s="463">
        <f>O28/K28</f>
        <v>0.63030364323397248</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0"/>
      <c r="D29" s="73" t="s">
        <v>107</v>
      </c>
      <c r="E29" s="420"/>
      <c r="F29" s="73"/>
      <c r="G29" s="234">
        <v>1311400.25</v>
      </c>
      <c r="H29" s="234">
        <v>563993.57999999996</v>
      </c>
      <c r="I29" s="232"/>
      <c r="J29" s="264">
        <f>SUM(J26:J28)</f>
        <v>317332.54000000004</v>
      </c>
      <c r="K29" s="264">
        <f>SUM(K26:K28)</f>
        <v>340238.17999999993</v>
      </c>
      <c r="L29" s="322"/>
      <c r="M29" s="264">
        <f>SUM(M26:M28)</f>
        <v>260646.11666666664</v>
      </c>
      <c r="N29" s="68"/>
      <c r="O29" s="275">
        <f t="shared" si="0"/>
        <v>-22905.639999999898</v>
      </c>
      <c r="P29" s="436">
        <f>O29/K29</f>
        <v>-6.7322368112831724E-2</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0"/>
      <c r="D30" s="73"/>
      <c r="E30" s="420"/>
      <c r="F30" s="73"/>
      <c r="G30" s="234"/>
      <c r="H30" s="234"/>
      <c r="I30" s="232"/>
      <c r="J30" s="322"/>
      <c r="K30" s="594"/>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111</v>
      </c>
      <c r="C31" s="87"/>
      <c r="D31" s="87"/>
      <c r="E31" s="87"/>
      <c r="F31" s="87"/>
      <c r="G31" s="241"/>
      <c r="H31" s="68"/>
      <c r="I31" s="68"/>
      <c r="J31" s="322"/>
      <c r="K31" s="368"/>
      <c r="L31" s="368"/>
      <c r="M31" s="3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220</v>
      </c>
      <c r="D32" s="79"/>
      <c r="E32" s="79"/>
      <c r="F32" s="79"/>
      <c r="G32" s="232">
        <v>733747.79999999993</v>
      </c>
      <c r="H32" s="275">
        <v>361976</v>
      </c>
      <c r="I32" s="275"/>
      <c r="J32" s="322"/>
      <c r="K32" s="399"/>
      <c r="L32" s="399"/>
      <c r="M32" s="399"/>
    </row>
    <row r="33" spans="1:18" s="68" customFormat="1" ht="20.25" x14ac:dyDescent="0.2">
      <c r="A33" s="67"/>
      <c r="B33" s="67"/>
      <c r="C33" s="79"/>
      <c r="D33" s="979" t="s">
        <v>221</v>
      </c>
      <c r="E33" s="979"/>
      <c r="F33" s="979"/>
      <c r="G33" s="232"/>
      <c r="H33" s="275"/>
      <c r="I33" s="275"/>
      <c r="J33" s="322">
        <v>205058.36</v>
      </c>
      <c r="K33" s="322">
        <v>155035.70000000001</v>
      </c>
      <c r="L33" s="399"/>
      <c r="M33" s="322">
        <v>125923</v>
      </c>
      <c r="N33" s="368"/>
      <c r="O33" s="399">
        <f>J33-K33</f>
        <v>50022.659999999974</v>
      </c>
      <c r="P33" s="436">
        <f>O33/K33</f>
        <v>0.32265252454757176</v>
      </c>
    </row>
    <row r="34" spans="1:18" s="68" customFormat="1" ht="20.25" x14ac:dyDescent="0.2">
      <c r="A34" s="67"/>
      <c r="B34" s="67"/>
      <c r="C34" s="79"/>
      <c r="D34" s="979" t="s">
        <v>222</v>
      </c>
      <c r="E34" s="979"/>
      <c r="F34" s="979"/>
      <c r="G34" s="232"/>
      <c r="H34" s="275"/>
      <c r="I34" s="275"/>
      <c r="J34" s="322">
        <f>49459.05+28776.84</f>
        <v>78235.89</v>
      </c>
      <c r="K34" s="322">
        <f>43631.85+27917.65</f>
        <v>71549.5</v>
      </c>
      <c r="L34" s="399"/>
      <c r="M34" s="322">
        <v>58815</v>
      </c>
      <c r="N34" s="368"/>
      <c r="O34" s="399">
        <f>J34-K34</f>
        <v>6686.3899999999994</v>
      </c>
      <c r="P34" s="436">
        <f>O34/K34</f>
        <v>9.3451247038763369E-2</v>
      </c>
      <c r="R34" s="262"/>
    </row>
    <row r="35" spans="1:18" s="68" customFormat="1" ht="20.25" x14ac:dyDescent="0.2">
      <c r="A35" s="67"/>
      <c r="B35" s="67"/>
      <c r="C35" s="79"/>
      <c r="D35" s="979" t="s">
        <v>113</v>
      </c>
      <c r="E35" s="979"/>
      <c r="F35" s="979"/>
      <c r="G35" s="232"/>
      <c r="H35" s="275"/>
      <c r="I35" s="275"/>
      <c r="J35" s="322">
        <f>J33*0.213+J34*0.14</f>
        <v>54630.455279999995</v>
      </c>
      <c r="K35" s="322">
        <f>K33*0.213+K34*0.14</f>
        <v>43039.534100000004</v>
      </c>
      <c r="L35" s="399"/>
      <c r="M35" s="322">
        <f>M33*0.203+M34*0.15</f>
        <v>34384.619000000006</v>
      </c>
      <c r="N35" s="368"/>
      <c r="O35" s="399">
        <f>J35-K35</f>
        <v>11590.92117999999</v>
      </c>
      <c r="P35" s="436">
        <f>O35/K35</f>
        <v>0.26930870471481216</v>
      </c>
    </row>
    <row r="36" spans="1:18" s="68" customFormat="1" ht="20.25" x14ac:dyDescent="0.2">
      <c r="A36" s="67"/>
      <c r="B36" s="67"/>
      <c r="C36" s="79" t="s">
        <v>278</v>
      </c>
      <c r="D36" s="79"/>
      <c r="E36" s="79"/>
      <c r="F36" s="79"/>
      <c r="G36" s="232">
        <v>44745.18</v>
      </c>
      <c r="H36" s="232">
        <v>20974.21</v>
      </c>
      <c r="I36" s="232"/>
      <c r="J36" s="771"/>
      <c r="K36" s="771"/>
      <c r="L36" s="771"/>
      <c r="M36" s="771"/>
      <c r="N36" s="368"/>
      <c r="O36" s="828"/>
      <c r="P36" s="436"/>
    </row>
    <row r="37" spans="1:18" s="68" customFormat="1" ht="20.25" x14ac:dyDescent="0.2">
      <c r="A37" s="67"/>
      <c r="B37" s="67"/>
      <c r="C37" s="79"/>
      <c r="D37" s="979" t="s">
        <v>223</v>
      </c>
      <c r="E37" s="979"/>
      <c r="F37" s="979"/>
      <c r="G37" s="232"/>
      <c r="H37" s="232"/>
      <c r="I37" s="232"/>
      <c r="J37" s="322">
        <v>37936.65</v>
      </c>
      <c r="K37" s="322">
        <v>25112.19</v>
      </c>
      <c r="L37" s="322"/>
      <c r="M37" s="322">
        <v>20507</v>
      </c>
      <c r="N37" s="368"/>
      <c r="O37" s="399">
        <f t="shared" ref="O37:O55" si="1">J37-K37</f>
        <v>12824.460000000003</v>
      </c>
      <c r="P37" s="436">
        <f t="shared" ref="P37:P43" si="2">O37/K37</f>
        <v>0.51068664262256713</v>
      </c>
    </row>
    <row r="38" spans="1:18" s="68" customFormat="1" ht="20.25" x14ac:dyDescent="0.2">
      <c r="A38" s="67"/>
      <c r="B38" s="67"/>
      <c r="C38" s="79"/>
      <c r="D38" s="979" t="s">
        <v>224</v>
      </c>
      <c r="E38" s="979"/>
      <c r="F38" s="979"/>
      <c r="G38" s="232"/>
      <c r="H38" s="232"/>
      <c r="I38" s="232"/>
      <c r="J38" s="322">
        <v>25355.23</v>
      </c>
      <c r="K38" s="322">
        <v>23957.25</v>
      </c>
      <c r="L38" s="322"/>
      <c r="M38" s="322">
        <v>19947</v>
      </c>
      <c r="N38" s="368"/>
      <c r="O38" s="399">
        <f t="shared" si="1"/>
        <v>1397.9799999999996</v>
      </c>
      <c r="P38" s="436">
        <f t="shared" si="2"/>
        <v>5.8353108140541989E-2</v>
      </c>
    </row>
    <row r="39" spans="1:18" s="68" customFormat="1" ht="20.25" x14ac:dyDescent="0.2">
      <c r="A39" s="67"/>
      <c r="B39" s="67"/>
      <c r="C39" s="79"/>
      <c r="D39" s="979" t="s">
        <v>304</v>
      </c>
      <c r="E39" s="979"/>
      <c r="F39" s="979"/>
      <c r="G39" s="232"/>
      <c r="H39" s="232"/>
      <c r="I39" s="232"/>
      <c r="J39" s="322">
        <v>10951.57</v>
      </c>
      <c r="K39" s="322">
        <v>19504.66</v>
      </c>
      <c r="L39" s="322"/>
      <c r="M39" s="322">
        <v>17575</v>
      </c>
      <c r="N39" s="368"/>
      <c r="O39" s="399">
        <f t="shared" si="1"/>
        <v>-8553.09</v>
      </c>
      <c r="P39" s="436">
        <f t="shared" si="2"/>
        <v>-0.43851520610971945</v>
      </c>
    </row>
    <row r="40" spans="1:18" s="68" customFormat="1" ht="20.25" x14ac:dyDescent="0.2">
      <c r="A40" s="67"/>
      <c r="B40" s="67"/>
      <c r="C40" s="79"/>
      <c r="D40" s="979" t="s">
        <v>225</v>
      </c>
      <c r="E40" s="979"/>
      <c r="F40" s="979"/>
      <c r="G40" s="232"/>
      <c r="H40" s="232"/>
      <c r="I40" s="232"/>
      <c r="J40" s="322">
        <v>744</v>
      </c>
      <c r="K40" s="322">
        <v>663</v>
      </c>
      <c r="L40" s="322"/>
      <c r="M40" s="322">
        <v>648</v>
      </c>
      <c r="N40" s="368"/>
      <c r="O40" s="399">
        <f t="shared" si="1"/>
        <v>81</v>
      </c>
      <c r="P40" s="436">
        <f t="shared" si="2"/>
        <v>0.12217194570135746</v>
      </c>
    </row>
    <row r="41" spans="1:18" s="68" customFormat="1" ht="20.25" x14ac:dyDescent="0.2">
      <c r="A41" s="67"/>
      <c r="B41" s="67"/>
      <c r="C41" s="79" t="s">
        <v>513</v>
      </c>
      <c r="D41" s="79"/>
      <c r="E41" s="79"/>
      <c r="F41" s="79"/>
      <c r="G41" s="232">
        <v>27200</v>
      </c>
      <c r="H41" s="232">
        <v>11327</v>
      </c>
      <c r="I41" s="232"/>
      <c r="J41" s="322">
        <f>29230+1903</f>
        <v>31133</v>
      </c>
      <c r="K41" s="322">
        <f>1903+28481</f>
        <v>30384</v>
      </c>
      <c r="L41" s="322"/>
      <c r="M41" s="322">
        <v>25320</v>
      </c>
      <c r="N41" s="368"/>
      <c r="O41" s="399">
        <f t="shared" si="1"/>
        <v>749</v>
      </c>
      <c r="P41" s="436">
        <f t="shared" si="2"/>
        <v>2.4651132174828859E-2</v>
      </c>
    </row>
    <row r="42" spans="1:18" s="68" customFormat="1" ht="20.25" x14ac:dyDescent="0.2">
      <c r="A42" s="67"/>
      <c r="B42" s="67"/>
      <c r="C42" s="79" t="s">
        <v>104</v>
      </c>
      <c r="D42" s="79"/>
      <c r="E42" s="79"/>
      <c r="F42" s="79"/>
      <c r="G42" s="232">
        <v>150176</v>
      </c>
      <c r="H42" s="275">
        <v>47700.27</v>
      </c>
      <c r="I42" s="275"/>
      <c r="J42" s="322">
        <f>J25</f>
        <v>10548</v>
      </c>
      <c r="K42" s="322">
        <f>K25</f>
        <v>10548</v>
      </c>
      <c r="L42" s="399"/>
      <c r="M42" s="322">
        <v>8790</v>
      </c>
      <c r="N42" s="368"/>
      <c r="O42" s="399">
        <f t="shared" si="1"/>
        <v>0</v>
      </c>
      <c r="P42" s="436">
        <f t="shared" si="2"/>
        <v>0</v>
      </c>
    </row>
    <row r="43" spans="1:18" s="68" customFormat="1" ht="20.25" x14ac:dyDescent="0.2">
      <c r="A43" s="67"/>
      <c r="B43" s="67"/>
      <c r="C43" s="79" t="s">
        <v>313</v>
      </c>
      <c r="D43" s="79"/>
      <c r="E43" s="79"/>
      <c r="F43" s="79"/>
      <c r="G43" s="232"/>
      <c r="H43" s="275"/>
      <c r="I43" s="275"/>
      <c r="J43" s="322">
        <v>4738.88</v>
      </c>
      <c r="K43" s="322">
        <v>4231.88</v>
      </c>
      <c r="L43" s="399"/>
      <c r="M43" s="322">
        <v>3487</v>
      </c>
      <c r="N43" s="368"/>
      <c r="O43" s="399">
        <f t="shared" si="1"/>
        <v>507</v>
      </c>
      <c r="P43" s="436">
        <f t="shared" si="2"/>
        <v>0.11980490940196792</v>
      </c>
    </row>
    <row r="44" spans="1:18" s="68" customFormat="1" ht="20.25" x14ac:dyDescent="0.2">
      <c r="A44" s="67"/>
      <c r="B44" s="67"/>
      <c r="C44" s="79" t="s">
        <v>638</v>
      </c>
      <c r="D44" s="79"/>
      <c r="E44" s="79"/>
      <c r="F44" s="79"/>
      <c r="G44" s="232"/>
      <c r="H44" s="275"/>
      <c r="I44" s="275"/>
      <c r="J44" s="322">
        <f>149*3</f>
        <v>447</v>
      </c>
      <c r="K44" s="322"/>
      <c r="L44" s="399"/>
      <c r="M44" s="322"/>
      <c r="N44" s="368"/>
      <c r="O44" s="399">
        <f t="shared" si="1"/>
        <v>447</v>
      </c>
      <c r="P44" s="436"/>
    </row>
    <row r="45" spans="1:18" s="68" customFormat="1" ht="20.25" x14ac:dyDescent="0.2">
      <c r="A45" s="67"/>
      <c r="B45" s="67"/>
      <c r="C45" s="79" t="s">
        <v>227</v>
      </c>
      <c r="D45" s="79"/>
      <c r="E45" s="79"/>
      <c r="F45" s="79"/>
      <c r="G45" s="232"/>
      <c r="H45" s="275"/>
      <c r="I45" s="275"/>
      <c r="J45" s="322">
        <v>2293</v>
      </c>
      <c r="K45" s="322">
        <f>99+937</f>
        <v>1036</v>
      </c>
      <c r="L45" s="399"/>
      <c r="M45" s="322">
        <v>1036</v>
      </c>
      <c r="N45" s="368"/>
      <c r="O45" s="399">
        <f t="shared" si="1"/>
        <v>1257</v>
      </c>
      <c r="P45" s="436">
        <f>O45/K45</f>
        <v>1.2133204633204633</v>
      </c>
    </row>
    <row r="46" spans="1:18" s="68" customFormat="1" ht="20.25" x14ac:dyDescent="0.2">
      <c r="A46" s="67"/>
      <c r="B46" s="67"/>
      <c r="C46" s="79" t="s">
        <v>383</v>
      </c>
      <c r="D46" s="79"/>
      <c r="E46" s="79"/>
      <c r="F46" s="79"/>
      <c r="G46" s="232">
        <v>10993.12</v>
      </c>
      <c r="H46" s="275">
        <v>4904.57</v>
      </c>
      <c r="I46" s="275"/>
      <c r="J46" s="322">
        <v>8658.77</v>
      </c>
      <c r="K46" s="322">
        <f>7884.62+184.74</f>
        <v>8069.36</v>
      </c>
      <c r="L46" s="399"/>
      <c r="M46" s="322">
        <v>6679</v>
      </c>
      <c r="N46" s="368"/>
      <c r="O46" s="399">
        <f t="shared" si="1"/>
        <v>589.41000000000076</v>
      </c>
      <c r="P46" s="436">
        <f>O46/K46</f>
        <v>7.3042967472017703E-2</v>
      </c>
    </row>
    <row r="47" spans="1:18" s="68" customFormat="1" ht="20.25" x14ac:dyDescent="0.2">
      <c r="A47" s="67"/>
      <c r="B47" s="67"/>
      <c r="C47" s="79" t="s">
        <v>228</v>
      </c>
      <c r="D47" s="79"/>
      <c r="E47" s="79"/>
      <c r="F47" s="79"/>
      <c r="G47" s="232">
        <v>10250.949999999999</v>
      </c>
      <c r="H47" s="275">
        <v>3982.99</v>
      </c>
      <c r="I47" s="275"/>
      <c r="J47" s="322">
        <f>1142.73+590.91</f>
        <v>1733.6399999999999</v>
      </c>
      <c r="K47" s="322">
        <f>958.23+28.31+10.3+36.4+4907.37</f>
        <v>5940.61</v>
      </c>
      <c r="L47" s="399"/>
      <c r="M47" s="322">
        <v>787</v>
      </c>
      <c r="N47" s="368"/>
      <c r="O47" s="399">
        <f t="shared" si="1"/>
        <v>-4206.9699999999993</v>
      </c>
      <c r="P47" s="436">
        <f>O47/K47</f>
        <v>-0.7081713830734554</v>
      </c>
    </row>
    <row r="48" spans="1:18" s="68" customFormat="1" ht="20.25" x14ac:dyDescent="0.2">
      <c r="A48" s="67"/>
      <c r="B48" s="67"/>
      <c r="C48" s="79" t="s">
        <v>122</v>
      </c>
      <c r="D48" s="79"/>
      <c r="E48" s="79"/>
      <c r="F48" s="79"/>
      <c r="G48" s="232">
        <v>4412.53</v>
      </c>
      <c r="H48" s="276">
        <v>5667</v>
      </c>
      <c r="I48" s="276"/>
      <c r="J48" s="322">
        <v>5036.8900000000003</v>
      </c>
      <c r="K48" s="322">
        <v>3426.72</v>
      </c>
      <c r="L48" s="400"/>
      <c r="M48" s="322">
        <v>3427</v>
      </c>
      <c r="N48" s="368"/>
      <c r="O48" s="399">
        <f t="shared" si="1"/>
        <v>1610.1700000000005</v>
      </c>
      <c r="P48" s="436">
        <f>O48/K48</f>
        <v>0.46988665546061559</v>
      </c>
    </row>
    <row r="49" spans="1:18" s="68" customFormat="1" ht="20.25" x14ac:dyDescent="0.2">
      <c r="A49" s="67"/>
      <c r="B49" s="67"/>
      <c r="C49" s="79" t="s">
        <v>120</v>
      </c>
      <c r="D49" s="79"/>
      <c r="E49" s="79"/>
      <c r="F49" s="79"/>
      <c r="G49" s="232">
        <v>7901</v>
      </c>
      <c r="H49" s="275">
        <v>4149.6000000000004</v>
      </c>
      <c r="I49" s="275"/>
      <c r="J49" s="322">
        <v>658.61</v>
      </c>
      <c r="K49" s="322">
        <v>420.52</v>
      </c>
      <c r="L49" s="399"/>
      <c r="M49" s="322">
        <v>232</v>
      </c>
      <c r="N49" s="368"/>
      <c r="O49" s="399">
        <f t="shared" si="1"/>
        <v>238.09000000000003</v>
      </c>
      <c r="P49" s="436">
        <f>O49/K49</f>
        <v>0.56617996765908885</v>
      </c>
    </row>
    <row r="50" spans="1:18" s="68" customFormat="1" ht="20.25" hidden="1" x14ac:dyDescent="0.2">
      <c r="A50" s="67"/>
      <c r="B50" s="67"/>
      <c r="C50" s="79" t="s">
        <v>229</v>
      </c>
      <c r="D50" s="79"/>
      <c r="E50" s="79"/>
      <c r="F50" s="79"/>
      <c r="G50" s="232"/>
      <c r="H50" s="275"/>
      <c r="I50" s="275"/>
      <c r="J50" s="322"/>
      <c r="K50" s="322"/>
      <c r="L50" s="399"/>
      <c r="M50" s="322"/>
      <c r="N50" s="368"/>
      <c r="O50" s="399">
        <f t="shared" si="1"/>
        <v>0</v>
      </c>
      <c r="P50" s="436"/>
    </row>
    <row r="51" spans="1:18" s="76" customFormat="1" ht="20.25" x14ac:dyDescent="0.2">
      <c r="A51" s="79"/>
      <c r="B51" s="79"/>
      <c r="C51" s="79" t="s">
        <v>116</v>
      </c>
      <c r="D51" s="79"/>
      <c r="E51" s="79"/>
      <c r="F51" s="79"/>
      <c r="G51" s="232">
        <v>5428.37</v>
      </c>
      <c r="H51" s="275">
        <v>2024.52</v>
      </c>
      <c r="I51" s="275"/>
      <c r="J51" s="322">
        <v>277.69</v>
      </c>
      <c r="K51" s="322">
        <v>225.92</v>
      </c>
      <c r="L51" s="399"/>
      <c r="M51" s="322">
        <v>214</v>
      </c>
      <c r="N51" s="367"/>
      <c r="O51" s="399">
        <f t="shared" si="1"/>
        <v>51.77000000000001</v>
      </c>
      <c r="P51" s="436">
        <f>O51/K51</f>
        <v>0.22915191218130318</v>
      </c>
    </row>
    <row r="52" spans="1:18" s="76" customFormat="1" ht="20.25" x14ac:dyDescent="0.2">
      <c r="A52" s="79"/>
      <c r="B52" s="79"/>
      <c r="C52" s="79" t="s">
        <v>32</v>
      </c>
      <c r="D52" s="79"/>
      <c r="E52" s="79"/>
      <c r="F52" s="79"/>
      <c r="G52" s="232"/>
      <c r="H52" s="275"/>
      <c r="I52" s="275"/>
      <c r="J52" s="322">
        <v>585.52</v>
      </c>
      <c r="K52" s="322"/>
      <c r="L52" s="399"/>
      <c r="M52" s="322"/>
      <c r="N52" s="367"/>
      <c r="O52" s="399">
        <f t="shared" si="1"/>
        <v>585.52</v>
      </c>
      <c r="P52" s="436"/>
    </row>
    <row r="53" spans="1:18" s="76" customFormat="1" ht="20.25" x14ac:dyDescent="0.2">
      <c r="A53" s="79"/>
      <c r="B53" s="79"/>
      <c r="C53" s="79" t="s">
        <v>230</v>
      </c>
      <c r="D53" s="79"/>
      <c r="E53" s="79"/>
      <c r="F53" s="79"/>
      <c r="G53" s="232">
        <v>83462.91</v>
      </c>
      <c r="H53" s="232">
        <v>18995.71</v>
      </c>
      <c r="I53" s="232"/>
      <c r="J53" s="398">
        <v>1269.29</v>
      </c>
      <c r="K53" s="398">
        <f>292.24+4514.12-K43+84.23</f>
        <v>658.70999999999958</v>
      </c>
      <c r="L53" s="322"/>
      <c r="M53" s="398">
        <v>309</v>
      </c>
      <c r="N53" s="367"/>
      <c r="O53" s="706">
        <f t="shared" si="1"/>
        <v>610.58000000000038</v>
      </c>
      <c r="P53" s="510">
        <f>O53/K53</f>
        <v>0.92693294469493526</v>
      </c>
    </row>
    <row r="54" spans="1:18" s="68" customFormat="1" ht="21" thickBot="1" x14ac:dyDescent="0.25">
      <c r="A54" s="67"/>
      <c r="B54" s="67"/>
      <c r="C54" s="67"/>
      <c r="D54" s="73" t="s">
        <v>128</v>
      </c>
      <c r="E54" s="67"/>
      <c r="F54" s="67"/>
      <c r="G54" s="241">
        <v>1078317.8599999999</v>
      </c>
      <c r="H54" s="241">
        <v>481701.87000000005</v>
      </c>
      <c r="I54" s="232"/>
      <c r="J54" s="465">
        <f>SUM(J33:J53)</f>
        <v>480292.44528000004</v>
      </c>
      <c r="K54" s="465">
        <f>SUM(K33:K53)</f>
        <v>403803.55409999995</v>
      </c>
      <c r="L54" s="322"/>
      <c r="M54" s="465">
        <f>SUM(M33:M53)</f>
        <v>328080.61900000001</v>
      </c>
      <c r="O54" s="465">
        <f t="shared" si="1"/>
        <v>76488.891180000093</v>
      </c>
      <c r="P54" s="463">
        <f>O54/K54</f>
        <v>0.18942104496945067</v>
      </c>
      <c r="R54" s="341"/>
    </row>
    <row r="55" spans="1:18" s="68" customFormat="1" ht="21" thickBot="1" x14ac:dyDescent="0.25">
      <c r="A55" s="67"/>
      <c r="B55" s="67"/>
      <c r="C55" s="67"/>
      <c r="D55" s="67" t="s">
        <v>129</v>
      </c>
      <c r="E55" s="67"/>
      <c r="F55" s="67"/>
      <c r="G55" s="241">
        <v>233082.39000000013</v>
      </c>
      <c r="H55" s="241">
        <v>82291.709999999905</v>
      </c>
      <c r="I55" s="232"/>
      <c r="J55" s="466">
        <f>J29-J54</f>
        <v>-162959.90528000001</v>
      </c>
      <c r="K55" s="466">
        <f>K29-K54</f>
        <v>-63565.374100000015</v>
      </c>
      <c r="L55" s="322"/>
      <c r="M55" s="466">
        <f>M29-M54</f>
        <v>-67434.502333333367</v>
      </c>
      <c r="O55" s="377">
        <f t="shared" si="1"/>
        <v>-99394.531179999991</v>
      </c>
      <c r="P55" s="463">
        <f>O55/K55</f>
        <v>1.56365840030508</v>
      </c>
    </row>
    <row r="56" spans="1:18" s="68" customFormat="1" ht="20.25" x14ac:dyDescent="0.2">
      <c r="A56" s="67"/>
      <c r="B56" s="67"/>
      <c r="C56" s="67"/>
      <c r="D56" s="67"/>
      <c r="E56" s="67"/>
      <c r="F56" s="67"/>
      <c r="G56" s="232"/>
      <c r="H56" s="232"/>
      <c r="I56" s="232"/>
      <c r="J56" s="322"/>
      <c r="K56" s="322"/>
      <c r="L56" s="322"/>
      <c r="M56" s="322"/>
    </row>
    <row r="57" spans="1:18" s="65" customFormat="1" ht="26.25" x14ac:dyDescent="0.2">
      <c r="A57" s="268"/>
      <c r="B57" s="268"/>
      <c r="C57" s="79"/>
      <c r="E57" s="79"/>
      <c r="F57" s="79"/>
      <c r="G57" s="270"/>
      <c r="H57" s="232"/>
      <c r="I57" s="232"/>
      <c r="J57" s="322"/>
      <c r="K57" s="322"/>
      <c r="L57" s="322"/>
      <c r="M57" s="322"/>
      <c r="O57" s="275">
        <f>J57-K57</f>
        <v>0</v>
      </c>
      <c r="P57" s="413"/>
    </row>
    <row r="58" spans="1:18" s="68" customFormat="1" ht="20.25" x14ac:dyDescent="0.2">
      <c r="A58" s="67"/>
      <c r="B58" s="67"/>
      <c r="C58" s="79" t="s">
        <v>472</v>
      </c>
      <c r="E58" s="67"/>
      <c r="G58" s="232"/>
      <c r="H58" s="232"/>
      <c r="I58" s="232"/>
      <c r="J58" s="322">
        <f>J41</f>
        <v>31133</v>
      </c>
      <c r="K58" s="322">
        <f>K41</f>
        <v>30384</v>
      </c>
      <c r="L58" s="322"/>
      <c r="M58" s="322">
        <f>M41</f>
        <v>25320</v>
      </c>
      <c r="O58" s="275">
        <f>J58-K58</f>
        <v>749</v>
      </c>
      <c r="P58" s="413">
        <v>3.5414486921529216E-2</v>
      </c>
    </row>
    <row r="59" spans="1:18" s="68" customFormat="1" ht="24" thickBot="1" x14ac:dyDescent="0.25">
      <c r="A59" s="67"/>
      <c r="B59" s="396"/>
      <c r="C59" s="67"/>
      <c r="D59" s="982" t="s">
        <v>232</v>
      </c>
      <c r="E59" s="982"/>
      <c r="F59" s="982"/>
      <c r="G59" s="232"/>
      <c r="H59" s="232"/>
      <c r="I59" s="232"/>
      <c r="J59" s="467">
        <f>J55+J57+J58</f>
        <v>-131826.90528000001</v>
      </c>
      <c r="K59" s="467">
        <f>K55+K57+K58</f>
        <v>-33181.374100000015</v>
      </c>
      <c r="L59" s="326"/>
      <c r="M59" s="467">
        <f>M55+M57+M58</f>
        <v>-42114.502333333367</v>
      </c>
      <c r="N59" s="387"/>
      <c r="O59" s="464">
        <f>J59-K59</f>
        <v>-98645.531179999991</v>
      </c>
      <c r="P59" s="501">
        <v>2.1062768618503362E-2</v>
      </c>
    </row>
    <row r="60" spans="1:18" s="68" customFormat="1" ht="42" customHeight="1" thickTop="1" x14ac:dyDescent="0.2">
      <c r="A60" s="67"/>
      <c r="B60" s="67"/>
      <c r="C60" s="67"/>
      <c r="D60" s="67"/>
      <c r="E60" s="67"/>
      <c r="F60" s="67"/>
      <c r="G60" s="232"/>
      <c r="H60" s="232"/>
      <c r="I60" s="232"/>
      <c r="J60" s="322"/>
      <c r="K60" s="322"/>
      <c r="L60" s="322"/>
      <c r="M60" s="322"/>
    </row>
    <row r="61" spans="1:18" s="76" customFormat="1" ht="20.25" x14ac:dyDescent="0.2">
      <c r="A61" s="79"/>
      <c r="B61" s="79"/>
      <c r="C61" s="79"/>
      <c r="D61" s="79"/>
      <c r="F61" s="79" t="s">
        <v>309</v>
      </c>
      <c r="G61" s="246"/>
      <c r="H61" s="232"/>
      <c r="I61" s="232"/>
      <c r="J61" s="322">
        <v>227490</v>
      </c>
      <c r="K61" s="322">
        <v>206080</v>
      </c>
      <c r="L61" s="322"/>
      <c r="M61" s="322">
        <v>173371</v>
      </c>
      <c r="O61" s="247"/>
    </row>
    <row r="62" spans="1:18" s="76" customFormat="1" ht="21" thickBot="1" x14ac:dyDescent="0.25">
      <c r="A62" s="79"/>
      <c r="B62" s="79"/>
      <c r="C62" s="79"/>
      <c r="D62" s="79"/>
      <c r="F62" s="79" t="s">
        <v>314</v>
      </c>
      <c r="G62" s="232"/>
      <c r="H62" s="232"/>
      <c r="I62" s="232"/>
      <c r="J62" s="611">
        <f>(J54-J41-J42)/J61</f>
        <v>1.9280471461602711</v>
      </c>
      <c r="K62" s="611">
        <f>(K54-K41-K42)/K61</f>
        <v>1.7608285816187885</v>
      </c>
      <c r="L62" s="612"/>
      <c r="M62" s="611">
        <f>(M54-M41-M42)/M61</f>
        <v>1.6956158700128625</v>
      </c>
    </row>
    <row r="63" spans="1:18" s="76" customFormat="1" ht="20.25" x14ac:dyDescent="0.2">
      <c r="A63" s="79"/>
      <c r="B63" s="79"/>
      <c r="C63" s="79"/>
      <c r="D63" s="79"/>
      <c r="F63" s="79"/>
      <c r="G63" s="232"/>
      <c r="H63" s="232"/>
      <c r="I63" s="232"/>
      <c r="J63" s="322"/>
      <c r="K63" s="322"/>
      <c r="L63" s="322"/>
      <c r="M63" s="322"/>
    </row>
    <row r="64" spans="1:18" s="76" customFormat="1" ht="20.25" x14ac:dyDescent="0.2">
      <c r="A64" s="79"/>
      <c r="B64" s="79"/>
      <c r="C64" s="79"/>
      <c r="D64" s="79"/>
      <c r="F64" s="79" t="s">
        <v>310</v>
      </c>
      <c r="G64" s="232"/>
      <c r="H64" s="232"/>
      <c r="I64" s="232"/>
      <c r="J64" s="322">
        <v>11449</v>
      </c>
      <c r="K64" s="322">
        <v>10428</v>
      </c>
      <c r="L64" s="322"/>
      <c r="M64" s="322">
        <v>8636</v>
      </c>
      <c r="P64" s="247"/>
    </row>
    <row r="65" spans="1:13" s="76" customFormat="1" ht="21" thickBot="1" x14ac:dyDescent="0.25">
      <c r="A65" s="79"/>
      <c r="B65" s="79"/>
      <c r="C65" s="79"/>
      <c r="D65" s="79"/>
      <c r="F65" s="79" t="s">
        <v>372</v>
      </c>
      <c r="G65" s="232"/>
      <c r="H65" s="232"/>
      <c r="I65" s="232"/>
      <c r="J65" s="611">
        <f>(J54-J41-J42)/J64</f>
        <v>38.31002229714386</v>
      </c>
      <c r="K65" s="611">
        <f>(K54-K41-K42)/K64</f>
        <v>34.797809177215186</v>
      </c>
      <c r="L65" s="322"/>
      <c r="M65" s="611">
        <f>(M54-M41-M42)/M64</f>
        <v>34.040136521537747</v>
      </c>
    </row>
    <row r="66" spans="1:13" s="76" customFormat="1" ht="20.25" x14ac:dyDescent="0.2">
      <c r="A66" s="79"/>
      <c r="B66" s="79"/>
      <c r="C66" s="79"/>
      <c r="D66" s="79"/>
      <c r="F66" s="79"/>
      <c r="G66" s="232"/>
      <c r="H66" s="232"/>
      <c r="I66" s="232"/>
      <c r="J66" s="322"/>
      <c r="K66" s="322"/>
      <c r="L66" s="322"/>
      <c r="M66" s="322"/>
    </row>
    <row r="67" spans="1:13" s="76" customFormat="1" ht="20.25" x14ac:dyDescent="0.2">
      <c r="A67" s="79"/>
      <c r="B67" s="79"/>
      <c r="C67" s="67"/>
      <c r="D67" s="79"/>
      <c r="F67" s="79" t="s">
        <v>311</v>
      </c>
      <c r="G67" s="232"/>
      <c r="H67" s="232"/>
      <c r="I67" s="232"/>
      <c r="J67" s="322">
        <v>2840</v>
      </c>
      <c r="K67" s="322">
        <v>2714</v>
      </c>
      <c r="L67" s="322"/>
      <c r="M67" s="322">
        <v>2171</v>
      </c>
    </row>
    <row r="68" spans="1:13" s="76" customFormat="1" ht="21" thickBot="1" x14ac:dyDescent="0.25">
      <c r="A68" s="79"/>
      <c r="B68" s="79"/>
      <c r="C68" s="79"/>
      <c r="D68" s="79"/>
      <c r="E68" s="79"/>
      <c r="F68" s="79" t="s">
        <v>373</v>
      </c>
      <c r="G68" s="232"/>
      <c r="H68" s="232"/>
      <c r="I68" s="232"/>
      <c r="J68" s="611">
        <f>J9/J67</f>
        <v>29.800785211267609</v>
      </c>
      <c r="K68" s="611">
        <f>K9/K67</f>
        <v>31.617302873986734</v>
      </c>
      <c r="L68" s="322"/>
      <c r="M68" s="611">
        <f>M9/M67</f>
        <v>31.974776600644866</v>
      </c>
    </row>
    <row r="69" spans="1:13" s="76" customFormat="1" ht="20.25" x14ac:dyDescent="0.2">
      <c r="A69" s="79"/>
      <c r="B69" s="79"/>
      <c r="C69" s="67"/>
      <c r="D69" s="67"/>
      <c r="G69" s="232"/>
      <c r="H69" s="232"/>
      <c r="I69" s="232"/>
      <c r="J69" s="322"/>
      <c r="K69" s="322"/>
      <c r="L69" s="322"/>
      <c r="M69" s="322"/>
    </row>
    <row r="70" spans="1:13" s="76" customFormat="1" ht="20.25" x14ac:dyDescent="0.2">
      <c r="A70" s="79"/>
      <c r="B70" s="79"/>
      <c r="C70" s="79"/>
      <c r="D70" s="79"/>
      <c r="E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76" customFormat="1" ht="20.25" x14ac:dyDescent="0.2">
      <c r="A72" s="79"/>
      <c r="B72" s="79"/>
      <c r="C72" s="67"/>
      <c r="D72" s="79"/>
      <c r="F72" s="79"/>
      <c r="G72" s="232"/>
      <c r="H72" s="232"/>
      <c r="I72" s="232"/>
      <c r="J72" s="232"/>
      <c r="K72" s="232"/>
      <c r="L72" s="232"/>
      <c r="M72" s="232"/>
    </row>
    <row r="73" spans="1:13" s="76" customFormat="1" ht="20.25" x14ac:dyDescent="0.2">
      <c r="A73" s="79"/>
      <c r="B73" s="79"/>
      <c r="C73" s="79"/>
      <c r="D73" s="79"/>
      <c r="E73" s="79"/>
      <c r="F73" s="79"/>
      <c r="G73" s="232"/>
      <c r="H73" s="232"/>
      <c r="I73" s="232"/>
      <c r="J73" s="232"/>
      <c r="K73" s="232"/>
      <c r="L73" s="232"/>
      <c r="M73" s="232"/>
    </row>
    <row r="74" spans="1:13" s="68" customFormat="1" ht="20.25" x14ac:dyDescent="0.2">
      <c r="A74" s="67"/>
      <c r="B74" s="67"/>
      <c r="C74" s="67"/>
      <c r="D74" s="67"/>
      <c r="E74" s="67"/>
      <c r="F74" s="67"/>
      <c r="G74" s="237"/>
      <c r="H74" s="237"/>
      <c r="I74" s="237"/>
      <c r="J74" s="237"/>
      <c r="K74" s="237"/>
      <c r="L74" s="237"/>
      <c r="M74" s="237"/>
    </row>
    <row r="75" spans="1:13" s="68" customFormat="1" ht="20.25" x14ac:dyDescent="0.2">
      <c r="A75" s="67"/>
      <c r="B75" s="67"/>
      <c r="C75" s="67"/>
      <c r="D75" s="67"/>
      <c r="E75" s="67"/>
      <c r="F75" s="67"/>
      <c r="G75" s="237"/>
      <c r="H75" s="237"/>
      <c r="I75" s="237"/>
      <c r="J75" s="237"/>
      <c r="K75" s="237"/>
      <c r="L75" s="237"/>
      <c r="M75" s="237"/>
    </row>
    <row r="76" spans="1:13" s="68" customFormat="1" ht="23.25" x14ac:dyDescent="0.2">
      <c r="A76" s="67"/>
      <c r="B76" s="271"/>
      <c r="C76" s="67"/>
      <c r="D76" s="67"/>
      <c r="E76" s="67"/>
      <c r="F76" s="67"/>
      <c r="G76" s="232"/>
      <c r="H76" s="232"/>
      <c r="I76" s="232"/>
      <c r="J76" s="232"/>
      <c r="K76" s="232"/>
      <c r="L76" s="232"/>
      <c r="M76" s="232"/>
    </row>
    <row r="77" spans="1:13" s="76" customFormat="1" ht="20.25" x14ac:dyDescent="0.2">
      <c r="A77" s="79"/>
      <c r="B77" s="79"/>
      <c r="D77" s="79"/>
      <c r="E77" s="79"/>
      <c r="F77" s="79"/>
      <c r="G77" s="232"/>
      <c r="H77" s="232"/>
      <c r="I77" s="232"/>
      <c r="J77" s="232"/>
      <c r="K77" s="232"/>
      <c r="L77" s="232"/>
      <c r="M77" s="232"/>
    </row>
    <row r="78" spans="1:13" s="76" customFormat="1" ht="20.25" x14ac:dyDescent="0.2">
      <c r="A78" s="79"/>
      <c r="B78" s="79"/>
      <c r="D78" s="79"/>
      <c r="E78" s="79"/>
      <c r="F78" s="79"/>
      <c r="G78" s="232"/>
      <c r="H78" s="232"/>
      <c r="I78" s="232"/>
      <c r="J78" s="232"/>
      <c r="K78" s="232"/>
      <c r="L78" s="232"/>
      <c r="M78" s="232"/>
    </row>
    <row r="79" spans="1:13" s="68" customFormat="1" ht="20.25" x14ac:dyDescent="0.2">
      <c r="A79" s="67"/>
      <c r="B79" s="67"/>
      <c r="D79" s="79"/>
      <c r="E79" s="67"/>
      <c r="F79" s="67"/>
      <c r="G79" s="232"/>
      <c r="H79" s="232"/>
      <c r="I79" s="232"/>
      <c r="J79" s="232"/>
      <c r="K79" s="232"/>
      <c r="L79" s="232"/>
      <c r="M79" s="232"/>
    </row>
    <row r="80" spans="1:13" s="68" customFormat="1" ht="23.25" x14ac:dyDescent="0.2">
      <c r="A80" s="67"/>
      <c r="B80" s="271"/>
      <c r="C80" s="67"/>
      <c r="D80" s="67"/>
      <c r="E80" s="67"/>
      <c r="F80" s="67"/>
      <c r="G80" s="237"/>
      <c r="H80" s="237"/>
      <c r="I80" s="237"/>
      <c r="J80" s="237"/>
      <c r="K80" s="237"/>
      <c r="L80" s="237"/>
      <c r="M80" s="237"/>
    </row>
    <row r="81" spans="1:13" s="68" customFormat="1" ht="20.25" x14ac:dyDescent="0.2">
      <c r="A81" s="67"/>
      <c r="B81" s="67"/>
      <c r="C81" s="67"/>
      <c r="D81" s="67"/>
      <c r="E81" s="67"/>
      <c r="F81" s="67"/>
      <c r="G81" s="232"/>
      <c r="H81" s="232"/>
      <c r="I81" s="232"/>
      <c r="J81" s="232"/>
      <c r="K81" s="232"/>
      <c r="L81" s="232"/>
      <c r="M81" s="232"/>
    </row>
    <row r="82" spans="1:13" s="82" customFormat="1" ht="26.25" x14ac:dyDescent="0.2">
      <c r="A82" s="268"/>
      <c r="B82" s="268"/>
      <c r="C82" s="268"/>
      <c r="D82" s="268"/>
      <c r="E82" s="268"/>
      <c r="F82" s="268"/>
      <c r="G82" s="269"/>
      <c r="H82" s="237"/>
      <c r="I82" s="237"/>
      <c r="J82" s="237"/>
      <c r="K82" s="237"/>
      <c r="L82" s="237"/>
      <c r="M82" s="237"/>
    </row>
    <row r="83" spans="1:13" s="18" customFormat="1" ht="20.25" x14ac:dyDescent="0.3">
      <c r="A83" s="122"/>
      <c r="B83" s="122"/>
      <c r="C83" s="122"/>
      <c r="D83" s="122"/>
      <c r="E83" s="122"/>
      <c r="F83" s="122"/>
      <c r="G83" s="272"/>
      <c r="H83" s="277"/>
      <c r="I83" s="277"/>
      <c r="J83" s="277"/>
      <c r="K83" s="277"/>
      <c r="L83" s="277"/>
      <c r="M83" s="277"/>
    </row>
    <row r="84" spans="1:13" ht="20.25" x14ac:dyDescent="0.3">
      <c r="H84" s="277"/>
      <c r="I84" s="277"/>
      <c r="J84" s="277"/>
      <c r="K84" s="277"/>
      <c r="L84" s="277"/>
      <c r="M84" s="277"/>
    </row>
    <row r="85" spans="1:13" ht="20.25" x14ac:dyDescent="0.3">
      <c r="H85" s="277"/>
      <c r="I85" s="277"/>
      <c r="J85" s="277"/>
      <c r="K85" s="277"/>
      <c r="L85" s="277"/>
      <c r="M85" s="277"/>
    </row>
    <row r="86" spans="1:13" ht="20.25" x14ac:dyDescent="0.3">
      <c r="H86" s="274"/>
      <c r="I86" s="274"/>
      <c r="J86" s="274"/>
      <c r="K86" s="274"/>
      <c r="L86" s="274"/>
      <c r="M86" s="274"/>
    </row>
  </sheetData>
  <mergeCells count="11">
    <mergeCell ref="J6:M6"/>
    <mergeCell ref="C23:F23"/>
    <mergeCell ref="D33:F33"/>
    <mergeCell ref="O8:P8"/>
    <mergeCell ref="D37:F37"/>
    <mergeCell ref="D59:F59"/>
    <mergeCell ref="D38:F38"/>
    <mergeCell ref="D39:F39"/>
    <mergeCell ref="D40:F40"/>
    <mergeCell ref="D34:F34"/>
    <mergeCell ref="D35:F35"/>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35"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730"/>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730"/>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'December''22 State of Activities'!A3</f>
        <v>Ten Months Ended October 31, 2022 and 2021</v>
      </c>
      <c r="B3" s="59"/>
      <c r="C3" s="60"/>
      <c r="D3" s="60"/>
      <c r="E3" s="60"/>
      <c r="F3" s="59"/>
      <c r="G3" s="230"/>
      <c r="H3" s="59"/>
      <c r="I3" s="59"/>
      <c r="J3" s="59"/>
      <c r="K3" s="59"/>
      <c r="L3" s="462"/>
      <c r="M3" s="59"/>
      <c r="N3" s="59"/>
      <c r="O3" s="59"/>
      <c r="P3" s="59"/>
      <c r="Q3" s="59"/>
      <c r="R3" s="730"/>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'December''22 State of Activities'!A4</f>
        <v>For the Years Ended December 31, 2022 and 2021</v>
      </c>
      <c r="B4" s="59"/>
      <c r="C4" s="60"/>
      <c r="D4" s="60"/>
      <c r="E4" s="60"/>
      <c r="F4" s="59"/>
      <c r="G4" s="230"/>
      <c r="H4" s="59"/>
      <c r="I4" s="59"/>
      <c r="J4" s="59"/>
      <c r="K4" s="59"/>
      <c r="L4" s="462"/>
      <c r="M4" s="59"/>
      <c r="N4" s="59"/>
      <c r="O4" s="59"/>
      <c r="P4" s="59"/>
      <c r="Q4" s="59"/>
      <c r="R4" s="730"/>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31"/>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6"/>
      <c r="H6" s="240" t="s">
        <v>49</v>
      </c>
      <c r="I6" s="240"/>
      <c r="J6" s="977" t="s">
        <v>49</v>
      </c>
      <c r="K6" s="977"/>
      <c r="L6" s="977"/>
      <c r="M6" s="977"/>
      <c r="N6" s="65"/>
      <c r="O6" s="415" t="s">
        <v>181</v>
      </c>
      <c r="P6" s="412" t="s">
        <v>193</v>
      </c>
      <c r="Q6" s="65"/>
      <c r="R6" s="732"/>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32"/>
    </row>
    <row r="8" spans="1:128" s="72" customFormat="1" ht="21" thickBot="1" x14ac:dyDescent="0.35">
      <c r="A8" s="69"/>
      <c r="B8" s="153" t="s">
        <v>100</v>
      </c>
      <c r="C8" s="153"/>
      <c r="D8" s="153"/>
      <c r="E8" s="153"/>
      <c r="F8" s="153"/>
      <c r="G8" s="281">
        <v>41090</v>
      </c>
      <c r="H8" s="281">
        <v>41274</v>
      </c>
      <c r="I8" s="323"/>
      <c r="J8" s="670">
        <f>'December''22 State of Activities'!G8</f>
        <v>44926</v>
      </c>
      <c r="K8" s="671">
        <f>'December''22 State of Activities'!H8</f>
        <v>44561</v>
      </c>
      <c r="L8" s="672"/>
      <c r="M8" s="671">
        <f>'December''22 State of Activities'!J8</f>
        <v>44561</v>
      </c>
      <c r="N8" s="71"/>
      <c r="O8" s="1040" t="s">
        <v>391</v>
      </c>
      <c r="P8" s="1040"/>
      <c r="Q8" s="71"/>
      <c r="R8" s="733"/>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0" t="s">
        <v>150</v>
      </c>
      <c r="D9" s="420"/>
      <c r="E9" s="420"/>
      <c r="F9" s="73"/>
      <c r="G9" s="264">
        <v>127719</v>
      </c>
      <c r="H9" s="264">
        <v>67566.5</v>
      </c>
      <c r="I9" s="322"/>
      <c r="J9" s="326">
        <v>41504.339999999997</v>
      </c>
      <c r="K9" s="326">
        <v>158721</v>
      </c>
      <c r="L9" s="326"/>
      <c r="M9" s="326">
        <v>78675.460000000006</v>
      </c>
      <c r="N9" s="68"/>
      <c r="O9" s="378">
        <f>J9-M9</f>
        <v>-37171.12000000001</v>
      </c>
      <c r="P9" s="413">
        <f>O9/M9</f>
        <v>-0.47246142571012623</v>
      </c>
      <c r="Q9" s="68"/>
      <c r="R9" s="732"/>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0" t="s">
        <v>214</v>
      </c>
      <c r="D10" s="420"/>
      <c r="E10" s="420"/>
      <c r="F10" s="73"/>
      <c r="G10" s="263">
        <v>875436</v>
      </c>
      <c r="H10" s="263">
        <v>372424.1</v>
      </c>
      <c r="I10" s="326"/>
      <c r="J10" s="322"/>
      <c r="K10" s="322">
        <v>12278.42</v>
      </c>
      <c r="L10" s="326"/>
      <c r="M10" s="322"/>
      <c r="N10" s="68"/>
      <c r="O10" s="508">
        <f>J10-M10</f>
        <v>0</v>
      </c>
      <c r="P10" s="436" t="e">
        <f>O10/M10</f>
        <v>#DIV/0!</v>
      </c>
      <c r="Q10" s="68"/>
      <c r="R10" s="732"/>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0" t="s">
        <v>390</v>
      </c>
      <c r="D11" s="420"/>
      <c r="E11" s="420"/>
      <c r="F11" s="73"/>
      <c r="G11" s="263"/>
      <c r="H11" s="263"/>
      <c r="I11" s="326"/>
      <c r="J11" s="322">
        <f>'December''22 Revenues &amp; Expenses'!I8-K11-5010</f>
        <v>14042</v>
      </c>
      <c r="K11" s="322">
        <v>10616</v>
      </c>
      <c r="L11" s="326"/>
      <c r="M11" s="322"/>
      <c r="N11" s="68"/>
      <c r="O11" s="508">
        <f>J11-M11</f>
        <v>14042</v>
      </c>
      <c r="P11" s="436"/>
      <c r="Q11" s="68"/>
      <c r="R11" s="732"/>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0" t="s">
        <v>102</v>
      </c>
      <c r="D12" s="420"/>
      <c r="E12" s="420"/>
      <c r="F12" s="73"/>
      <c r="G12" s="264"/>
      <c r="H12" s="264"/>
      <c r="I12" s="322"/>
      <c r="J12" s="322"/>
      <c r="K12" s="322"/>
      <c r="L12" s="322"/>
      <c r="M12" s="322"/>
      <c r="N12" s="68"/>
      <c r="O12" s="508"/>
      <c r="P12" s="424"/>
      <c r="Q12" s="68"/>
      <c r="R12" s="732"/>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0" t="s">
        <v>215</v>
      </c>
      <c r="E13" s="420"/>
      <c r="F13" s="73"/>
      <c r="G13" s="264">
        <v>94235.25</v>
      </c>
      <c r="H13" s="264">
        <v>37190.379999999997</v>
      </c>
      <c r="I13" s="322"/>
      <c r="J13" s="322">
        <f>3750*6</f>
        <v>22500</v>
      </c>
      <c r="K13" s="322">
        <f>3708.33*12</f>
        <v>44499.96</v>
      </c>
      <c r="L13" s="322"/>
      <c r="M13" s="322">
        <f>3708.33*4</f>
        <v>14833.32</v>
      </c>
      <c r="N13" s="68"/>
      <c r="O13" s="508">
        <f t="shared" ref="O13:O18" si="0">J13-M13</f>
        <v>7666.68</v>
      </c>
      <c r="P13" s="436">
        <f>O13/M13</f>
        <v>0.51685529604970437</v>
      </c>
      <c r="Q13" s="68"/>
      <c r="R13" s="322"/>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0" t="s">
        <v>159</v>
      </c>
      <c r="E14" s="420"/>
      <c r="F14" s="73"/>
      <c r="G14" s="264"/>
      <c r="H14" s="264"/>
      <c r="I14" s="322"/>
      <c r="J14" s="322">
        <f>'December''22 State of Activities'!G16</f>
        <v>18000</v>
      </c>
      <c r="K14" s="322">
        <v>13000</v>
      </c>
      <c r="L14" s="322"/>
      <c r="M14" s="322">
        <v>4333.33</v>
      </c>
      <c r="N14" s="68"/>
      <c r="O14" s="508">
        <f t="shared" si="0"/>
        <v>13666.67</v>
      </c>
      <c r="P14" s="436">
        <f>O14/M14</f>
        <v>3.1538493491148838</v>
      </c>
      <c r="Q14" s="68"/>
      <c r="R14" s="732">
        <v>7500</v>
      </c>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0" t="s">
        <v>103</v>
      </c>
      <c r="D15" s="420"/>
      <c r="E15" s="420"/>
      <c r="F15" s="73"/>
      <c r="G15" s="264">
        <v>0</v>
      </c>
      <c r="H15" s="264">
        <v>3517</v>
      </c>
      <c r="I15" s="322"/>
      <c r="J15" s="322">
        <f>'December''22 State of Activities'!G18</f>
        <v>17485.37</v>
      </c>
      <c r="K15" s="322">
        <f>'December''22 State of Activities'!H18</f>
        <v>17445.740000000002</v>
      </c>
      <c r="L15" s="322"/>
      <c r="M15" s="322">
        <f>'December''22 State of Activities'!J18</f>
        <v>14076.21</v>
      </c>
      <c r="N15" s="68"/>
      <c r="O15" s="508">
        <f t="shared" si="0"/>
        <v>3409.16</v>
      </c>
      <c r="P15" s="436">
        <f>O15/M15</f>
        <v>0.24219303349410104</v>
      </c>
      <c r="Q15" s="68"/>
      <c r="R15" s="732"/>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0" t="s">
        <v>216</v>
      </c>
      <c r="D16" s="420"/>
      <c r="E16" s="420"/>
      <c r="F16" s="73"/>
      <c r="G16" s="264">
        <v>31459</v>
      </c>
      <c r="H16" s="264">
        <v>13920.35</v>
      </c>
      <c r="I16" s="322"/>
      <c r="J16" s="322">
        <f>'December''22 Revenues &amp; Expenses'!H43</f>
        <v>0</v>
      </c>
      <c r="K16" s="322">
        <v>25000</v>
      </c>
      <c r="L16" s="322"/>
      <c r="M16" s="322">
        <v>8153.81</v>
      </c>
      <c r="N16" s="68"/>
      <c r="O16" s="508">
        <f t="shared" si="0"/>
        <v>-8153.81</v>
      </c>
      <c r="P16" s="436">
        <f>O16/M16</f>
        <v>-1</v>
      </c>
      <c r="Q16" s="68"/>
      <c r="R16" s="732">
        <v>11805.12</v>
      </c>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0" t="s">
        <v>380</v>
      </c>
      <c r="D17" s="420"/>
      <c r="E17" s="420"/>
      <c r="F17" s="73"/>
      <c r="G17" s="264"/>
      <c r="H17" s="264"/>
      <c r="I17" s="322"/>
      <c r="J17" s="322"/>
      <c r="K17" s="322">
        <v>22918.98</v>
      </c>
      <c r="L17" s="322"/>
      <c r="M17" s="322"/>
      <c r="N17" s="68"/>
      <c r="O17" s="508">
        <f t="shared" si="0"/>
        <v>0</v>
      </c>
      <c r="P17" s="436"/>
      <c r="Q17" s="68"/>
      <c r="R17" s="732"/>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0" t="s">
        <v>392</v>
      </c>
      <c r="D18" s="420"/>
      <c r="E18" s="420"/>
      <c r="F18" s="73"/>
      <c r="G18" s="264"/>
      <c r="H18" s="264"/>
      <c r="I18" s="322"/>
      <c r="J18" s="322">
        <f>'December''22 Revenues &amp; Expenses'!H57</f>
        <v>0</v>
      </c>
      <c r="K18" s="322">
        <v>23967.15</v>
      </c>
      <c r="L18" s="322"/>
      <c r="M18" s="322"/>
      <c r="N18" s="68"/>
      <c r="O18" s="508">
        <f t="shared" si="0"/>
        <v>0</v>
      </c>
      <c r="P18" s="436"/>
      <c r="Q18" s="68"/>
      <c r="R18" s="732"/>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0" t="s">
        <v>335</v>
      </c>
      <c r="D19" s="420"/>
      <c r="E19" s="420"/>
      <c r="F19" s="73"/>
      <c r="G19" s="264"/>
      <c r="H19" s="264"/>
      <c r="I19" s="322"/>
      <c r="J19" s="322">
        <f>'December''22 State of Activities'!G11</f>
        <v>0</v>
      </c>
      <c r="K19" s="322">
        <v>1968.5</v>
      </c>
      <c r="L19" s="322"/>
      <c r="M19" s="322">
        <f>2100.03-1250</f>
        <v>850.0300000000002</v>
      </c>
      <c r="N19" s="68"/>
      <c r="O19" s="508">
        <f t="shared" ref="O19:O20" si="1">J19-M19</f>
        <v>-850.0300000000002</v>
      </c>
      <c r="P19" s="436"/>
      <c r="Q19" s="68"/>
      <c r="R19" s="732">
        <f>186.59-R20</f>
        <v>162.31</v>
      </c>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1039" t="s">
        <v>338</v>
      </c>
      <c r="D20" s="1039"/>
      <c r="E20" s="1039"/>
      <c r="F20" s="1039"/>
      <c r="G20" s="264"/>
      <c r="H20" s="264"/>
      <c r="I20" s="322"/>
      <c r="J20" s="322">
        <v>0</v>
      </c>
      <c r="K20" s="322">
        <v>1127.23</v>
      </c>
      <c r="L20" s="322"/>
      <c r="M20" s="322">
        <v>177.19</v>
      </c>
      <c r="N20" s="68"/>
      <c r="O20" s="508">
        <f t="shared" si="1"/>
        <v>-177.19</v>
      </c>
      <c r="P20" s="436"/>
      <c r="Q20" s="68"/>
      <c r="R20" s="732">
        <v>24.28</v>
      </c>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0" t="s">
        <v>344</v>
      </c>
      <c r="D21" s="420"/>
      <c r="E21" s="420"/>
      <c r="F21" s="73"/>
      <c r="G21" s="264">
        <v>1125</v>
      </c>
      <c r="H21" s="264">
        <v>6050</v>
      </c>
      <c r="I21" s="322"/>
      <c r="J21" s="322">
        <f>'December''22 State of Activities'!G26</f>
        <v>0</v>
      </c>
      <c r="K21" s="322">
        <f>'December''22 State of Activities'!H26</f>
        <v>3150</v>
      </c>
      <c r="L21" s="322"/>
      <c r="M21" s="322">
        <f>'December''22 State of Activities'!J26</f>
        <v>3150</v>
      </c>
      <c r="N21" s="68"/>
      <c r="O21" s="508">
        <f>J21-M21</f>
        <v>-3150</v>
      </c>
      <c r="P21" s="436"/>
      <c r="Q21" s="68"/>
      <c r="R21" s="732"/>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0" t="s">
        <v>217</v>
      </c>
      <c r="D22" s="420"/>
      <c r="E22" s="420"/>
      <c r="F22" s="73"/>
      <c r="G22" s="265">
        <v>31250</v>
      </c>
      <c r="H22" s="265">
        <v>15624.98</v>
      </c>
      <c r="I22" s="322"/>
      <c r="J22" s="265">
        <f>'December''22 State of Activities'!G27*0.2</f>
        <v>10548</v>
      </c>
      <c r="K22" s="265">
        <f>'December''22 State of Activities'!H27*0.2</f>
        <v>10548</v>
      </c>
      <c r="L22" s="322"/>
      <c r="M22" s="265">
        <f>'December''22 State of Activities'!J27*0.2</f>
        <v>10548</v>
      </c>
      <c r="N22" s="68"/>
      <c r="O22" s="509">
        <f>J22-M22</f>
        <v>0</v>
      </c>
      <c r="P22" s="414">
        <v>0</v>
      </c>
      <c r="Q22" s="68"/>
      <c r="R22" s="732"/>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0"/>
      <c r="D23" s="73" t="s">
        <v>105</v>
      </c>
      <c r="E23" s="420"/>
      <c r="F23" s="73"/>
      <c r="G23" s="234">
        <v>1161224.25</v>
      </c>
      <c r="H23" s="234">
        <v>516293.30999999994</v>
      </c>
      <c r="I23" s="232"/>
      <c r="J23" s="264">
        <f>SUM(J9:J22)</f>
        <v>124079.70999999999</v>
      </c>
      <c r="K23" s="264">
        <f>SUM(K9:K22)</f>
        <v>345240.98</v>
      </c>
      <c r="L23" s="322"/>
      <c r="M23" s="264">
        <f>SUM(M9:M22)</f>
        <v>134797.35</v>
      </c>
      <c r="N23" s="68"/>
      <c r="O23" s="275">
        <f>SUM(O9:O22)</f>
        <v>-10717.64000000001</v>
      </c>
      <c r="P23" s="436">
        <f>O23/M23</f>
        <v>-7.9509278186848706E-2</v>
      </c>
      <c r="Q23" s="68"/>
      <c r="R23" s="732"/>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218</v>
      </c>
      <c r="D24" s="420"/>
      <c r="E24" s="420"/>
      <c r="F24" s="73"/>
      <c r="G24" s="241">
        <v>150176</v>
      </c>
      <c r="H24" s="241">
        <v>47700.27</v>
      </c>
      <c r="I24" s="232"/>
      <c r="J24" s="322">
        <f>19000/12*6</f>
        <v>9500</v>
      </c>
      <c r="K24" s="322">
        <v>19000</v>
      </c>
      <c r="L24" s="322"/>
      <c r="M24" s="322">
        <v>6333</v>
      </c>
      <c r="N24" s="68"/>
      <c r="O24" s="508">
        <f>J24-M24</f>
        <v>3167</v>
      </c>
      <c r="P24" s="413">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219</v>
      </c>
      <c r="D25" s="420"/>
      <c r="E25" s="420"/>
      <c r="F25" s="73"/>
      <c r="G25" s="232"/>
      <c r="H25" s="232"/>
      <c r="I25" s="232"/>
      <c r="J25" s="265">
        <v>13582.02</v>
      </c>
      <c r="K25" s="265">
        <v>37834.400000000001</v>
      </c>
      <c r="L25" s="322"/>
      <c r="M25" s="265">
        <v>14484</v>
      </c>
      <c r="N25" s="68"/>
      <c r="O25" s="377">
        <f>J25-M25</f>
        <v>-901.97999999999956</v>
      </c>
      <c r="P25" s="463">
        <f>O25/M25</f>
        <v>-6.2274233637116788E-2</v>
      </c>
      <c r="Q25" s="68"/>
      <c r="R25" s="732"/>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0"/>
      <c r="D26" s="73" t="s">
        <v>107</v>
      </c>
      <c r="E26" s="420"/>
      <c r="F26" s="73"/>
      <c r="G26" s="234">
        <v>1311400.25</v>
      </c>
      <c r="H26" s="234">
        <v>563993.57999999996</v>
      </c>
      <c r="I26" s="232"/>
      <c r="J26" s="264">
        <f>SUM(J23:J25)</f>
        <v>147161.72999999998</v>
      </c>
      <c r="K26" s="264">
        <f>SUM(K23:K25)</f>
        <v>402075.38</v>
      </c>
      <c r="L26" s="322"/>
      <c r="M26" s="264">
        <f>SUM(M23:M25)</f>
        <v>155614.35</v>
      </c>
      <c r="N26" s="68"/>
      <c r="O26" s="275">
        <f>J26-M26</f>
        <v>-8452.6200000000244</v>
      </c>
      <c r="P26" s="436">
        <f>O26/M26</f>
        <v>-5.4317741262293766E-2</v>
      </c>
      <c r="Q26" s="68"/>
      <c r="R26" s="732"/>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0"/>
      <c r="D27" s="73"/>
      <c r="E27" s="420"/>
      <c r="F27" s="73"/>
      <c r="G27" s="234"/>
      <c r="H27" s="234"/>
      <c r="I27" s="232"/>
      <c r="J27" s="322"/>
      <c r="K27" s="594"/>
      <c r="L27" s="322"/>
      <c r="M27" s="322"/>
      <c r="N27" s="68"/>
      <c r="O27" s="68"/>
      <c r="P27" s="68"/>
      <c r="Q27" s="68"/>
      <c r="R27" s="732"/>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8"/>
      <c r="L28" s="368"/>
      <c r="M28" s="368"/>
      <c r="N28" s="68"/>
      <c r="O28" s="68"/>
      <c r="P28" s="68"/>
      <c r="Q28" s="68"/>
      <c r="R28" s="732"/>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220</v>
      </c>
      <c r="D29" s="79"/>
      <c r="E29" s="79"/>
      <c r="F29" s="79"/>
      <c r="G29" s="232">
        <v>733747.79999999993</v>
      </c>
      <c r="H29" s="275">
        <v>361976</v>
      </c>
      <c r="I29" s="275"/>
      <c r="J29" s="322"/>
      <c r="K29" s="399"/>
      <c r="L29" s="399"/>
      <c r="M29" s="399"/>
      <c r="R29" s="732"/>
    </row>
    <row r="30" spans="1:61" s="68" customFormat="1" x14ac:dyDescent="0.2">
      <c r="A30" s="67"/>
      <c r="B30" s="67"/>
      <c r="C30" s="79"/>
      <c r="D30" s="979" t="s">
        <v>221</v>
      </c>
      <c r="E30" s="979"/>
      <c r="F30" s="979"/>
      <c r="G30" s="232"/>
      <c r="H30" s="275"/>
      <c r="I30" s="275"/>
      <c r="J30" s="322">
        <v>64964.65</v>
      </c>
      <c r="K30" s="322">
        <v>162253.75</v>
      </c>
      <c r="L30" s="399"/>
      <c r="M30" s="322">
        <v>82702.42</v>
      </c>
      <c r="O30" s="275">
        <f t="shared" ref="O30:O50" si="2">J30-M30</f>
        <v>-17737.769999999997</v>
      </c>
      <c r="P30" s="436">
        <f>O30/M30</f>
        <v>-0.21447703706856458</v>
      </c>
      <c r="R30" s="732">
        <f>J30</f>
        <v>64964.65</v>
      </c>
    </row>
    <row r="31" spans="1:61" s="68" customFormat="1" x14ac:dyDescent="0.2">
      <c r="A31" s="67"/>
      <c r="B31" s="67"/>
      <c r="C31" s="79"/>
      <c r="D31" s="979" t="s">
        <v>222</v>
      </c>
      <c r="E31" s="979"/>
      <c r="F31" s="979"/>
      <c r="G31" s="232"/>
      <c r="H31" s="275"/>
      <c r="I31" s="275"/>
      <c r="J31" s="322">
        <f>23219.46+7406.6</f>
        <v>30626.059999999998</v>
      </c>
      <c r="K31" s="322">
        <f>37966.12+23862.63+605.03+106.59</f>
        <v>62540.369999999995</v>
      </c>
      <c r="L31" s="399"/>
      <c r="M31" s="322">
        <f>18368.1+11845.56</f>
        <v>30213.659999999996</v>
      </c>
      <c r="O31" s="275">
        <f t="shared" si="2"/>
        <v>412.40000000000146</v>
      </c>
      <c r="P31" s="436">
        <f>O31/M31</f>
        <v>1.3649455246401843E-2</v>
      </c>
      <c r="R31" s="732">
        <f>J31</f>
        <v>30626.059999999998</v>
      </c>
    </row>
    <row r="32" spans="1:61" s="68" customFormat="1" x14ac:dyDescent="0.2">
      <c r="A32" s="67"/>
      <c r="B32" s="67"/>
      <c r="C32" s="79"/>
      <c r="D32" s="979" t="s">
        <v>113</v>
      </c>
      <c r="E32" s="979"/>
      <c r="F32" s="979"/>
      <c r="G32" s="232"/>
      <c r="H32" s="275"/>
      <c r="I32" s="275"/>
      <c r="J32" s="322">
        <v>15442.94</v>
      </c>
      <c r="K32" s="322">
        <v>42279.58</v>
      </c>
      <c r="L32" s="399"/>
      <c r="M32" s="322">
        <f>(M30+M31)*0.18</f>
        <v>20324.894399999997</v>
      </c>
      <c r="O32" s="275">
        <f t="shared" si="2"/>
        <v>-4881.9543999999969</v>
      </c>
      <c r="P32" s="436">
        <f>O32/M32</f>
        <v>-0.24019580638017965</v>
      </c>
      <c r="R32" s="262">
        <f>J32</f>
        <v>15442.94</v>
      </c>
    </row>
    <row r="33" spans="1:19" s="68" customFormat="1" x14ac:dyDescent="0.2">
      <c r="A33" s="67"/>
      <c r="B33" s="67"/>
      <c r="C33" s="79" t="s">
        <v>278</v>
      </c>
      <c r="D33" s="79"/>
      <c r="E33" s="79"/>
      <c r="F33" s="79"/>
      <c r="G33" s="232">
        <v>44745.18</v>
      </c>
      <c r="H33" s="232">
        <v>20974.21</v>
      </c>
      <c r="I33" s="232"/>
      <c r="J33" s="322"/>
      <c r="K33" s="594"/>
      <c r="L33" s="322"/>
      <c r="M33" s="594"/>
      <c r="O33" s="275">
        <f t="shared" si="2"/>
        <v>0</v>
      </c>
      <c r="P33" s="436"/>
      <c r="R33" s="732"/>
      <c r="S33" s="68">
        <f>R32/(R30+R31)</f>
        <v>0.16155272829336662</v>
      </c>
    </row>
    <row r="34" spans="1:19" s="68" customFormat="1" x14ac:dyDescent="0.2">
      <c r="A34" s="67"/>
      <c r="B34" s="67"/>
      <c r="C34" s="79"/>
      <c r="D34" s="979" t="s">
        <v>223</v>
      </c>
      <c r="E34" s="979"/>
      <c r="F34" s="979"/>
      <c r="G34" s="232"/>
      <c r="H34" s="232"/>
      <c r="I34" s="232"/>
      <c r="J34" s="322">
        <v>7876.42</v>
      </c>
      <c r="K34" s="322">
        <v>25472.83</v>
      </c>
      <c r="L34" s="322"/>
      <c r="M34" s="322">
        <v>8106.06</v>
      </c>
      <c r="O34" s="275">
        <f t="shared" si="2"/>
        <v>-229.64000000000033</v>
      </c>
      <c r="P34" s="436">
        <f t="shared" ref="P34:P41" si="3">O34/M34</f>
        <v>-2.832942267883538E-2</v>
      </c>
      <c r="R34" s="732">
        <v>7876.42</v>
      </c>
    </row>
    <row r="35" spans="1:19" s="68" customFormat="1" x14ac:dyDescent="0.2">
      <c r="A35" s="67"/>
      <c r="B35" s="67"/>
      <c r="C35" s="79"/>
      <c r="D35" s="979" t="s">
        <v>224</v>
      </c>
      <c r="E35" s="979"/>
      <c r="F35" s="979"/>
      <c r="G35" s="232"/>
      <c r="H35" s="232"/>
      <c r="I35" s="232"/>
      <c r="J35" s="322">
        <v>11303.34</v>
      </c>
      <c r="K35" s="322">
        <v>17989.87</v>
      </c>
      <c r="L35" s="322"/>
      <c r="M35" s="322">
        <v>5932.49</v>
      </c>
      <c r="O35" s="275">
        <f t="shared" si="2"/>
        <v>5370.85</v>
      </c>
      <c r="P35" s="436">
        <f t="shared" si="3"/>
        <v>0.90532811686155401</v>
      </c>
      <c r="R35" s="732">
        <v>11303.34</v>
      </c>
    </row>
    <row r="36" spans="1:19" s="68" customFormat="1" x14ac:dyDescent="0.2">
      <c r="A36" s="67"/>
      <c r="B36" s="67"/>
      <c r="C36" s="79"/>
      <c r="D36" s="979" t="s">
        <v>304</v>
      </c>
      <c r="E36" s="979"/>
      <c r="F36" s="979"/>
      <c r="G36" s="232"/>
      <c r="H36" s="232"/>
      <c r="I36" s="232"/>
      <c r="J36" s="322">
        <v>11898.19</v>
      </c>
      <c r="K36" s="322">
        <v>16090.9</v>
      </c>
      <c r="L36" s="322"/>
      <c r="M36" s="322">
        <v>7105.84</v>
      </c>
      <c r="O36" s="275">
        <f t="shared" si="2"/>
        <v>4792.3500000000004</v>
      </c>
      <c r="P36" s="436">
        <f t="shared" si="3"/>
        <v>0.6744241356405436</v>
      </c>
      <c r="R36" s="732">
        <v>11898.19</v>
      </c>
    </row>
    <row r="37" spans="1:19" s="68" customFormat="1" x14ac:dyDescent="0.2">
      <c r="A37" s="67"/>
      <c r="B37" s="67"/>
      <c r="C37" s="79"/>
      <c r="D37" s="979" t="s">
        <v>225</v>
      </c>
      <c r="E37" s="979"/>
      <c r="F37" s="979"/>
      <c r="G37" s="232"/>
      <c r="H37" s="232"/>
      <c r="I37" s="232"/>
      <c r="J37" s="322">
        <v>307</v>
      </c>
      <c r="K37" s="322">
        <v>1427.75</v>
      </c>
      <c r="L37" s="322"/>
      <c r="M37" s="322">
        <v>79</v>
      </c>
      <c r="O37" s="275">
        <f t="shared" si="2"/>
        <v>228</v>
      </c>
      <c r="P37" s="436">
        <f t="shared" si="3"/>
        <v>2.8860759493670884</v>
      </c>
      <c r="R37" s="732">
        <v>307</v>
      </c>
    </row>
    <row r="38" spans="1:19" s="68" customFormat="1" x14ac:dyDescent="0.2">
      <c r="A38" s="67"/>
      <c r="B38" s="67"/>
      <c r="C38" s="79" t="s">
        <v>226</v>
      </c>
      <c r="D38" s="79"/>
      <c r="E38" s="79"/>
      <c r="F38" s="79"/>
      <c r="G38" s="232">
        <v>27200</v>
      </c>
      <c r="H38" s="232">
        <v>11327</v>
      </c>
      <c r="I38" s="232"/>
      <c r="J38" s="322">
        <v>15180</v>
      </c>
      <c r="K38" s="322">
        <f>22438.68+1591</f>
        <v>24029.68</v>
      </c>
      <c r="L38" s="322"/>
      <c r="M38" s="322">
        <f>530.32+7060.24</f>
        <v>7590.5599999999995</v>
      </c>
      <c r="O38" s="275">
        <f t="shared" si="2"/>
        <v>7589.4400000000005</v>
      </c>
      <c r="P38" s="436">
        <f t="shared" si="3"/>
        <v>0.99985244830420961</v>
      </c>
      <c r="R38" s="732">
        <f>930+14250</f>
        <v>15180</v>
      </c>
    </row>
    <row r="39" spans="1:19" s="68" customFormat="1" x14ac:dyDescent="0.2">
      <c r="A39" s="67"/>
      <c r="B39" s="67"/>
      <c r="C39" s="79" t="s">
        <v>104</v>
      </c>
      <c r="D39" s="79"/>
      <c r="E39" s="79"/>
      <c r="F39" s="79"/>
      <c r="G39" s="232">
        <v>150176</v>
      </c>
      <c r="H39" s="275">
        <v>47700.27</v>
      </c>
      <c r="I39" s="275"/>
      <c r="J39" s="322">
        <f>J22</f>
        <v>10548</v>
      </c>
      <c r="K39" s="322">
        <f>K22</f>
        <v>10548</v>
      </c>
      <c r="L39" s="399"/>
      <c r="M39" s="322">
        <f>M22</f>
        <v>10548</v>
      </c>
      <c r="O39" s="275">
        <f t="shared" si="2"/>
        <v>0</v>
      </c>
      <c r="P39" s="436">
        <f t="shared" si="3"/>
        <v>0</v>
      </c>
      <c r="R39" s="732"/>
    </row>
    <row r="40" spans="1:19" s="68" customFormat="1" x14ac:dyDescent="0.2">
      <c r="A40" s="67"/>
      <c r="B40" s="67"/>
      <c r="C40" s="79" t="s">
        <v>313</v>
      </c>
      <c r="D40" s="79"/>
      <c r="E40" s="79"/>
      <c r="F40" s="79"/>
      <c r="G40" s="232"/>
      <c r="H40" s="275"/>
      <c r="I40" s="275"/>
      <c r="J40" s="322">
        <f>1268+392</f>
        <v>1660</v>
      </c>
      <c r="K40" s="322">
        <v>4497</v>
      </c>
      <c r="L40" s="399"/>
      <c r="M40" s="322">
        <v>1388</v>
      </c>
      <c r="O40" s="275">
        <f t="shared" si="2"/>
        <v>272</v>
      </c>
      <c r="P40" s="436">
        <f t="shared" si="3"/>
        <v>0.19596541786743515</v>
      </c>
      <c r="R40" s="732">
        <v>2437</v>
      </c>
    </row>
    <row r="41" spans="1:19" s="68" customFormat="1" x14ac:dyDescent="0.2">
      <c r="A41" s="67"/>
      <c r="B41" s="67"/>
      <c r="C41" s="79" t="s">
        <v>227</v>
      </c>
      <c r="D41" s="79"/>
      <c r="E41" s="79"/>
      <c r="F41" s="79"/>
      <c r="G41" s="232"/>
      <c r="H41" s="275"/>
      <c r="I41" s="275"/>
      <c r="J41" s="322">
        <v>954</v>
      </c>
      <c r="K41" s="322">
        <f>75+874</f>
        <v>949</v>
      </c>
      <c r="L41" s="399"/>
      <c r="M41" s="322">
        <f>393+75</f>
        <v>468</v>
      </c>
      <c r="O41" s="275">
        <f t="shared" si="2"/>
        <v>486</v>
      </c>
      <c r="P41" s="436">
        <f t="shared" si="3"/>
        <v>1.0384615384615385</v>
      </c>
      <c r="R41" s="732">
        <f>105+877</f>
        <v>982</v>
      </c>
      <c r="S41" s="736">
        <f>R41</f>
        <v>982</v>
      </c>
    </row>
    <row r="42" spans="1:19" s="68" customFormat="1" x14ac:dyDescent="0.2">
      <c r="A42" s="67"/>
      <c r="B42" s="67"/>
      <c r="C42" s="79" t="s">
        <v>383</v>
      </c>
      <c r="D42" s="79"/>
      <c r="E42" s="79"/>
      <c r="F42" s="79"/>
      <c r="G42" s="232">
        <v>10993.12</v>
      </c>
      <c r="H42" s="275">
        <v>4904.57</v>
      </c>
      <c r="I42" s="275"/>
      <c r="J42" s="322">
        <f>1600.82+472.16</f>
        <v>2072.98</v>
      </c>
      <c r="K42" s="322">
        <v>4436.1400000000003</v>
      </c>
      <c r="L42" s="399"/>
      <c r="M42" s="322">
        <f>18.18+1152.17</f>
        <v>1170.3500000000001</v>
      </c>
      <c r="O42" s="275">
        <f t="shared" si="2"/>
        <v>902.62999999999988</v>
      </c>
      <c r="P42" s="436">
        <f>O42/M42</f>
        <v>0.77124791728969944</v>
      </c>
      <c r="R42" s="732">
        <f>757.49+3120.83+26.18</f>
        <v>3904.4999999999995</v>
      </c>
    </row>
    <row r="43" spans="1:19" s="68" customFormat="1" x14ac:dyDescent="0.2">
      <c r="A43" s="67"/>
      <c r="B43" s="67"/>
      <c r="C43" s="79" t="s">
        <v>228</v>
      </c>
      <c r="D43" s="79"/>
      <c r="E43" s="79"/>
      <c r="F43" s="79"/>
      <c r="G43" s="232">
        <v>10250.949999999999</v>
      </c>
      <c r="H43" s="275">
        <v>3982.99</v>
      </c>
      <c r="I43" s="275"/>
      <c r="J43" s="322">
        <f>41.5+32.88</f>
        <v>74.38</v>
      </c>
      <c r="K43" s="322">
        <f>223.01+568.51</f>
        <v>791.52</v>
      </c>
      <c r="L43" s="399"/>
      <c r="M43" s="322">
        <f>11.58+94.37+34.1+4.4</f>
        <v>144.45000000000002</v>
      </c>
      <c r="O43" s="275">
        <f t="shared" si="2"/>
        <v>-70.070000000000022</v>
      </c>
      <c r="P43" s="436">
        <f>O43/M43</f>
        <v>-0.48508134302526834</v>
      </c>
      <c r="R43" s="732">
        <f>9.2+72.5+8.53+225.13</f>
        <v>315.36</v>
      </c>
      <c r="S43" s="736">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0"/>
      <c r="M44" s="322">
        <f>72.06+953.27</f>
        <v>1025.33</v>
      </c>
      <c r="O44" s="275">
        <f t="shared" si="2"/>
        <v>-24.370000000000005</v>
      </c>
      <c r="P44" s="436">
        <f>O44/M44</f>
        <v>-2.3767957633152259E-2</v>
      </c>
      <c r="R44" s="732">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399"/>
      <c r="M45" s="322">
        <f>150.1</f>
        <v>150.1</v>
      </c>
      <c r="O45" s="275">
        <f t="shared" si="2"/>
        <v>-36.980000000000004</v>
      </c>
      <c r="P45" s="436">
        <f>O45/M45</f>
        <v>-0.24636908727514994</v>
      </c>
      <c r="R45" s="732">
        <f>0.1+152.24</f>
        <v>152.34</v>
      </c>
      <c r="S45" s="736">
        <f>R45</f>
        <v>152.34</v>
      </c>
    </row>
    <row r="46" spans="1:19" s="68" customFormat="1" hidden="1" x14ac:dyDescent="0.2">
      <c r="A46" s="67"/>
      <c r="B46" s="67"/>
      <c r="C46" s="79" t="s">
        <v>229</v>
      </c>
      <c r="D46" s="79"/>
      <c r="E46" s="79"/>
      <c r="F46" s="79"/>
      <c r="G46" s="232"/>
      <c r="H46" s="275"/>
      <c r="I46" s="275"/>
      <c r="J46" s="322"/>
      <c r="K46" s="322"/>
      <c r="L46" s="399"/>
      <c r="M46" s="322"/>
      <c r="O46" s="275">
        <f t="shared" si="2"/>
        <v>0</v>
      </c>
      <c r="P46" s="436"/>
      <c r="R46" s="732"/>
    </row>
    <row r="47" spans="1:19" s="76" customFormat="1" x14ac:dyDescent="0.2">
      <c r="A47" s="79"/>
      <c r="B47" s="79"/>
      <c r="C47" s="79" t="s">
        <v>116</v>
      </c>
      <c r="D47" s="79"/>
      <c r="E47" s="79"/>
      <c r="F47" s="79"/>
      <c r="G47" s="232">
        <v>5428.37</v>
      </c>
      <c r="H47" s="275">
        <v>2024.52</v>
      </c>
      <c r="I47" s="275"/>
      <c r="J47" s="322">
        <f>144.57+13.67</f>
        <v>158.23999999999998</v>
      </c>
      <c r="K47" s="322">
        <v>422.62</v>
      </c>
      <c r="L47" s="399"/>
      <c r="M47" s="322">
        <v>151.52000000000001</v>
      </c>
      <c r="O47" s="275">
        <f t="shared" si="2"/>
        <v>6.7199999999999704</v>
      </c>
      <c r="P47" s="436">
        <f>O47/M47</f>
        <v>4.4350580781414795E-2</v>
      </c>
      <c r="R47" s="732">
        <v>207.91</v>
      </c>
    </row>
    <row r="48" spans="1:19" s="76" customFormat="1" x14ac:dyDescent="0.2">
      <c r="A48" s="79"/>
      <c r="B48" s="79"/>
      <c r="C48" s="79" t="s">
        <v>230</v>
      </c>
      <c r="D48" s="79"/>
      <c r="E48" s="79"/>
      <c r="F48" s="79"/>
      <c r="G48" s="232">
        <v>83462.91</v>
      </c>
      <c r="H48" s="232">
        <v>18995.71</v>
      </c>
      <c r="I48" s="232"/>
      <c r="J48" s="398">
        <f>43.18+110</f>
        <v>153.18</v>
      </c>
      <c r="K48" s="398">
        <f>248.22+18.56+28.25+5</f>
        <v>300.02999999999997</v>
      </c>
      <c r="L48" s="322"/>
      <c r="M48" s="398">
        <v>58.6</v>
      </c>
      <c r="O48" s="511">
        <f t="shared" si="2"/>
        <v>94.580000000000013</v>
      </c>
      <c r="P48" s="510">
        <f>O48/M48</f>
        <v>1.6139931740614337</v>
      </c>
      <c r="R48" s="732">
        <f>25+228.45+110</f>
        <v>363.45</v>
      </c>
    </row>
    <row r="49" spans="1:21" s="68" customFormat="1" ht="21" thickBot="1" x14ac:dyDescent="0.25">
      <c r="A49" s="67"/>
      <c r="B49" s="67"/>
      <c r="C49" s="67"/>
      <c r="D49" s="73" t="s">
        <v>128</v>
      </c>
      <c r="E49" s="67"/>
      <c r="F49" s="67"/>
      <c r="G49" s="241">
        <v>1078317.8599999999</v>
      </c>
      <c r="H49" s="241">
        <v>481701.87000000005</v>
      </c>
      <c r="I49" s="232"/>
      <c r="J49" s="465">
        <f>SUM(J30:J48)</f>
        <v>174333.45999999996</v>
      </c>
      <c r="K49" s="465">
        <f>SUM(K30:K48)</f>
        <v>376252.4200000001</v>
      </c>
      <c r="L49" s="322"/>
      <c r="M49" s="465">
        <f>SUM(M30:M48)</f>
        <v>177159.27439999997</v>
      </c>
      <c r="O49" s="465">
        <f t="shared" si="2"/>
        <v>-2825.8144000000029</v>
      </c>
      <c r="P49" s="463">
        <f>O49/M49</f>
        <v>-1.5950699784532441E-2</v>
      </c>
      <c r="R49" s="732"/>
      <c r="U49" s="341"/>
    </row>
    <row r="50" spans="1:21" s="68" customFormat="1" ht="21" thickBot="1" x14ac:dyDescent="0.25">
      <c r="A50" s="67"/>
      <c r="B50" s="67"/>
      <c r="C50" s="67"/>
      <c r="D50" s="67" t="s">
        <v>129</v>
      </c>
      <c r="E50" s="67"/>
      <c r="F50" s="67"/>
      <c r="G50" s="241">
        <v>233082.39000000013</v>
      </c>
      <c r="H50" s="241">
        <v>82291.709999999905</v>
      </c>
      <c r="I50" s="232"/>
      <c r="J50" s="466">
        <f>J26-J49</f>
        <v>-27171.729999999981</v>
      </c>
      <c r="K50" s="466">
        <f>K26-K49</f>
        <v>25822.959999999905</v>
      </c>
      <c r="L50" s="322"/>
      <c r="M50" s="466">
        <f>M26-M49</f>
        <v>-21544.92439999996</v>
      </c>
      <c r="O50" s="377">
        <f t="shared" si="2"/>
        <v>-5626.8056000000215</v>
      </c>
      <c r="P50" s="463">
        <f>O50/M50</f>
        <v>0.26116617981727669</v>
      </c>
      <c r="R50" s="732">
        <f>SUM(R29:R49)</f>
        <v>167381.94999999998</v>
      </c>
    </row>
    <row r="51" spans="1:21" s="68" customFormat="1" x14ac:dyDescent="0.2">
      <c r="A51" s="67"/>
      <c r="B51" s="67"/>
      <c r="C51" s="67"/>
      <c r="D51" s="67"/>
      <c r="E51" s="67"/>
      <c r="F51" s="67"/>
      <c r="G51" s="232"/>
      <c r="H51" s="232"/>
      <c r="I51" s="232"/>
      <c r="J51" s="322"/>
      <c r="K51" s="322"/>
      <c r="L51" s="322"/>
      <c r="M51" s="322"/>
      <c r="R51" s="732"/>
    </row>
    <row r="52" spans="1:21" s="65" customFormat="1" ht="26.25" x14ac:dyDescent="0.2">
      <c r="A52" s="268"/>
      <c r="B52" s="268"/>
      <c r="C52" s="79" t="s">
        <v>265</v>
      </c>
      <c r="E52" s="79"/>
      <c r="F52" s="79"/>
      <c r="G52" s="270"/>
      <c r="H52" s="232"/>
      <c r="I52" s="232"/>
      <c r="J52" s="322"/>
      <c r="K52" s="322">
        <v>-69500</v>
      </c>
      <c r="L52" s="322"/>
      <c r="M52" s="322"/>
      <c r="O52" s="275">
        <f>J52-M52</f>
        <v>0</v>
      </c>
      <c r="P52" s="413"/>
      <c r="R52" s="732"/>
    </row>
    <row r="53" spans="1:21" s="68" customFormat="1" x14ac:dyDescent="0.2">
      <c r="A53" s="67"/>
      <c r="B53" s="67"/>
      <c r="C53" s="79" t="s">
        <v>231</v>
      </c>
      <c r="E53" s="67"/>
      <c r="G53" s="232"/>
      <c r="H53" s="232"/>
      <c r="I53" s="232"/>
      <c r="J53" s="322">
        <f>J38</f>
        <v>15180</v>
      </c>
      <c r="K53" s="322">
        <f>K38</f>
        <v>24029.68</v>
      </c>
      <c r="L53" s="322"/>
      <c r="M53" s="322">
        <f>M38</f>
        <v>7590.5599999999995</v>
      </c>
      <c r="O53" s="275">
        <f>J53-M53</f>
        <v>7589.4400000000005</v>
      </c>
      <c r="P53" s="413">
        <v>3.5414486921529216E-2</v>
      </c>
      <c r="R53" s="732"/>
    </row>
    <row r="54" spans="1:21" s="68" customFormat="1" ht="24" thickBot="1" x14ac:dyDescent="0.25">
      <c r="A54" s="67"/>
      <c r="B54" s="396"/>
      <c r="C54" s="67"/>
      <c r="D54" s="982" t="s">
        <v>232</v>
      </c>
      <c r="E54" s="982"/>
      <c r="F54" s="982"/>
      <c r="G54" s="232"/>
      <c r="H54" s="232"/>
      <c r="I54" s="232"/>
      <c r="J54" s="467">
        <f>J50+J52+J53</f>
        <v>-11991.729999999981</v>
      </c>
      <c r="K54" s="467">
        <f>K50+K52+K53</f>
        <v>-19647.360000000095</v>
      </c>
      <c r="L54" s="326"/>
      <c r="M54" s="467">
        <f>M50+M52+M53</f>
        <v>-13954.36439999996</v>
      </c>
      <c r="N54" s="387"/>
      <c r="O54" s="464">
        <f>J54-M54</f>
        <v>1962.634399999979</v>
      </c>
      <c r="P54" s="501">
        <v>2.1062768618503362E-2</v>
      </c>
      <c r="R54" s="732"/>
    </row>
    <row r="55" spans="1:21" s="68" customFormat="1" ht="42" customHeight="1" thickTop="1" x14ac:dyDescent="0.2">
      <c r="A55" s="67"/>
      <c r="B55" s="67"/>
      <c r="C55" s="67"/>
      <c r="D55" s="67"/>
      <c r="E55" s="67"/>
      <c r="F55" s="67"/>
      <c r="G55" s="232"/>
      <c r="H55" s="232"/>
      <c r="I55" s="232"/>
      <c r="J55" s="322"/>
      <c r="K55" s="322"/>
      <c r="L55" s="322"/>
      <c r="M55" s="322"/>
      <c r="R55" s="732"/>
    </row>
    <row r="56" spans="1:21" s="76" customFormat="1" x14ac:dyDescent="0.2">
      <c r="A56" s="79"/>
      <c r="B56" s="79"/>
      <c r="C56" s="79"/>
      <c r="D56" s="79"/>
      <c r="F56" s="79" t="s">
        <v>309</v>
      </c>
      <c r="G56" s="246"/>
      <c r="H56" s="232"/>
      <c r="I56" s="232"/>
      <c r="J56" s="322">
        <v>62742</v>
      </c>
      <c r="K56" s="322">
        <v>227723</v>
      </c>
      <c r="L56" s="322"/>
      <c r="M56" s="322">
        <v>74506</v>
      </c>
      <c r="O56" s="247"/>
      <c r="R56" s="732"/>
    </row>
    <row r="57" spans="1:21" s="76" customFormat="1" ht="21" thickBot="1" x14ac:dyDescent="0.25">
      <c r="A57" s="79"/>
      <c r="B57" s="79"/>
      <c r="C57" s="79"/>
      <c r="D57" s="79"/>
      <c r="F57" s="79" t="s">
        <v>314</v>
      </c>
      <c r="G57" s="232"/>
      <c r="H57" s="232"/>
      <c r="I57" s="232"/>
      <c r="J57" s="611">
        <f>(J49-J38-J39)/J56</f>
        <v>2.3685164642504217</v>
      </c>
      <c r="K57" s="611">
        <f>(K49-K38-K39)/K56</f>
        <v>1.5003962709080774</v>
      </c>
      <c r="L57" s="612"/>
      <c r="M57" s="611">
        <f>(M49-M38-M39)/M56</f>
        <v>2.1343343408584539</v>
      </c>
      <c r="R57" s="732"/>
    </row>
    <row r="58" spans="1:21" s="76" customFormat="1" x14ac:dyDescent="0.2">
      <c r="A58" s="79"/>
      <c r="B58" s="79"/>
      <c r="C58" s="79"/>
      <c r="D58" s="79"/>
      <c r="F58" s="79"/>
      <c r="G58" s="232"/>
      <c r="H58" s="232"/>
      <c r="I58" s="232"/>
      <c r="J58" s="322"/>
      <c r="K58" s="322"/>
      <c r="L58" s="322"/>
      <c r="M58" s="322"/>
      <c r="R58" s="732"/>
    </row>
    <row r="59" spans="1:21" s="76" customFormat="1" x14ac:dyDescent="0.2">
      <c r="A59" s="79"/>
      <c r="B59" s="79"/>
      <c r="C59" s="79"/>
      <c r="D59" s="79"/>
      <c r="F59" s="79" t="s">
        <v>310</v>
      </c>
      <c r="G59" s="232"/>
      <c r="H59" s="232"/>
      <c r="I59" s="232"/>
      <c r="J59" s="322">
        <v>4125</v>
      </c>
      <c r="K59" s="322">
        <v>16457</v>
      </c>
      <c r="L59" s="322"/>
      <c r="M59" s="322">
        <v>5516</v>
      </c>
      <c r="P59" s="247"/>
      <c r="R59" s="732"/>
    </row>
    <row r="60" spans="1:21" s="76" customFormat="1" ht="21" thickBot="1" x14ac:dyDescent="0.25">
      <c r="A60" s="79"/>
      <c r="B60" s="79"/>
      <c r="C60" s="79"/>
      <c r="D60" s="79"/>
      <c r="F60" s="79" t="s">
        <v>372</v>
      </c>
      <c r="G60" s="232"/>
      <c r="H60" s="232"/>
      <c r="I60" s="232"/>
      <c r="J60" s="611">
        <f>(J49-J38-J39)/J59</f>
        <v>36.025566060606053</v>
      </c>
      <c r="K60" s="611">
        <f>(K49-K38-K39)/K59</f>
        <v>20.761666160296535</v>
      </c>
      <c r="L60" s="322"/>
      <c r="M60" s="611">
        <f>(M49-M38-M39)/M59</f>
        <v>28.828991007976789</v>
      </c>
      <c r="R60" s="732"/>
    </row>
    <row r="61" spans="1:21" s="76" customFormat="1" x14ac:dyDescent="0.2">
      <c r="A61" s="79"/>
      <c r="B61" s="79"/>
      <c r="C61" s="79"/>
      <c r="D61" s="79"/>
      <c r="F61" s="79"/>
      <c r="G61" s="232"/>
      <c r="H61" s="232"/>
      <c r="I61" s="232"/>
      <c r="J61" s="322"/>
      <c r="K61" s="322"/>
      <c r="L61" s="322"/>
      <c r="M61" s="322"/>
      <c r="R61" s="732"/>
    </row>
    <row r="62" spans="1:21" s="76" customFormat="1" x14ac:dyDescent="0.2">
      <c r="A62" s="79"/>
      <c r="B62" s="79"/>
      <c r="C62" s="67"/>
      <c r="D62" s="79"/>
      <c r="F62" s="79" t="s">
        <v>311</v>
      </c>
      <c r="G62" s="232"/>
      <c r="H62" s="232"/>
      <c r="I62" s="232"/>
      <c r="J62" s="322">
        <v>1517</v>
      </c>
      <c r="K62" s="322">
        <v>7208</v>
      </c>
      <c r="L62" s="322"/>
      <c r="M62" s="322">
        <v>2389</v>
      </c>
      <c r="R62" s="732"/>
    </row>
    <row r="63" spans="1:21" s="76" customFormat="1" ht="21" thickBot="1" x14ac:dyDescent="0.25">
      <c r="A63" s="79"/>
      <c r="B63" s="79"/>
      <c r="C63" s="79"/>
      <c r="D63" s="79"/>
      <c r="E63" s="79"/>
      <c r="F63" s="79" t="s">
        <v>373</v>
      </c>
      <c r="G63" s="232"/>
      <c r="H63" s="232"/>
      <c r="I63" s="232"/>
      <c r="J63" s="611">
        <f>J9/J62</f>
        <v>27.359485827290705</v>
      </c>
      <c r="K63" s="611">
        <f>K9/K62</f>
        <v>22.020116537180911</v>
      </c>
      <c r="L63" s="322"/>
      <c r="M63" s="611">
        <f>M9/M62</f>
        <v>32.932381749686066</v>
      </c>
      <c r="R63" s="732"/>
    </row>
    <row r="64" spans="1:21" s="76" customFormat="1" x14ac:dyDescent="0.2">
      <c r="A64" s="79"/>
      <c r="B64" s="79"/>
      <c r="C64" s="67"/>
      <c r="D64" s="67"/>
      <c r="G64" s="232"/>
      <c r="H64" s="232"/>
      <c r="I64" s="232"/>
      <c r="J64" s="322"/>
      <c r="K64" s="322"/>
      <c r="L64" s="322"/>
      <c r="M64" s="322"/>
      <c r="R64" s="732"/>
    </row>
    <row r="65" spans="1:18" s="76" customFormat="1" x14ac:dyDescent="0.2">
      <c r="A65" s="79"/>
      <c r="B65" s="79"/>
      <c r="C65" s="79"/>
      <c r="D65" s="79"/>
      <c r="E65" s="79"/>
      <c r="F65" s="79"/>
      <c r="G65" s="232"/>
      <c r="H65" s="232"/>
      <c r="I65" s="232"/>
      <c r="J65" s="232"/>
      <c r="K65" s="232"/>
      <c r="L65" s="232"/>
      <c r="M65" s="232"/>
      <c r="R65" s="732"/>
    </row>
    <row r="66" spans="1:18" s="76" customFormat="1" x14ac:dyDescent="0.2">
      <c r="A66" s="79"/>
      <c r="B66" s="79"/>
      <c r="C66" s="79"/>
      <c r="D66" s="79"/>
      <c r="E66" s="79"/>
      <c r="F66" s="79"/>
      <c r="G66" s="232"/>
      <c r="H66" s="232"/>
      <c r="I66" s="232"/>
      <c r="J66" s="232"/>
      <c r="K66" s="232"/>
      <c r="L66" s="232"/>
      <c r="M66" s="232"/>
      <c r="R66" s="732"/>
    </row>
    <row r="67" spans="1:18" s="76" customFormat="1" x14ac:dyDescent="0.2">
      <c r="A67" s="79"/>
      <c r="B67" s="79"/>
      <c r="C67" s="67"/>
      <c r="D67" s="79"/>
      <c r="F67" s="79"/>
      <c r="G67" s="232"/>
      <c r="H67" s="232"/>
      <c r="I67" s="232"/>
      <c r="J67" s="232"/>
      <c r="K67" s="232"/>
      <c r="L67" s="232"/>
      <c r="M67" s="232"/>
      <c r="R67" s="732"/>
    </row>
    <row r="68" spans="1:18" s="76" customFormat="1" x14ac:dyDescent="0.2">
      <c r="A68" s="79"/>
      <c r="B68" s="79"/>
      <c r="C68" s="79"/>
      <c r="D68" s="79"/>
      <c r="E68" s="79"/>
      <c r="F68" s="79"/>
      <c r="G68" s="232"/>
      <c r="H68" s="232"/>
      <c r="I68" s="232"/>
      <c r="J68" s="232"/>
      <c r="K68" s="232"/>
      <c r="L68" s="232"/>
      <c r="M68" s="232"/>
      <c r="R68" s="732"/>
    </row>
    <row r="69" spans="1:18" s="68" customFormat="1" x14ac:dyDescent="0.2">
      <c r="A69" s="67"/>
      <c r="B69" s="67"/>
      <c r="C69" s="67"/>
      <c r="D69" s="67"/>
      <c r="E69" s="67"/>
      <c r="F69" s="67"/>
      <c r="G69" s="237"/>
      <c r="H69" s="237"/>
      <c r="I69" s="237"/>
      <c r="J69" s="237"/>
      <c r="K69" s="237"/>
      <c r="L69" s="237"/>
      <c r="M69" s="237"/>
      <c r="R69" s="732"/>
    </row>
    <row r="70" spans="1:18" s="68" customFormat="1" x14ac:dyDescent="0.2">
      <c r="A70" s="67"/>
      <c r="B70" s="67"/>
      <c r="C70" s="67"/>
      <c r="D70" s="67"/>
      <c r="E70" s="67"/>
      <c r="F70" s="67"/>
      <c r="G70" s="237"/>
      <c r="H70" s="237"/>
      <c r="I70" s="237"/>
      <c r="J70" s="237"/>
      <c r="K70" s="237"/>
      <c r="L70" s="237"/>
      <c r="M70" s="237"/>
      <c r="R70" s="732"/>
    </row>
    <row r="71" spans="1:18" s="68" customFormat="1" ht="23.25" x14ac:dyDescent="0.2">
      <c r="A71" s="67"/>
      <c r="B71" s="271"/>
      <c r="C71" s="67"/>
      <c r="D71" s="67"/>
      <c r="E71" s="67"/>
      <c r="F71" s="67"/>
      <c r="G71" s="232"/>
      <c r="H71" s="232"/>
      <c r="I71" s="232"/>
      <c r="J71" s="232"/>
      <c r="K71" s="232"/>
      <c r="L71" s="232"/>
      <c r="M71" s="232"/>
      <c r="R71" s="732"/>
    </row>
    <row r="72" spans="1:18" s="76" customFormat="1" x14ac:dyDescent="0.2">
      <c r="A72" s="79"/>
      <c r="B72" s="79"/>
      <c r="D72" s="79"/>
      <c r="E72" s="79"/>
      <c r="F72" s="79"/>
      <c r="G72" s="232"/>
      <c r="H72" s="232"/>
      <c r="I72" s="232"/>
      <c r="J72" s="232"/>
      <c r="K72" s="232"/>
      <c r="L72" s="232"/>
      <c r="M72" s="232"/>
      <c r="R72" s="732"/>
    </row>
    <row r="73" spans="1:18" s="76" customFormat="1" x14ac:dyDescent="0.2">
      <c r="A73" s="79"/>
      <c r="B73" s="79"/>
      <c r="D73" s="79"/>
      <c r="E73" s="79"/>
      <c r="F73" s="79"/>
      <c r="G73" s="232"/>
      <c r="H73" s="232"/>
      <c r="I73" s="232"/>
      <c r="J73" s="232"/>
      <c r="K73" s="232"/>
      <c r="L73" s="232"/>
      <c r="M73" s="232"/>
      <c r="R73" s="732"/>
    </row>
    <row r="74" spans="1:18" s="68" customFormat="1" x14ac:dyDescent="0.2">
      <c r="A74" s="67"/>
      <c r="B74" s="67"/>
      <c r="D74" s="79"/>
      <c r="E74" s="67"/>
      <c r="F74" s="67"/>
      <c r="G74" s="232"/>
      <c r="H74" s="232"/>
      <c r="I74" s="232"/>
      <c r="J74" s="232"/>
      <c r="K74" s="232"/>
      <c r="L74" s="232"/>
      <c r="M74" s="232"/>
      <c r="R74" s="732"/>
    </row>
    <row r="75" spans="1:18" s="68" customFormat="1" ht="23.25" x14ac:dyDescent="0.2">
      <c r="A75" s="67"/>
      <c r="B75" s="271"/>
      <c r="C75" s="67"/>
      <c r="D75" s="67"/>
      <c r="E75" s="67"/>
      <c r="F75" s="67"/>
      <c r="G75" s="237"/>
      <c r="H75" s="237"/>
      <c r="I75" s="237"/>
      <c r="J75" s="237"/>
      <c r="K75" s="237"/>
      <c r="L75" s="237"/>
      <c r="M75" s="237"/>
      <c r="R75" s="732"/>
    </row>
    <row r="76" spans="1:18" s="68" customFormat="1" x14ac:dyDescent="0.2">
      <c r="A76" s="67"/>
      <c r="B76" s="67"/>
      <c r="C76" s="67"/>
      <c r="D76" s="67"/>
      <c r="E76" s="67"/>
      <c r="F76" s="67"/>
      <c r="G76" s="232"/>
      <c r="H76" s="232"/>
      <c r="I76" s="232"/>
      <c r="J76" s="232"/>
      <c r="K76" s="232"/>
      <c r="L76" s="232"/>
      <c r="M76" s="232"/>
      <c r="R76" s="732"/>
    </row>
    <row r="77" spans="1:18" s="82" customFormat="1" ht="26.25" x14ac:dyDescent="0.2">
      <c r="A77" s="268"/>
      <c r="B77" s="268"/>
      <c r="C77" s="268"/>
      <c r="D77" s="268"/>
      <c r="E77" s="268"/>
      <c r="F77" s="268"/>
      <c r="G77" s="269"/>
      <c r="H77" s="237"/>
      <c r="I77" s="237"/>
      <c r="J77" s="237"/>
      <c r="K77" s="237"/>
      <c r="L77" s="237"/>
      <c r="M77" s="237"/>
      <c r="R77" s="734"/>
    </row>
    <row r="78" spans="1:18" s="18" customFormat="1" x14ac:dyDescent="0.3">
      <c r="A78" s="122"/>
      <c r="B78" s="122"/>
      <c r="C78" s="122"/>
      <c r="D78" s="122"/>
      <c r="E78" s="122"/>
      <c r="F78" s="122"/>
      <c r="G78" s="272"/>
      <c r="H78" s="277"/>
      <c r="I78" s="277"/>
      <c r="J78" s="277"/>
      <c r="K78" s="277"/>
      <c r="L78" s="277"/>
      <c r="M78" s="277"/>
      <c r="R78" s="735"/>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378</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698"/>
      <c r="H6" s="240" t="s">
        <v>49</v>
      </c>
      <c r="I6" s="240"/>
      <c r="J6" s="977" t="s">
        <v>49</v>
      </c>
      <c r="K6" s="977"/>
      <c r="L6" s="977"/>
      <c r="M6" s="977"/>
      <c r="N6" s="65"/>
      <c r="O6" s="415" t="s">
        <v>181</v>
      </c>
      <c r="P6" s="412"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0">
        <v>43830</v>
      </c>
      <c r="K8" s="671">
        <f>'December''22 State of Activities'!H8</f>
        <v>44561</v>
      </c>
      <c r="L8" s="672"/>
      <c r="M8" s="670">
        <v>44196</v>
      </c>
      <c r="N8" s="71"/>
      <c r="O8" s="1040" t="s">
        <v>381</v>
      </c>
      <c r="P8" s="1040"/>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150</v>
      </c>
      <c r="D9" s="420"/>
      <c r="E9" s="420"/>
      <c r="F9" s="73"/>
      <c r="G9" s="264">
        <v>127719</v>
      </c>
      <c r="H9" s="264">
        <v>67566.5</v>
      </c>
      <c r="I9" s="322"/>
      <c r="J9" s="326">
        <v>160000</v>
      </c>
      <c r="K9" s="326">
        <f>'December''22 State of Activities'!H10</f>
        <v>85772.58</v>
      </c>
      <c r="L9" s="326"/>
      <c r="M9" s="326">
        <v>160000</v>
      </c>
      <c r="N9" s="68"/>
      <c r="O9" s="378">
        <f>M9-J9</f>
        <v>0</v>
      </c>
      <c r="P9" s="413">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214</v>
      </c>
      <c r="D10" s="420"/>
      <c r="E10" s="420"/>
      <c r="F10" s="73"/>
      <c r="G10" s="263">
        <v>875436</v>
      </c>
      <c r="H10" s="263">
        <v>372424.1</v>
      </c>
      <c r="I10" s="326"/>
      <c r="J10" s="322">
        <v>5000</v>
      </c>
      <c r="K10" s="322">
        <f>10471.96+(5268.48+3381.01)*1.14</f>
        <v>20332.378599999996</v>
      </c>
      <c r="L10" s="326"/>
      <c r="M10" s="322">
        <v>10000</v>
      </c>
      <c r="N10" s="68"/>
      <c r="O10" s="508">
        <f>M10-J10</f>
        <v>5000</v>
      </c>
      <c r="P10" s="436">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102</v>
      </c>
      <c r="D11" s="420"/>
      <c r="E11" s="420"/>
      <c r="F11" s="73"/>
      <c r="G11" s="264"/>
      <c r="H11" s="264"/>
      <c r="I11" s="322"/>
      <c r="J11" s="322"/>
      <c r="K11" s="322"/>
      <c r="L11" s="322"/>
      <c r="M11" s="322"/>
      <c r="N11" s="68"/>
      <c r="O11" s="508"/>
      <c r="P11" s="424"/>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0" t="s">
        <v>215</v>
      </c>
      <c r="E12" s="420"/>
      <c r="F12" s="73"/>
      <c r="G12" s="264">
        <v>94235.25</v>
      </c>
      <c r="H12" s="264">
        <v>37190.379999999997</v>
      </c>
      <c r="I12" s="322"/>
      <c r="J12" s="322">
        <f>3708.33*12</f>
        <v>44499.96</v>
      </c>
      <c r="K12" s="322">
        <f>3541.67*12</f>
        <v>42500.04</v>
      </c>
      <c r="L12" s="322"/>
      <c r="M12" s="322">
        <v>44500</v>
      </c>
      <c r="N12" s="68"/>
      <c r="O12" s="508">
        <f t="shared" ref="O12:O19" si="0">M12-J12</f>
        <v>4.0000000000873115E-2</v>
      </c>
      <c r="P12" s="436">
        <f t="shared" ref="P12:P18" si="1">O12/M12</f>
        <v>8.9887640451400261E-7</v>
      </c>
      <c r="Q12" s="68"/>
      <c r="R12" s="468"/>
      <c r="S12" s="469"/>
      <c r="T12" s="468"/>
      <c r="U12" s="4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159</v>
      </c>
      <c r="E13" s="420"/>
      <c r="F13" s="73"/>
      <c r="G13" s="264"/>
      <c r="H13" s="264"/>
      <c r="I13" s="322"/>
      <c r="J13" s="322">
        <v>13000</v>
      </c>
      <c r="K13" s="322">
        <f>750*12</f>
        <v>9000</v>
      </c>
      <c r="L13" s="322"/>
      <c r="M13" s="322">
        <v>18000</v>
      </c>
      <c r="N13" s="68"/>
      <c r="O13" s="508">
        <f t="shared" si="0"/>
        <v>5000</v>
      </c>
      <c r="P13" s="436">
        <f t="shared" si="1"/>
        <v>0.27777777777777779</v>
      </c>
      <c r="Q13" s="68"/>
      <c r="R13" s="68"/>
      <c r="S13" s="387"/>
      <c r="T13" s="470"/>
      <c r="U13" s="361"/>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0" t="s">
        <v>103</v>
      </c>
      <c r="D14" s="420"/>
      <c r="E14" s="420"/>
      <c r="F14" s="73"/>
      <c r="G14" s="264">
        <v>0</v>
      </c>
      <c r="H14" s="264">
        <v>3517</v>
      </c>
      <c r="I14" s="322"/>
      <c r="J14" s="322">
        <v>15000</v>
      </c>
      <c r="K14" s="322">
        <f>'December''22 State of Activities'!H18</f>
        <v>17445.740000000002</v>
      </c>
      <c r="L14" s="322"/>
      <c r="M14" s="322">
        <v>20000</v>
      </c>
      <c r="N14" s="68"/>
      <c r="O14" s="508">
        <f t="shared" si="0"/>
        <v>5000</v>
      </c>
      <c r="P14" s="436">
        <f t="shared" si="1"/>
        <v>0.25</v>
      </c>
      <c r="Q14" s="68"/>
      <c r="R14" s="68"/>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379</v>
      </c>
      <c r="D15" s="420"/>
      <c r="E15" s="420"/>
      <c r="F15" s="73"/>
      <c r="G15" s="264">
        <v>31459</v>
      </c>
      <c r="H15" s="264">
        <v>13920.35</v>
      </c>
      <c r="I15" s="322"/>
      <c r="J15" s="322">
        <v>25000</v>
      </c>
      <c r="K15" s="322">
        <v>25000</v>
      </c>
      <c r="L15" s="322"/>
      <c r="M15" s="322">
        <v>25000</v>
      </c>
      <c r="N15" s="68"/>
      <c r="O15" s="508">
        <f t="shared" si="0"/>
        <v>0</v>
      </c>
      <c r="P15" s="436">
        <f t="shared" si="1"/>
        <v>0</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380</v>
      </c>
      <c r="D16" s="420"/>
      <c r="E16" s="420"/>
      <c r="F16" s="73"/>
      <c r="G16" s="264"/>
      <c r="H16" s="264"/>
      <c r="I16" s="322"/>
      <c r="J16" s="322">
        <v>20000</v>
      </c>
      <c r="K16" s="322"/>
      <c r="L16" s="322"/>
      <c r="M16" s="322">
        <v>15000</v>
      </c>
      <c r="N16" s="68"/>
      <c r="O16" s="508">
        <f t="shared" si="0"/>
        <v>-5000</v>
      </c>
      <c r="P16" s="436">
        <f t="shared" si="1"/>
        <v>-0.33333333333333331</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335</v>
      </c>
      <c r="D17" s="420"/>
      <c r="E17" s="420"/>
      <c r="F17" s="73"/>
      <c r="G17" s="264"/>
      <c r="H17" s="264"/>
      <c r="I17" s="322"/>
      <c r="J17" s="322">
        <v>2000</v>
      </c>
      <c r="K17" s="322"/>
      <c r="L17" s="322"/>
      <c r="M17" s="322">
        <v>1000</v>
      </c>
      <c r="N17" s="68"/>
      <c r="O17" s="508">
        <f t="shared" si="0"/>
        <v>-1000</v>
      </c>
      <c r="P17" s="436">
        <f t="shared" si="1"/>
        <v>-1</v>
      </c>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1039" t="s">
        <v>338</v>
      </c>
      <c r="D18" s="1039"/>
      <c r="E18" s="1039"/>
      <c r="F18" s="1039"/>
      <c r="G18" s="264"/>
      <c r="H18" s="264"/>
      <c r="I18" s="322"/>
      <c r="J18" s="322">
        <v>2000</v>
      </c>
      <c r="K18" s="322"/>
      <c r="L18" s="322"/>
      <c r="M18" s="322">
        <v>3000</v>
      </c>
      <c r="N18" s="68"/>
      <c r="O18" s="508">
        <f t="shared" si="0"/>
        <v>1000</v>
      </c>
      <c r="P18" s="436">
        <f t="shared" si="1"/>
        <v>0.33333333333333331</v>
      </c>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382</v>
      </c>
      <c r="D19" s="420"/>
      <c r="E19" s="420"/>
      <c r="F19" s="73"/>
      <c r="G19" s="264">
        <v>1125</v>
      </c>
      <c r="H19" s="264">
        <v>6050</v>
      </c>
      <c r="I19" s="322"/>
      <c r="J19" s="322">
        <v>2000</v>
      </c>
      <c r="K19" s="322">
        <f>'December''22 State of Activities'!H26</f>
        <v>3150</v>
      </c>
      <c r="L19" s="322"/>
      <c r="M19" s="322">
        <f>'December''22 State of Activities'!J26</f>
        <v>3150</v>
      </c>
      <c r="N19" s="68"/>
      <c r="O19" s="508">
        <f t="shared" si="0"/>
        <v>1150</v>
      </c>
      <c r="P19" s="436"/>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1039" t="s">
        <v>336</v>
      </c>
      <c r="D20" s="1039"/>
      <c r="E20" s="1039"/>
      <c r="F20" s="1039"/>
      <c r="G20" s="264"/>
      <c r="H20" s="264"/>
      <c r="I20" s="322"/>
      <c r="J20" s="322"/>
      <c r="K20" s="322">
        <v>659.25</v>
      </c>
      <c r="L20" s="322"/>
      <c r="M20" s="322"/>
      <c r="N20" s="68"/>
      <c r="O20" s="508">
        <f>J20-M20</f>
        <v>0</v>
      </c>
      <c r="P20" s="436"/>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0" t="s">
        <v>217</v>
      </c>
      <c r="D21" s="420"/>
      <c r="E21" s="420"/>
      <c r="F21" s="73"/>
      <c r="G21" s="265">
        <v>31250</v>
      </c>
      <c r="H21" s="265">
        <v>15624.98</v>
      </c>
      <c r="I21" s="322"/>
      <c r="J21" s="265">
        <v>9315</v>
      </c>
      <c r="K21" s="265">
        <f>'December''22 State of Activities'!H27*0.2</f>
        <v>10548</v>
      </c>
      <c r="L21" s="322"/>
      <c r="M21" s="265">
        <v>9315</v>
      </c>
      <c r="N21" s="68"/>
      <c r="O21" s="509">
        <f>J21-M21</f>
        <v>0</v>
      </c>
      <c r="P21" s="414">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0"/>
      <c r="D22" s="73" t="s">
        <v>105</v>
      </c>
      <c r="E22" s="420"/>
      <c r="F22" s="73"/>
      <c r="G22" s="234">
        <v>1161224.25</v>
      </c>
      <c r="H22" s="234">
        <v>516293.30999999994</v>
      </c>
      <c r="I22" s="232"/>
      <c r="J22" s="264">
        <f>SUM(J9:J21)</f>
        <v>297814.95999999996</v>
      </c>
      <c r="K22" s="264">
        <f>SUM(K9:K21)</f>
        <v>214407.98859999998</v>
      </c>
      <c r="L22" s="322"/>
      <c r="M22" s="264">
        <f>SUM(M9:M21)</f>
        <v>308965</v>
      </c>
      <c r="N22" s="68"/>
      <c r="O22" s="275">
        <f>SUM(O9:O21)</f>
        <v>11150.04</v>
      </c>
      <c r="P22" s="436">
        <f>O22/M22</f>
        <v>3.6088359522923309E-2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218</v>
      </c>
      <c r="D23" s="420"/>
      <c r="E23" s="420"/>
      <c r="F23" s="73"/>
      <c r="G23" s="241">
        <v>150176</v>
      </c>
      <c r="H23" s="241">
        <v>47700.27</v>
      </c>
      <c r="I23" s="232"/>
      <c r="J23" s="322">
        <v>19000</v>
      </c>
      <c r="K23" s="322">
        <v>19000</v>
      </c>
      <c r="L23" s="322"/>
      <c r="M23" s="322">
        <v>19000</v>
      </c>
      <c r="N23" s="68"/>
      <c r="O23" s="508">
        <f>J23-M23</f>
        <v>0</v>
      </c>
      <c r="P23" s="413">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0"/>
      <c r="E24" s="420"/>
      <c r="F24" s="73"/>
      <c r="G24" s="232"/>
      <c r="H24" s="232"/>
      <c r="I24" s="232"/>
      <c r="J24" s="265">
        <v>40000</v>
      </c>
      <c r="K24" s="265">
        <v>37641.19</v>
      </c>
      <c r="L24" s="322"/>
      <c r="M24" s="265">
        <v>38000</v>
      </c>
      <c r="N24" s="68"/>
      <c r="O24" s="377">
        <f>M24-J24</f>
        <v>-2000</v>
      </c>
      <c r="P24" s="463">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0"/>
      <c r="D25" s="73" t="s">
        <v>107</v>
      </c>
      <c r="E25" s="420"/>
      <c r="F25" s="73"/>
      <c r="G25" s="234">
        <v>1311400.25</v>
      </c>
      <c r="H25" s="234">
        <v>563993.57999999996</v>
      </c>
      <c r="I25" s="232"/>
      <c r="J25" s="264">
        <f>SUM(J22:J24)</f>
        <v>356814.95999999996</v>
      </c>
      <c r="K25" s="264">
        <f>SUM(K22:K24)</f>
        <v>271049.17859999998</v>
      </c>
      <c r="L25" s="322"/>
      <c r="M25" s="264">
        <f>SUM(M22:M24)</f>
        <v>365965</v>
      </c>
      <c r="N25" s="68"/>
      <c r="O25" s="275">
        <f>M25-J25</f>
        <v>9150.0400000000373</v>
      </c>
      <c r="P25" s="436">
        <f>O25/M25</f>
        <v>2.5002500239094005E-2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0"/>
      <c r="D26" s="73"/>
      <c r="E26" s="420"/>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8"/>
      <c r="L27" s="368"/>
      <c r="M27" s="3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220</v>
      </c>
      <c r="D28" s="79"/>
      <c r="E28" s="79"/>
      <c r="F28" s="79"/>
      <c r="G28" s="232">
        <v>733747.79999999993</v>
      </c>
      <c r="H28" s="275">
        <v>361976</v>
      </c>
      <c r="I28" s="275"/>
      <c r="J28" s="322"/>
      <c r="K28" s="399"/>
      <c r="L28" s="399"/>
      <c r="M28" s="399"/>
    </row>
    <row r="29" spans="1:61" s="68" customFormat="1" ht="20.25" x14ac:dyDescent="0.2">
      <c r="A29" s="67"/>
      <c r="B29" s="67"/>
      <c r="C29" s="79"/>
      <c r="D29" s="979" t="s">
        <v>221</v>
      </c>
      <c r="E29" s="979"/>
      <c r="F29" s="979"/>
      <c r="G29" s="232"/>
      <c r="H29" s="275"/>
      <c r="I29" s="275"/>
      <c r="J29" s="703">
        <f>110984.34+54648</f>
        <v>165632.34</v>
      </c>
      <c r="K29" s="703">
        <v>146508.01999999999</v>
      </c>
      <c r="L29" s="703"/>
      <c r="M29" s="703">
        <v>170000</v>
      </c>
      <c r="O29" s="508">
        <f t="shared" ref="O29:O47" si="2">M29-J29</f>
        <v>4367.6600000000035</v>
      </c>
      <c r="P29" s="436">
        <f>O29/M29</f>
        <v>2.5692117647058844E-2</v>
      </c>
    </row>
    <row r="30" spans="1:61" s="68" customFormat="1" ht="20.25" x14ac:dyDescent="0.2">
      <c r="A30" s="67"/>
      <c r="B30" s="67"/>
      <c r="C30" s="79"/>
      <c r="D30" s="979" t="s">
        <v>222</v>
      </c>
      <c r="E30" s="979"/>
      <c r="F30" s="979"/>
      <c r="G30" s="232"/>
      <c r="H30" s="275"/>
      <c r="I30" s="275"/>
      <c r="J30" s="703">
        <v>63684</v>
      </c>
      <c r="K30" s="703">
        <f>35778.69+23251.49+605.09+292.95</f>
        <v>59928.22</v>
      </c>
      <c r="L30" s="703"/>
      <c r="M30" s="703">
        <f>(22.5*(64*26+100))+(19.06*(50*26+100))</f>
        <v>66374</v>
      </c>
      <c r="O30" s="508">
        <f t="shared" si="2"/>
        <v>2690</v>
      </c>
      <c r="P30" s="436">
        <f>O30/M30</f>
        <v>4.0527917558079968E-2</v>
      </c>
      <c r="R30" s="262"/>
    </row>
    <row r="31" spans="1:61" s="68" customFormat="1" ht="20.25" x14ac:dyDescent="0.2">
      <c r="A31" s="67"/>
      <c r="B31" s="67"/>
      <c r="C31" s="79"/>
      <c r="D31" s="979" t="s">
        <v>113</v>
      </c>
      <c r="E31" s="979"/>
      <c r="F31" s="979"/>
      <c r="G31" s="232"/>
      <c r="H31" s="275"/>
      <c r="I31" s="275"/>
      <c r="J31" s="703">
        <f>(J29+J30)*0.185</f>
        <v>42423.522899999996</v>
      </c>
      <c r="K31" s="703">
        <f>(K29+K30)*0.192</f>
        <v>39635.75808</v>
      </c>
      <c r="L31" s="703"/>
      <c r="M31" s="703">
        <f>(M29+M30)*0.185</f>
        <v>43729.19</v>
      </c>
      <c r="O31" s="508">
        <f t="shared" si="2"/>
        <v>1305.667100000006</v>
      </c>
      <c r="P31" s="436">
        <f>O31/M31</f>
        <v>2.9858021609821858E-2</v>
      </c>
    </row>
    <row r="32" spans="1:61" s="68" customFormat="1" ht="20.25" x14ac:dyDescent="0.2">
      <c r="A32" s="67"/>
      <c r="B32" s="67"/>
      <c r="C32" s="79" t="s">
        <v>278</v>
      </c>
      <c r="D32" s="79"/>
      <c r="E32" s="79"/>
      <c r="F32" s="79"/>
      <c r="G32" s="232">
        <v>44745.18</v>
      </c>
      <c r="H32" s="232">
        <v>20974.21</v>
      </c>
      <c r="I32" s="232"/>
      <c r="J32" s="703"/>
      <c r="K32" s="704"/>
      <c r="L32" s="703"/>
      <c r="M32" s="703"/>
      <c r="O32" s="508">
        <f t="shared" si="2"/>
        <v>0</v>
      </c>
      <c r="P32" s="436"/>
    </row>
    <row r="33" spans="1:16" s="68" customFormat="1" ht="20.25" x14ac:dyDescent="0.2">
      <c r="A33" s="67"/>
      <c r="B33" s="67"/>
      <c r="C33" s="79"/>
      <c r="D33" s="979" t="s">
        <v>223</v>
      </c>
      <c r="E33" s="979"/>
      <c r="F33" s="979"/>
      <c r="G33" s="232"/>
      <c r="H33" s="232"/>
      <c r="I33" s="232"/>
      <c r="J33" s="703">
        <f>17368.36/8*12</f>
        <v>26052.54</v>
      </c>
      <c r="K33" s="703">
        <v>27183.82</v>
      </c>
      <c r="L33" s="703"/>
      <c r="M33" s="703">
        <v>27500</v>
      </c>
      <c r="O33" s="508">
        <f t="shared" si="2"/>
        <v>1447.4599999999991</v>
      </c>
      <c r="P33" s="436">
        <f t="shared" ref="P33:P40" si="3">O33/M33</f>
        <v>5.2634909090909059E-2</v>
      </c>
    </row>
    <row r="34" spans="1:16" s="68" customFormat="1" ht="20.25" x14ac:dyDescent="0.2">
      <c r="A34" s="67"/>
      <c r="B34" s="67"/>
      <c r="C34" s="79"/>
      <c r="D34" s="979" t="s">
        <v>224</v>
      </c>
      <c r="E34" s="979"/>
      <c r="F34" s="979"/>
      <c r="G34" s="232"/>
      <c r="H34" s="232"/>
      <c r="I34" s="232"/>
      <c r="J34" s="703">
        <f>12089.81/8*12+800-400</f>
        <v>18534.715</v>
      </c>
      <c r="K34" s="703">
        <v>15510.83</v>
      </c>
      <c r="L34" s="703"/>
      <c r="M34" s="703">
        <v>19374</v>
      </c>
      <c r="O34" s="508">
        <f t="shared" si="2"/>
        <v>839.28499999999985</v>
      </c>
      <c r="P34" s="436">
        <f t="shared" si="3"/>
        <v>4.3320171363683282E-2</v>
      </c>
    </row>
    <row r="35" spans="1:16" s="68" customFormat="1" ht="20.25" x14ac:dyDescent="0.2">
      <c r="A35" s="67"/>
      <c r="B35" s="67"/>
      <c r="C35" s="79"/>
      <c r="D35" s="979" t="s">
        <v>304</v>
      </c>
      <c r="E35" s="979"/>
      <c r="F35" s="979"/>
      <c r="G35" s="232"/>
      <c r="H35" s="232"/>
      <c r="I35" s="232"/>
      <c r="J35" s="703">
        <f>10143.6/8*12</f>
        <v>15215.400000000001</v>
      </c>
      <c r="K35" s="703">
        <v>12450.36</v>
      </c>
      <c r="L35" s="703"/>
      <c r="M35" s="703">
        <v>15000</v>
      </c>
      <c r="O35" s="508">
        <f t="shared" si="2"/>
        <v>-215.40000000000146</v>
      </c>
      <c r="P35" s="436">
        <f t="shared" si="3"/>
        <v>-1.4360000000000097E-2</v>
      </c>
    </row>
    <row r="36" spans="1:16" s="68" customFormat="1" ht="20.25" x14ac:dyDescent="0.2">
      <c r="A36" s="67"/>
      <c r="B36" s="67"/>
      <c r="C36" s="79"/>
      <c r="D36" s="979" t="s">
        <v>225</v>
      </c>
      <c r="E36" s="979"/>
      <c r="F36" s="979"/>
      <c r="G36" s="232"/>
      <c r="H36" s="232"/>
      <c r="I36" s="232"/>
      <c r="J36" s="703">
        <v>513.5</v>
      </c>
      <c r="K36" s="703">
        <v>377</v>
      </c>
      <c r="L36" s="703"/>
      <c r="M36" s="703">
        <v>250</v>
      </c>
      <c r="O36" s="508">
        <f t="shared" si="2"/>
        <v>-263.5</v>
      </c>
      <c r="P36" s="436">
        <f t="shared" si="3"/>
        <v>-1.054</v>
      </c>
    </row>
    <row r="37" spans="1:16" s="68" customFormat="1" ht="20.25" x14ac:dyDescent="0.2">
      <c r="A37" s="67"/>
      <c r="B37" s="67"/>
      <c r="C37" s="79" t="s">
        <v>226</v>
      </c>
      <c r="D37" s="79"/>
      <c r="E37" s="79"/>
      <c r="F37" s="79"/>
      <c r="G37" s="232">
        <v>27200</v>
      </c>
      <c r="H37" s="232">
        <v>11327</v>
      </c>
      <c r="I37" s="232"/>
      <c r="J37" s="703">
        <f>22772+1411</f>
        <v>24183</v>
      </c>
      <c r="K37" s="703">
        <v>25080</v>
      </c>
      <c r="L37" s="703"/>
      <c r="M37" s="703">
        <f>20430+6774</f>
        <v>27204</v>
      </c>
      <c r="O37" s="508">
        <f t="shared" si="2"/>
        <v>3021</v>
      </c>
      <c r="P37" s="436">
        <f t="shared" si="3"/>
        <v>0.11104984561093957</v>
      </c>
    </row>
    <row r="38" spans="1:16" s="68" customFormat="1" ht="20.25" x14ac:dyDescent="0.2">
      <c r="A38" s="67"/>
      <c r="B38" s="67"/>
      <c r="C38" s="79" t="s">
        <v>104</v>
      </c>
      <c r="D38" s="79"/>
      <c r="E38" s="79"/>
      <c r="F38" s="79"/>
      <c r="G38" s="232">
        <v>150176</v>
      </c>
      <c r="H38" s="275">
        <v>47700.27</v>
      </c>
      <c r="I38" s="275"/>
      <c r="J38" s="703">
        <f>J21</f>
        <v>9315</v>
      </c>
      <c r="K38" s="703">
        <f>K21</f>
        <v>10548</v>
      </c>
      <c r="L38" s="703"/>
      <c r="M38" s="703">
        <f>M21</f>
        <v>9315</v>
      </c>
      <c r="O38" s="508">
        <f t="shared" si="2"/>
        <v>0</v>
      </c>
      <c r="P38" s="436">
        <f t="shared" si="3"/>
        <v>0</v>
      </c>
    </row>
    <row r="39" spans="1:16" s="68" customFormat="1" ht="20.25" x14ac:dyDescent="0.2">
      <c r="A39" s="67"/>
      <c r="B39" s="67"/>
      <c r="C39" s="79" t="s">
        <v>313</v>
      </c>
      <c r="D39" s="79"/>
      <c r="E39" s="79"/>
      <c r="F39" s="79"/>
      <c r="G39" s="232"/>
      <c r="H39" s="275"/>
      <c r="I39" s="275"/>
      <c r="J39" s="703">
        <f>2845+(332.08+24.92)*4</f>
        <v>4273</v>
      </c>
      <c r="K39" s="703">
        <v>4075</v>
      </c>
      <c r="L39" s="703"/>
      <c r="M39" s="703">
        <f>360*12</f>
        <v>4320</v>
      </c>
      <c r="O39" s="508">
        <f t="shared" si="2"/>
        <v>47</v>
      </c>
      <c r="P39" s="436">
        <f t="shared" si="3"/>
        <v>1.087962962962963E-2</v>
      </c>
    </row>
    <row r="40" spans="1:16" s="68" customFormat="1" ht="20.25" x14ac:dyDescent="0.2">
      <c r="A40" s="67"/>
      <c r="B40" s="67"/>
      <c r="C40" s="79" t="s">
        <v>227</v>
      </c>
      <c r="D40" s="79"/>
      <c r="E40" s="79"/>
      <c r="F40" s="79"/>
      <c r="G40" s="232"/>
      <c r="H40" s="275"/>
      <c r="I40" s="275"/>
      <c r="J40" s="703">
        <f>393+75</f>
        <v>468</v>
      </c>
      <c r="K40" s="703">
        <v>1496.32</v>
      </c>
      <c r="L40" s="703"/>
      <c r="M40" s="703">
        <v>500</v>
      </c>
      <c r="O40" s="508">
        <f t="shared" si="2"/>
        <v>32</v>
      </c>
      <c r="P40" s="436">
        <f t="shared" si="3"/>
        <v>6.4000000000000001E-2</v>
      </c>
    </row>
    <row r="41" spans="1:16" s="68" customFormat="1" ht="20.25" x14ac:dyDescent="0.2">
      <c r="A41" s="67"/>
      <c r="B41" s="67"/>
      <c r="C41" s="79" t="s">
        <v>383</v>
      </c>
      <c r="D41" s="79"/>
      <c r="E41" s="79"/>
      <c r="F41" s="79"/>
      <c r="G41" s="232">
        <v>10993.12</v>
      </c>
      <c r="H41" s="275">
        <v>4904.57</v>
      </c>
      <c r="I41" s="275"/>
      <c r="J41" s="703">
        <f>2414+307*4</f>
        <v>3642</v>
      </c>
      <c r="K41" s="703">
        <v>3429.9</v>
      </c>
      <c r="L41" s="703"/>
      <c r="M41" s="703">
        <f>307*12</f>
        <v>3684</v>
      </c>
      <c r="O41" s="508">
        <f t="shared" si="2"/>
        <v>42</v>
      </c>
      <c r="P41" s="436">
        <f>O41/M41</f>
        <v>1.1400651465798045E-2</v>
      </c>
    </row>
    <row r="42" spans="1:16" s="68" customFormat="1" ht="20.25" x14ac:dyDescent="0.2">
      <c r="A42" s="67"/>
      <c r="B42" s="67"/>
      <c r="C42" s="79" t="s">
        <v>228</v>
      </c>
      <c r="D42" s="79"/>
      <c r="E42" s="79"/>
      <c r="F42" s="79"/>
      <c r="G42" s="232">
        <v>10250.949999999999</v>
      </c>
      <c r="H42" s="275">
        <v>3982.99</v>
      </c>
      <c r="I42" s="275"/>
      <c r="J42" s="703">
        <v>600</v>
      </c>
      <c r="K42" s="703">
        <f>56.6+402.81</f>
        <v>459.41</v>
      </c>
      <c r="L42" s="703"/>
      <c r="M42" s="703">
        <v>600</v>
      </c>
      <c r="O42" s="508">
        <f t="shared" si="2"/>
        <v>0</v>
      </c>
      <c r="P42" s="436">
        <f>O42/M42</f>
        <v>0</v>
      </c>
    </row>
    <row r="43" spans="1:16" s="68" customFormat="1" ht="20.25" x14ac:dyDescent="0.2">
      <c r="A43" s="67"/>
      <c r="B43" s="67"/>
      <c r="C43" s="79" t="s">
        <v>122</v>
      </c>
      <c r="D43" s="79"/>
      <c r="E43" s="79"/>
      <c r="F43" s="79"/>
      <c r="G43" s="232">
        <v>4412.53</v>
      </c>
      <c r="H43" s="276">
        <v>5667</v>
      </c>
      <c r="I43" s="276"/>
      <c r="J43" s="703">
        <f>122.96+1237.38+391.65</f>
        <v>1751.9900000000002</v>
      </c>
      <c r="K43" s="703">
        <v>1040.8800000000001</v>
      </c>
      <c r="L43" s="705"/>
      <c r="M43" s="705">
        <f>394*4</f>
        <v>1576</v>
      </c>
      <c r="O43" s="508">
        <f t="shared" si="2"/>
        <v>-175.99000000000024</v>
      </c>
      <c r="P43" s="436">
        <f>O43/M43</f>
        <v>-0.11166878172588847</v>
      </c>
    </row>
    <row r="44" spans="1:16" s="68" customFormat="1" ht="20.25" x14ac:dyDescent="0.2">
      <c r="A44" s="67"/>
      <c r="B44" s="67"/>
      <c r="C44" s="79" t="s">
        <v>120</v>
      </c>
      <c r="D44" s="79"/>
      <c r="E44" s="79"/>
      <c r="F44" s="79"/>
      <c r="G44" s="232">
        <v>7901</v>
      </c>
      <c r="H44" s="275">
        <v>4149.6000000000004</v>
      </c>
      <c r="I44" s="275"/>
      <c r="J44" s="703">
        <f>367.55/8*12</f>
        <v>551.32500000000005</v>
      </c>
      <c r="K44" s="703">
        <v>436.35</v>
      </c>
      <c r="L44" s="703"/>
      <c r="M44" s="703">
        <v>600</v>
      </c>
      <c r="O44" s="508">
        <f t="shared" si="2"/>
        <v>48.674999999999955</v>
      </c>
      <c r="P44" s="436">
        <f>O44/M44</f>
        <v>8.1124999999999919E-2</v>
      </c>
    </row>
    <row r="45" spans="1:16" s="68" customFormat="1" ht="20.25" hidden="1" x14ac:dyDescent="0.2">
      <c r="A45" s="67"/>
      <c r="B45" s="67"/>
      <c r="C45" s="79" t="s">
        <v>229</v>
      </c>
      <c r="D45" s="79"/>
      <c r="E45" s="79"/>
      <c r="F45" s="79"/>
      <c r="G45" s="232"/>
      <c r="H45" s="275"/>
      <c r="I45" s="275"/>
      <c r="J45" s="703"/>
      <c r="K45" s="703"/>
      <c r="L45" s="703"/>
      <c r="M45" s="703">
        <v>0</v>
      </c>
      <c r="O45" s="508">
        <f t="shared" si="2"/>
        <v>0</v>
      </c>
      <c r="P45" s="436"/>
    </row>
    <row r="46" spans="1:16" s="76" customFormat="1" ht="20.25" x14ac:dyDescent="0.2">
      <c r="A46" s="79"/>
      <c r="B46" s="79"/>
      <c r="C46" s="79" t="s">
        <v>116</v>
      </c>
      <c r="D46" s="79"/>
      <c r="E46" s="79"/>
      <c r="F46" s="79"/>
      <c r="G46" s="232">
        <v>5428.37</v>
      </c>
      <c r="H46" s="275">
        <v>2024.52</v>
      </c>
      <c r="I46" s="275"/>
      <c r="J46" s="703">
        <f>208.6/8*12</f>
        <v>312.89999999999998</v>
      </c>
      <c r="K46" s="703">
        <v>205.44</v>
      </c>
      <c r="L46" s="703"/>
      <c r="M46" s="703">
        <v>320</v>
      </c>
      <c r="O46" s="508">
        <f t="shared" si="2"/>
        <v>7.1000000000000227</v>
      </c>
      <c r="P46" s="436">
        <f>O46/M46</f>
        <v>2.2187500000000072E-2</v>
      </c>
    </row>
    <row r="47" spans="1:16" s="76" customFormat="1" ht="20.25" x14ac:dyDescent="0.2">
      <c r="A47" s="79"/>
      <c r="B47" s="79"/>
      <c r="C47" s="79" t="s">
        <v>230</v>
      </c>
      <c r="D47" s="79"/>
      <c r="E47" s="79"/>
      <c r="F47" s="79"/>
      <c r="G47" s="232">
        <v>83462.91</v>
      </c>
      <c r="H47" s="232">
        <v>18995.71</v>
      </c>
      <c r="I47" s="232"/>
      <c r="J47" s="706">
        <v>200</v>
      </c>
      <c r="K47" s="706">
        <f>201.52+30+216.21+94.56</f>
        <v>542.29</v>
      </c>
      <c r="L47" s="703"/>
      <c r="M47" s="703">
        <v>225</v>
      </c>
      <c r="O47" s="508">
        <f t="shared" si="2"/>
        <v>25</v>
      </c>
      <c r="P47" s="510">
        <f>O47/M47</f>
        <v>0.1111111111111111</v>
      </c>
    </row>
    <row r="48" spans="1:16" s="68" customFormat="1" ht="21" thickBot="1" x14ac:dyDescent="0.25">
      <c r="A48" s="67"/>
      <c r="B48" s="67"/>
      <c r="C48" s="67"/>
      <c r="D48" s="73" t="s">
        <v>128</v>
      </c>
      <c r="E48" s="67"/>
      <c r="F48" s="67"/>
      <c r="G48" s="241">
        <v>1078317.8599999999</v>
      </c>
      <c r="H48" s="241">
        <v>481701.87000000005</v>
      </c>
      <c r="I48" s="232"/>
      <c r="J48" s="465">
        <f>SUM(J29:J47)</f>
        <v>377353.23290000006</v>
      </c>
      <c r="K48" s="465">
        <f>SUM(K29:K47)</f>
        <v>348907.59807999997</v>
      </c>
      <c r="L48" s="322"/>
      <c r="M48" s="465">
        <f>SUM(M29:M47)</f>
        <v>390571.19</v>
      </c>
      <c r="O48" s="465">
        <f>J48-M48</f>
        <v>-13217.957099999941</v>
      </c>
      <c r="P48" s="463">
        <f>O48/M48</f>
        <v>-3.384263212040791E-2</v>
      </c>
    </row>
    <row r="49" spans="1:19" s="68" customFormat="1" ht="21" thickBot="1" x14ac:dyDescent="0.25">
      <c r="A49" s="67"/>
      <c r="B49" s="67"/>
      <c r="C49" s="67"/>
      <c r="D49" s="67" t="s">
        <v>129</v>
      </c>
      <c r="E49" s="67"/>
      <c r="F49" s="67"/>
      <c r="G49" s="241">
        <v>233082.39000000013</v>
      </c>
      <c r="H49" s="241">
        <v>82291.709999999905</v>
      </c>
      <c r="I49" s="232"/>
      <c r="J49" s="466">
        <f>J25-J48</f>
        <v>-20538.272900000098</v>
      </c>
      <c r="K49" s="466">
        <f>K25-K48</f>
        <v>-77858.419479999982</v>
      </c>
      <c r="L49" s="322"/>
      <c r="M49" s="466">
        <f>M25-M48</f>
        <v>-24606.190000000002</v>
      </c>
      <c r="O49" s="377">
        <f>M49-J49</f>
        <v>-4067.9170999999042</v>
      </c>
      <c r="P49" s="463">
        <f>O49/M49</f>
        <v>0.16532088470421077</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265</v>
      </c>
      <c r="E51" s="79"/>
      <c r="F51" s="79"/>
      <c r="G51" s="270"/>
      <c r="H51" s="232"/>
      <c r="I51" s="232"/>
      <c r="J51" s="322">
        <f>-23415.22-24000</f>
        <v>-47415.22</v>
      </c>
      <c r="K51" s="322">
        <v>-44886</v>
      </c>
      <c r="L51" s="322"/>
      <c r="M51" s="322"/>
      <c r="O51" s="275">
        <f>M51-J51</f>
        <v>47415.22</v>
      </c>
      <c r="P51" s="413"/>
      <c r="S51" s="702"/>
    </row>
    <row r="52" spans="1:19" s="68" customFormat="1" ht="20.25" x14ac:dyDescent="0.2">
      <c r="A52" s="67"/>
      <c r="B52" s="67"/>
      <c r="C52" s="79" t="s">
        <v>231</v>
      </c>
      <c r="E52" s="67"/>
      <c r="G52" s="232"/>
      <c r="H52" s="232"/>
      <c r="I52" s="232"/>
      <c r="J52" s="322">
        <f>J37</f>
        <v>24183</v>
      </c>
      <c r="K52" s="322">
        <f>K37</f>
        <v>25080</v>
      </c>
      <c r="L52" s="322"/>
      <c r="M52" s="322">
        <f>M37</f>
        <v>27204</v>
      </c>
      <c r="O52" s="275">
        <f>M52-J52</f>
        <v>3021</v>
      </c>
      <c r="P52" s="413">
        <v>3.5414486921529216E-2</v>
      </c>
    </row>
    <row r="53" spans="1:19" s="68" customFormat="1" ht="24" thickBot="1" x14ac:dyDescent="0.25">
      <c r="A53" s="67"/>
      <c r="B53" s="396"/>
      <c r="C53" s="67"/>
      <c r="D53" s="982" t="s">
        <v>232</v>
      </c>
      <c r="E53" s="982"/>
      <c r="F53" s="982"/>
      <c r="G53" s="232"/>
      <c r="H53" s="232"/>
      <c r="I53" s="232"/>
      <c r="J53" s="467">
        <f>J49+J51+J52</f>
        <v>-43770.492900000099</v>
      </c>
      <c r="K53" s="467">
        <f>K49+K51+K52</f>
        <v>-97664.419479999982</v>
      </c>
      <c r="L53" s="326"/>
      <c r="M53" s="467">
        <f>M49+M51+M52</f>
        <v>2597.8099999999977</v>
      </c>
      <c r="N53" s="387"/>
      <c r="O53" s="464">
        <f>M53-J53</f>
        <v>46368.302900000097</v>
      </c>
      <c r="P53" s="501">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263</v>
      </c>
      <c r="B2" s="59"/>
      <c r="C2" s="60"/>
      <c r="D2" s="60"/>
      <c r="E2" s="60"/>
      <c r="F2" s="59"/>
      <c r="G2" s="230"/>
    </row>
    <row r="3" spans="1:9" ht="26.25" x14ac:dyDescent="0.4">
      <c r="A3" s="58" t="s">
        <v>317</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3"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0" t="s">
        <v>101</v>
      </c>
      <c r="D8" s="420"/>
      <c r="E8" s="420"/>
      <c r="F8" s="73"/>
      <c r="G8" s="263">
        <v>791718</v>
      </c>
    </row>
    <row r="9" spans="1:9" ht="20.25" x14ac:dyDescent="0.2">
      <c r="A9" s="73"/>
      <c r="B9" s="73"/>
      <c r="C9" s="420" t="s">
        <v>318</v>
      </c>
      <c r="D9" s="420"/>
      <c r="E9" s="420"/>
      <c r="F9" s="73"/>
      <c r="G9" s="264">
        <v>25000</v>
      </c>
    </row>
    <row r="10" spans="1:9" ht="20.25" x14ac:dyDescent="0.2">
      <c r="A10" s="73"/>
      <c r="B10" s="392"/>
      <c r="C10" s="420" t="s">
        <v>150</v>
      </c>
      <c r="D10" s="420"/>
      <c r="E10" s="420"/>
      <c r="F10" s="73"/>
      <c r="G10" s="264">
        <v>147000</v>
      </c>
    </row>
    <row r="11" spans="1:9" ht="20.25" x14ac:dyDescent="0.2">
      <c r="A11" s="73"/>
      <c r="B11" s="392"/>
      <c r="C11" s="420" t="s">
        <v>179</v>
      </c>
      <c r="D11" s="420"/>
      <c r="E11" s="420"/>
      <c r="F11" s="73"/>
      <c r="G11" s="264">
        <v>43322</v>
      </c>
      <c r="I11" s="243"/>
    </row>
    <row r="12" spans="1:9" ht="20.25" x14ac:dyDescent="0.2">
      <c r="A12" s="73"/>
      <c r="B12" s="392"/>
      <c r="C12" s="420" t="s">
        <v>102</v>
      </c>
      <c r="D12" s="420"/>
      <c r="E12" s="420"/>
      <c r="F12" s="73"/>
      <c r="G12" s="264"/>
    </row>
    <row r="13" spans="1:9" ht="20.25" x14ac:dyDescent="0.2">
      <c r="A13" s="73"/>
      <c r="B13" s="392"/>
      <c r="C13" s="77"/>
      <c r="D13" s="420" t="s">
        <v>139</v>
      </c>
      <c r="E13" s="420"/>
      <c r="F13" s="73"/>
      <c r="G13" s="264">
        <f>43500+158022</f>
        <v>201522</v>
      </c>
    </row>
    <row r="14" spans="1:9" ht="20.25" x14ac:dyDescent="0.2">
      <c r="A14" s="73"/>
      <c r="B14" s="392"/>
      <c r="C14" s="77"/>
      <c r="D14" s="420" t="s">
        <v>159</v>
      </c>
      <c r="E14" s="420"/>
      <c r="F14" s="73"/>
      <c r="G14" s="264">
        <v>13000</v>
      </c>
    </row>
    <row r="15" spans="1:9" ht="20.25" x14ac:dyDescent="0.2">
      <c r="A15" s="73"/>
      <c r="B15" s="392"/>
      <c r="C15" s="420" t="s">
        <v>103</v>
      </c>
      <c r="D15" s="420"/>
      <c r="E15" s="420"/>
      <c r="F15" s="73"/>
      <c r="G15" s="264">
        <v>12500</v>
      </c>
    </row>
    <row r="16" spans="1:9" ht="20.25" x14ac:dyDescent="0.2">
      <c r="A16" s="73"/>
      <c r="B16" s="392"/>
      <c r="C16" s="420" t="s">
        <v>110</v>
      </c>
      <c r="D16" s="420"/>
      <c r="E16" s="420"/>
      <c r="F16" s="73"/>
      <c r="G16" s="264">
        <v>1200</v>
      </c>
    </row>
    <row r="17" spans="1:9" ht="20.25" x14ac:dyDescent="0.2">
      <c r="A17" s="73"/>
      <c r="B17" s="392"/>
      <c r="C17" s="420" t="s">
        <v>237</v>
      </c>
      <c r="D17" s="420"/>
      <c r="E17" s="420"/>
      <c r="F17" s="73"/>
      <c r="G17" s="264">
        <v>4200</v>
      </c>
    </row>
    <row r="18" spans="1:9" ht="20.25" x14ac:dyDescent="0.2">
      <c r="A18" s="73"/>
      <c r="B18" s="392"/>
      <c r="C18" s="420" t="s">
        <v>320</v>
      </c>
      <c r="D18" s="420"/>
      <c r="E18" s="420"/>
      <c r="F18" s="73"/>
      <c r="G18" s="264">
        <v>1500</v>
      </c>
    </row>
    <row r="19" spans="1:9" ht="20.25" x14ac:dyDescent="0.2">
      <c r="A19" s="73"/>
      <c r="B19" s="392"/>
      <c r="C19" s="420" t="s">
        <v>238</v>
      </c>
      <c r="D19" s="420"/>
      <c r="E19" s="420"/>
      <c r="F19" s="73"/>
      <c r="G19" s="264"/>
    </row>
    <row r="20" spans="1:9" ht="20.25" x14ac:dyDescent="0.2">
      <c r="A20" s="73"/>
      <c r="B20" s="392"/>
      <c r="C20" s="420"/>
      <c r="D20" s="420" t="s">
        <v>11</v>
      </c>
      <c r="E20" s="420"/>
      <c r="F20" s="73"/>
      <c r="G20" s="264">
        <f>73338-45000</f>
        <v>28338</v>
      </c>
    </row>
    <row r="21" spans="1:9" ht="20.25" x14ac:dyDescent="0.2">
      <c r="A21" s="73"/>
      <c r="B21" s="392"/>
      <c r="C21" s="420"/>
      <c r="D21" s="420" t="s">
        <v>17</v>
      </c>
      <c r="E21" s="420"/>
      <c r="F21" s="73"/>
      <c r="G21" s="264">
        <v>45000</v>
      </c>
    </row>
    <row r="22" spans="1:9" ht="20.25" x14ac:dyDescent="0.2">
      <c r="A22" s="73"/>
      <c r="B22" s="392"/>
      <c r="C22" s="420" t="s">
        <v>322</v>
      </c>
      <c r="D22" s="420"/>
      <c r="E22" s="420"/>
      <c r="F22" s="73"/>
      <c r="G22" s="264">
        <v>2500</v>
      </c>
    </row>
    <row r="23" spans="1:9" ht="20.25" x14ac:dyDescent="0.2">
      <c r="A23" s="73"/>
      <c r="B23" s="392"/>
      <c r="C23" s="420" t="s">
        <v>109</v>
      </c>
      <c r="D23" s="420"/>
      <c r="E23" s="420"/>
      <c r="F23" s="73"/>
      <c r="G23" s="322">
        <v>46575</v>
      </c>
    </row>
    <row r="24" spans="1:9" ht="20.25" x14ac:dyDescent="0.2">
      <c r="A24" s="73"/>
      <c r="B24" s="392"/>
      <c r="C24" s="420" t="s">
        <v>323</v>
      </c>
      <c r="D24" s="420"/>
      <c r="E24" s="420"/>
      <c r="F24" s="73"/>
      <c r="G24" s="322">
        <v>1531</v>
      </c>
    </row>
    <row r="25" spans="1:9" ht="20.25" x14ac:dyDescent="0.2">
      <c r="A25" s="73"/>
      <c r="B25" s="392"/>
      <c r="C25" s="420" t="s">
        <v>102</v>
      </c>
      <c r="D25" s="420"/>
      <c r="E25" s="420"/>
      <c r="F25" s="73"/>
      <c r="G25" s="322">
        <v>19000</v>
      </c>
    </row>
    <row r="26" spans="1:9" ht="20.25" x14ac:dyDescent="0.2">
      <c r="A26" s="73"/>
      <c r="B26" s="392"/>
      <c r="C26" s="420" t="s">
        <v>319</v>
      </c>
      <c r="D26" s="420"/>
      <c r="E26" s="420"/>
      <c r="F26" s="73"/>
      <c r="G26" s="322">
        <v>51000</v>
      </c>
    </row>
    <row r="27" spans="1:9" ht="20.25" x14ac:dyDescent="0.2">
      <c r="A27" s="73"/>
      <c r="B27" s="392"/>
      <c r="C27" s="420" t="s">
        <v>321</v>
      </c>
      <c r="D27" s="420"/>
      <c r="E27" s="420"/>
      <c r="F27" s="73"/>
      <c r="G27" s="322">
        <v>20655</v>
      </c>
    </row>
    <row r="28" spans="1:9" ht="20.25" x14ac:dyDescent="0.2">
      <c r="A28" s="73"/>
      <c r="B28" s="392"/>
      <c r="C28" s="420"/>
      <c r="D28" s="73" t="s">
        <v>105</v>
      </c>
      <c r="E28" s="420"/>
      <c r="F28" s="73"/>
      <c r="G28" s="242">
        <f>SUM(G8:G27)</f>
        <v>1455561</v>
      </c>
      <c r="I28" s="243"/>
    </row>
    <row r="29" spans="1:9" ht="20.25" x14ac:dyDescent="0.2">
      <c r="A29" s="73"/>
      <c r="B29" s="392"/>
      <c r="C29" s="420"/>
      <c r="D29" s="73"/>
      <c r="E29" s="420"/>
      <c r="F29" s="73"/>
      <c r="G29" s="234"/>
    </row>
    <row r="30" spans="1:9" ht="21" thickBot="1" x14ac:dyDescent="0.25">
      <c r="A30" s="73"/>
      <c r="B30" s="393" t="s">
        <v>111</v>
      </c>
      <c r="C30" s="87"/>
      <c r="D30" s="87"/>
      <c r="E30" s="87"/>
      <c r="F30" s="87"/>
      <c r="G30" s="241"/>
    </row>
    <row r="31" spans="1:9" ht="20.25" x14ac:dyDescent="0.2">
      <c r="A31" s="67"/>
      <c r="B31" s="394"/>
      <c r="C31" s="79" t="s">
        <v>112</v>
      </c>
      <c r="D31" s="79"/>
      <c r="E31" s="79"/>
      <c r="F31" s="79"/>
      <c r="G31" s="232">
        <v>889720</v>
      </c>
    </row>
    <row r="32" spans="1:9" ht="20.25" x14ac:dyDescent="0.2">
      <c r="A32" s="67"/>
      <c r="B32" s="394"/>
      <c r="C32" s="79" t="s">
        <v>113</v>
      </c>
      <c r="D32" s="79"/>
      <c r="E32" s="79"/>
      <c r="F32" s="79"/>
      <c r="G32" s="232">
        <v>192602</v>
      </c>
    </row>
    <row r="33" spans="1:7" ht="20.25" x14ac:dyDescent="0.2">
      <c r="A33" s="67"/>
      <c r="B33" s="394"/>
      <c r="C33" s="79" t="s">
        <v>114</v>
      </c>
      <c r="D33" s="79"/>
      <c r="E33" s="79"/>
      <c r="F33" s="79"/>
      <c r="G33" s="232">
        <v>3600</v>
      </c>
    </row>
    <row r="34" spans="1:7" ht="20.25" x14ac:dyDescent="0.2">
      <c r="A34" s="67"/>
      <c r="B34" s="394"/>
      <c r="C34" s="79" t="s">
        <v>104</v>
      </c>
      <c r="D34" s="79"/>
      <c r="E34" s="79"/>
      <c r="F34" s="79"/>
      <c r="G34" s="232">
        <f>G23</f>
        <v>46575</v>
      </c>
    </row>
    <row r="35" spans="1:7" ht="20.25" x14ac:dyDescent="0.2">
      <c r="A35" s="67"/>
      <c r="B35" s="394"/>
      <c r="C35" s="79" t="s">
        <v>115</v>
      </c>
      <c r="D35" s="79"/>
      <c r="E35" s="79"/>
      <c r="F35" s="79"/>
      <c r="G35" s="232">
        <v>17595</v>
      </c>
    </row>
    <row r="36" spans="1:7" ht="20.25" x14ac:dyDescent="0.2">
      <c r="A36" s="67"/>
      <c r="B36" s="394"/>
      <c r="C36" s="79" t="s">
        <v>116</v>
      </c>
      <c r="D36" s="79"/>
      <c r="E36" s="79"/>
      <c r="F36" s="79"/>
      <c r="G36" s="232">
        <v>2821</v>
      </c>
    </row>
    <row r="37" spans="1:7" ht="20.25" x14ac:dyDescent="0.2">
      <c r="A37" s="67"/>
      <c r="B37" s="394"/>
      <c r="C37" s="79" t="s">
        <v>117</v>
      </c>
      <c r="D37" s="79"/>
      <c r="E37" s="79"/>
      <c r="F37" s="79"/>
      <c r="G37" s="232">
        <v>5032</v>
      </c>
    </row>
    <row r="38" spans="1:7" ht="20.25" x14ac:dyDescent="0.2">
      <c r="A38" s="67"/>
      <c r="B38" s="394"/>
      <c r="C38" s="79" t="s">
        <v>118</v>
      </c>
      <c r="D38" s="79"/>
      <c r="E38" s="79"/>
      <c r="F38" s="79"/>
      <c r="G38" s="232">
        <v>12216</v>
      </c>
    </row>
    <row r="39" spans="1:7" ht="20.25" x14ac:dyDescent="0.2">
      <c r="A39" s="67"/>
      <c r="B39" s="394"/>
      <c r="C39" s="79" t="s">
        <v>119</v>
      </c>
      <c r="D39" s="79"/>
      <c r="E39" s="79"/>
      <c r="F39" s="79"/>
      <c r="G39" s="232">
        <v>39500</v>
      </c>
    </row>
    <row r="40" spans="1:7" ht="20.25" x14ac:dyDescent="0.2">
      <c r="A40" s="67"/>
      <c r="B40" s="394"/>
      <c r="C40" s="79" t="s">
        <v>120</v>
      </c>
      <c r="D40" s="79"/>
      <c r="E40" s="79"/>
      <c r="F40" s="79"/>
      <c r="G40" s="232">
        <v>4840</v>
      </c>
    </row>
    <row r="41" spans="1:7" ht="20.25" x14ac:dyDescent="0.2">
      <c r="A41" s="67"/>
      <c r="B41" s="394"/>
      <c r="C41" s="79" t="s">
        <v>121</v>
      </c>
      <c r="D41" s="79"/>
      <c r="E41" s="79"/>
      <c r="F41" s="79"/>
      <c r="G41" s="232">
        <v>1735</v>
      </c>
    </row>
    <row r="42" spans="1:7" ht="20.25" x14ac:dyDescent="0.2">
      <c r="A42" s="67"/>
      <c r="B42" s="394"/>
      <c r="C42" s="79" t="s">
        <v>166</v>
      </c>
      <c r="D42" s="79"/>
      <c r="E42" s="79"/>
      <c r="F42" s="79"/>
      <c r="G42" s="232">
        <v>12125</v>
      </c>
    </row>
    <row r="43" spans="1:7" ht="20.25" x14ac:dyDescent="0.2">
      <c r="A43" s="79"/>
      <c r="B43" s="390"/>
      <c r="C43" s="79" t="s">
        <v>122</v>
      </c>
      <c r="D43" s="79"/>
      <c r="E43" s="79"/>
      <c r="F43" s="79"/>
      <c r="G43" s="322">
        <v>12252</v>
      </c>
    </row>
    <row r="44" spans="1:7" ht="20.25" x14ac:dyDescent="0.2">
      <c r="A44" s="79"/>
      <c r="B44" s="390"/>
      <c r="C44" s="79" t="s">
        <v>123</v>
      </c>
      <c r="D44" s="79"/>
      <c r="E44" s="79"/>
      <c r="F44" s="79"/>
      <c r="G44" s="232">
        <v>13564</v>
      </c>
    </row>
    <row r="45" spans="1:7" ht="20.25" x14ac:dyDescent="0.2">
      <c r="A45" s="79"/>
      <c r="B45" s="390"/>
      <c r="C45" s="79" t="s">
        <v>130</v>
      </c>
      <c r="D45" s="79"/>
      <c r="E45" s="79"/>
      <c r="F45" s="79"/>
      <c r="G45" s="232">
        <v>875</v>
      </c>
    </row>
    <row r="46" spans="1:7" ht="20.25" x14ac:dyDescent="0.2">
      <c r="A46" s="79"/>
      <c r="B46" s="390"/>
      <c r="C46" s="79" t="s">
        <v>124</v>
      </c>
      <c r="D46" s="79"/>
      <c r="E46" s="79"/>
      <c r="F46" s="79"/>
      <c r="G46" s="322">
        <f>10039+1500</f>
        <v>11539</v>
      </c>
    </row>
    <row r="47" spans="1:7" ht="20.25" x14ac:dyDescent="0.2">
      <c r="A47" s="67"/>
      <c r="B47" s="394"/>
      <c r="C47" s="79" t="s">
        <v>199</v>
      </c>
      <c r="D47" s="79"/>
      <c r="E47" s="79"/>
      <c r="F47" s="79"/>
      <c r="G47" s="232">
        <f>12623+2660</f>
        <v>15283</v>
      </c>
    </row>
    <row r="48" spans="1:7" ht="20.25" x14ac:dyDescent="0.2">
      <c r="A48" s="79"/>
      <c r="B48" s="390"/>
      <c r="C48" s="79" t="s">
        <v>125</v>
      </c>
      <c r="D48" s="79"/>
      <c r="E48" s="79"/>
      <c r="F48" s="79"/>
      <c r="G48" s="322">
        <v>39977</v>
      </c>
    </row>
    <row r="49" spans="1:7" ht="20.25" x14ac:dyDescent="0.2">
      <c r="A49" s="79"/>
      <c r="B49" s="390"/>
      <c r="C49" s="79" t="s">
        <v>126</v>
      </c>
      <c r="D49" s="79"/>
      <c r="E49" s="79"/>
      <c r="F49" s="79"/>
      <c r="G49" s="322">
        <v>19556</v>
      </c>
    </row>
    <row r="50" spans="1:7" ht="20.25" x14ac:dyDescent="0.2">
      <c r="A50" s="79"/>
      <c r="B50" s="390"/>
      <c r="C50" s="79" t="s">
        <v>165</v>
      </c>
      <c r="D50" s="79"/>
      <c r="E50" s="79"/>
      <c r="F50" s="79"/>
      <c r="G50" s="232">
        <v>56100</v>
      </c>
    </row>
    <row r="51" spans="1:7" ht="20.25" x14ac:dyDescent="0.2">
      <c r="A51" s="79"/>
      <c r="B51" s="390"/>
      <c r="C51" s="79" t="s">
        <v>127</v>
      </c>
      <c r="D51" s="79"/>
      <c r="E51" s="79"/>
      <c r="F51" s="79"/>
      <c r="G51" s="232">
        <f>750+86095</f>
        <v>86845</v>
      </c>
    </row>
    <row r="52" spans="1:7" ht="21" thickBot="1" x14ac:dyDescent="0.25">
      <c r="A52" s="79"/>
      <c r="B52" s="390"/>
      <c r="C52" s="79"/>
      <c r="D52" s="79"/>
      <c r="E52" s="79"/>
      <c r="F52" s="79"/>
      <c r="G52" s="241"/>
    </row>
    <row r="53" spans="1:7" ht="20.25" x14ac:dyDescent="0.2">
      <c r="A53" s="67"/>
      <c r="B53" s="394"/>
      <c r="C53" s="67"/>
      <c r="D53" s="73" t="s">
        <v>128</v>
      </c>
      <c r="E53" s="67"/>
      <c r="F53" s="67"/>
      <c r="G53" s="237">
        <f>SUM(G31:G51)</f>
        <v>1484352</v>
      </c>
    </row>
    <row r="54" spans="1:7" ht="21" thickBot="1" x14ac:dyDescent="0.25">
      <c r="A54" s="67"/>
      <c r="B54" s="394"/>
      <c r="C54" s="67"/>
      <c r="D54" s="73"/>
      <c r="E54" s="67"/>
      <c r="F54" s="67"/>
      <c r="G54" s="241"/>
    </row>
    <row r="55" spans="1:7" ht="21" thickBot="1" x14ac:dyDescent="0.25">
      <c r="A55" s="67"/>
      <c r="B55" s="394"/>
      <c r="C55" s="67"/>
      <c r="D55" s="67" t="s">
        <v>129</v>
      </c>
      <c r="E55" s="67"/>
      <c r="F55" s="67"/>
      <c r="G55" s="241">
        <f>G28-G53</f>
        <v>-28791</v>
      </c>
    </row>
    <row r="56" spans="1:7" ht="20.25" x14ac:dyDescent="0.2">
      <c r="A56" s="67"/>
      <c r="B56" s="394"/>
      <c r="C56" s="67"/>
      <c r="D56" s="67"/>
      <c r="E56" s="67"/>
      <c r="F56" s="67"/>
      <c r="G56" s="232"/>
    </row>
  </sheetData>
  <pageMargins left="1.2" right="0" top="0.5" bottom="0.5" header="0.3" footer="0.3"/>
  <pageSetup scale="6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3" hidden="1" customWidth="1"/>
    <col min="4" max="7" width="15" customWidth="1"/>
    <col min="8" max="8" width="14.625" customWidth="1"/>
  </cols>
  <sheetData>
    <row r="1" spans="1:130" ht="21" x14ac:dyDescent="0.35">
      <c r="A1" s="58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88" t="s">
        <v>299</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88" t="str">
        <f>'December''22 State of Activities'!A3</f>
        <v>Ten Months Ended October 31, 2022 and 2021</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1041" t="s">
        <v>279</v>
      </c>
      <c r="B5" s="1042"/>
      <c r="C5" s="1042"/>
      <c r="D5" s="1042"/>
      <c r="E5" s="1042"/>
      <c r="F5" s="1042"/>
      <c r="G5" s="1042"/>
      <c r="H5" s="1043"/>
    </row>
    <row r="6" spans="1:130" ht="7.5" customHeight="1" thickBot="1" x14ac:dyDescent="0.25">
      <c r="E6" s="554"/>
      <c r="F6" s="554"/>
      <c r="G6" s="554"/>
    </row>
    <row r="7" spans="1:130" ht="15.75" x14ac:dyDescent="0.25">
      <c r="A7" s="555" t="s">
        <v>280</v>
      </c>
      <c r="B7" s="556" t="s">
        <v>281</v>
      </c>
      <c r="C7" s="556" t="s">
        <v>282</v>
      </c>
      <c r="D7" s="556" t="s">
        <v>283</v>
      </c>
      <c r="E7" s="556" t="s">
        <v>284</v>
      </c>
      <c r="F7" s="556" t="s">
        <v>285</v>
      </c>
      <c r="G7" s="556" t="s">
        <v>286</v>
      </c>
      <c r="H7" s="555" t="s">
        <v>287</v>
      </c>
    </row>
    <row r="8" spans="1:130" ht="16.5" thickBot="1" x14ac:dyDescent="0.3">
      <c r="A8" s="557"/>
      <c r="B8" s="558" t="s">
        <v>288</v>
      </c>
      <c r="C8" s="558" t="s">
        <v>288</v>
      </c>
      <c r="D8" s="558" t="s">
        <v>288</v>
      </c>
      <c r="E8" s="558" t="s">
        <v>288</v>
      </c>
      <c r="F8" s="558" t="s">
        <v>288</v>
      </c>
      <c r="G8" s="558" t="s">
        <v>288</v>
      </c>
      <c r="H8" s="559" t="s">
        <v>289</v>
      </c>
    </row>
    <row r="9" spans="1:130" x14ac:dyDescent="0.2">
      <c r="A9" s="560">
        <v>42741</v>
      </c>
      <c r="B9" s="561">
        <v>1059.72</v>
      </c>
      <c r="C9" s="562">
        <f>6123.86-3246.88</f>
        <v>2876.9799999999996</v>
      </c>
      <c r="D9" s="561">
        <f>160.4+1401.46</f>
        <v>1561.8600000000001</v>
      </c>
      <c r="E9" s="561">
        <f>2007.36+883.16</f>
        <v>2890.52</v>
      </c>
      <c r="F9" s="561">
        <v>4174.08</v>
      </c>
      <c r="G9" s="561">
        <v>3187.95</v>
      </c>
      <c r="H9" s="561">
        <f>G9-F9</f>
        <v>-986.13000000000011</v>
      </c>
    </row>
    <row r="10" spans="1:130" x14ac:dyDescent="0.2">
      <c r="A10" s="563">
        <v>42748</v>
      </c>
      <c r="B10" s="564">
        <v>1351.72</v>
      </c>
      <c r="C10" s="565">
        <f>7232.22-3246.88</f>
        <v>3985.34</v>
      </c>
      <c r="D10" s="564">
        <v>3927.82</v>
      </c>
      <c r="E10" s="564">
        <v>3364.16</v>
      </c>
      <c r="F10" s="561">
        <v>4643.2299999999996</v>
      </c>
      <c r="G10" s="561">
        <v>3858.57</v>
      </c>
      <c r="H10" s="561">
        <f t="shared" ref="H10:H21" si="0">G10-F10</f>
        <v>-784.6599999999994</v>
      </c>
    </row>
    <row r="11" spans="1:130" x14ac:dyDescent="0.2">
      <c r="A11" s="563">
        <v>42755</v>
      </c>
      <c r="B11" s="564">
        <v>1237.58</v>
      </c>
      <c r="C11" s="566">
        <f>5493.18-2496.78</f>
        <v>2996.4</v>
      </c>
      <c r="D11" s="564">
        <v>3463.28</v>
      </c>
      <c r="E11" s="564">
        <v>3723.22</v>
      </c>
      <c r="F11" s="561">
        <v>3257.98</v>
      </c>
      <c r="G11" s="561">
        <v>2816.13</v>
      </c>
      <c r="H11" s="561">
        <f t="shared" si="0"/>
        <v>-441.84999999999991</v>
      </c>
    </row>
    <row r="12" spans="1:130" x14ac:dyDescent="0.2">
      <c r="A12" s="563">
        <v>42762</v>
      </c>
      <c r="B12" s="564">
        <v>1829.66</v>
      </c>
      <c r="C12" s="566">
        <f>6125.18-2535</f>
        <v>3590.1800000000003</v>
      </c>
      <c r="D12" s="564">
        <v>2947.54</v>
      </c>
      <c r="E12" s="564">
        <v>3026.63</v>
      </c>
      <c r="F12" s="561">
        <v>3503.82</v>
      </c>
      <c r="G12" s="561">
        <v>2957.14</v>
      </c>
      <c r="H12" s="561">
        <f t="shared" si="0"/>
        <v>-546.68000000000029</v>
      </c>
    </row>
    <row r="13" spans="1:130" x14ac:dyDescent="0.2">
      <c r="A13" s="563">
        <v>42769</v>
      </c>
      <c r="B13" s="564">
        <v>2363.12</v>
      </c>
      <c r="C13" s="566">
        <f>-3488.68+8424.94</f>
        <v>4936.26</v>
      </c>
      <c r="D13" s="564">
        <v>3434.46</v>
      </c>
      <c r="E13" s="564">
        <v>2986.58</v>
      </c>
      <c r="F13" s="561">
        <v>4063.43</v>
      </c>
      <c r="G13" s="561">
        <v>3878.62</v>
      </c>
      <c r="H13" s="561">
        <f t="shared" si="0"/>
        <v>-184.80999999999995</v>
      </c>
    </row>
    <row r="14" spans="1:130" x14ac:dyDescent="0.2">
      <c r="A14" s="563">
        <v>42776</v>
      </c>
      <c r="B14" s="564">
        <v>1902.16</v>
      </c>
      <c r="C14" s="566">
        <f>-2931.5+7254.06</f>
        <v>4322.5600000000004</v>
      </c>
      <c r="D14" s="564">
        <v>2818.82</v>
      </c>
      <c r="E14" s="564">
        <f>2800.67</f>
        <v>2800.67</v>
      </c>
      <c r="F14" s="561">
        <v>4002.46</v>
      </c>
      <c r="G14" s="561">
        <v>2987.96</v>
      </c>
      <c r="H14" s="561">
        <f t="shared" si="0"/>
        <v>-1014.5</v>
      </c>
    </row>
    <row r="15" spans="1:130" x14ac:dyDescent="0.2">
      <c r="A15" s="563">
        <v>42783</v>
      </c>
      <c r="B15" s="564">
        <v>2134.56</v>
      </c>
      <c r="C15" s="566">
        <f>-3653.28+8329.5-700</f>
        <v>3976.2199999999993</v>
      </c>
      <c r="D15" s="564">
        <v>2157.96</v>
      </c>
      <c r="E15" s="564">
        <v>2584.04</v>
      </c>
      <c r="F15" s="561">
        <v>2886.61</v>
      </c>
      <c r="G15" s="561">
        <v>3373.08</v>
      </c>
      <c r="H15" s="561">
        <f t="shared" si="0"/>
        <v>486.4699999999998</v>
      </c>
    </row>
    <row r="16" spans="1:130" x14ac:dyDescent="0.2">
      <c r="A16" s="563">
        <v>42790</v>
      </c>
      <c r="B16" s="564">
        <v>1676.08</v>
      </c>
      <c r="C16" s="566">
        <f>-2869.88+6693.6</f>
        <v>3823.7200000000003</v>
      </c>
      <c r="D16" s="564">
        <v>3063.52</v>
      </c>
      <c r="E16" s="564">
        <v>3161.19</v>
      </c>
      <c r="F16" s="561">
        <v>3994.7</v>
      </c>
      <c r="G16" s="561">
        <v>3335.8</v>
      </c>
      <c r="H16" s="561">
        <f t="shared" si="0"/>
        <v>-658.89999999999964</v>
      </c>
    </row>
    <row r="17" spans="1:8" x14ac:dyDescent="0.2">
      <c r="A17" s="563">
        <v>42797</v>
      </c>
      <c r="B17" s="564">
        <v>1418.9</v>
      </c>
      <c r="C17" s="566">
        <f>-3427.32+8141.08</f>
        <v>4713.76</v>
      </c>
      <c r="D17" s="564">
        <v>4534.3</v>
      </c>
      <c r="E17" s="564">
        <v>3860.23</v>
      </c>
      <c r="F17" s="561">
        <v>4172.5600000000004</v>
      </c>
      <c r="G17" s="561">
        <v>2335.96</v>
      </c>
      <c r="H17" s="561">
        <f t="shared" si="0"/>
        <v>-1836.6000000000004</v>
      </c>
    </row>
    <row r="18" spans="1:8" x14ac:dyDescent="0.2">
      <c r="A18" s="563">
        <v>42804</v>
      </c>
      <c r="B18" s="564">
        <v>1013.74</v>
      </c>
      <c r="C18" s="566">
        <f>-2919.8+6449.26</f>
        <v>3529.46</v>
      </c>
      <c r="D18" s="564">
        <v>3673.88</v>
      </c>
      <c r="E18" s="564">
        <v>4004</v>
      </c>
      <c r="F18" s="561">
        <v>3762.8</v>
      </c>
      <c r="G18" s="561">
        <v>1711.94</v>
      </c>
      <c r="H18" s="561">
        <f t="shared" si="0"/>
        <v>-2050.86</v>
      </c>
    </row>
    <row r="19" spans="1:8" x14ac:dyDescent="0.2">
      <c r="A19" s="563">
        <v>42811</v>
      </c>
      <c r="B19" s="567">
        <v>3629.96</v>
      </c>
      <c r="C19" s="566">
        <f>-3708.38+7621.78</f>
        <v>3913.3999999999996</v>
      </c>
      <c r="D19" s="564">
        <v>4030.4</v>
      </c>
      <c r="E19" s="564">
        <v>3222.03</v>
      </c>
      <c r="F19" s="561">
        <v>4340.3</v>
      </c>
      <c r="G19" s="561">
        <v>942.16</v>
      </c>
      <c r="H19" s="561">
        <f t="shared" si="0"/>
        <v>-3398.1400000000003</v>
      </c>
    </row>
    <row r="20" spans="1:8" x14ac:dyDescent="0.2">
      <c r="A20" s="563">
        <v>42818</v>
      </c>
      <c r="B20" s="567">
        <v>3364</v>
      </c>
      <c r="C20" s="566">
        <f>-3726.84+7846.28</f>
        <v>4119.4399999999996</v>
      </c>
      <c r="D20" s="564">
        <v>3975.2</v>
      </c>
      <c r="E20" s="564">
        <v>3684.17</v>
      </c>
      <c r="F20" s="561">
        <v>3849.95</v>
      </c>
      <c r="G20" s="561">
        <v>1706.08</v>
      </c>
      <c r="H20" s="561">
        <f t="shared" si="0"/>
        <v>-2143.87</v>
      </c>
    </row>
    <row r="21" spans="1:8" ht="15" thickBot="1" x14ac:dyDescent="0.25">
      <c r="A21" s="563">
        <v>42825</v>
      </c>
      <c r="B21" s="567">
        <v>3587</v>
      </c>
      <c r="C21" s="566">
        <f>-3329.82+7562.9</f>
        <v>4233.08</v>
      </c>
      <c r="D21" s="564">
        <v>4280.8</v>
      </c>
      <c r="E21" s="567">
        <v>4118.96</v>
      </c>
      <c r="F21" s="568">
        <v>4082.74</v>
      </c>
      <c r="G21" s="568">
        <v>2002.52</v>
      </c>
      <c r="H21" s="561">
        <f t="shared" si="0"/>
        <v>-2080.2199999999998</v>
      </c>
    </row>
    <row r="22" spans="1:8" ht="16.5" thickBot="1" x14ac:dyDescent="0.25">
      <c r="A22" s="569" t="s">
        <v>290</v>
      </c>
      <c r="B22" s="570">
        <f t="shared" ref="B22:H22" si="1">SUM(B9:B21)</f>
        <v>26568.2</v>
      </c>
      <c r="C22" s="570">
        <f t="shared" si="1"/>
        <v>51016.80000000001</v>
      </c>
      <c r="D22" s="570">
        <f t="shared" si="1"/>
        <v>43869.84</v>
      </c>
      <c r="E22" s="570">
        <f t="shared" si="1"/>
        <v>43426.399999999994</v>
      </c>
      <c r="F22" s="570">
        <f t="shared" si="1"/>
        <v>50734.659999999996</v>
      </c>
      <c r="G22" s="570">
        <f t="shared" si="1"/>
        <v>35093.909999999989</v>
      </c>
      <c r="H22" s="570">
        <f t="shared" si="1"/>
        <v>-15640.749999999998</v>
      </c>
    </row>
    <row r="23" spans="1:8" x14ac:dyDescent="0.2">
      <c r="A23" s="571">
        <v>42832</v>
      </c>
      <c r="B23" s="564">
        <v>3525.02</v>
      </c>
      <c r="C23" s="561">
        <v>4517.8999999999996</v>
      </c>
      <c r="D23" s="561">
        <v>4162.12</v>
      </c>
      <c r="E23" s="561">
        <v>4043.7</v>
      </c>
      <c r="F23" s="561">
        <v>3768.69</v>
      </c>
      <c r="G23" s="561">
        <v>2018.44</v>
      </c>
      <c r="H23" s="561">
        <f>G23-F23</f>
        <v>-1750.25</v>
      </c>
    </row>
    <row r="24" spans="1:8" x14ac:dyDescent="0.2">
      <c r="A24" s="571">
        <v>42839</v>
      </c>
      <c r="B24" s="564">
        <v>3842.84</v>
      </c>
      <c r="C24" s="561">
        <v>4554.42</v>
      </c>
      <c r="D24" s="564">
        <v>4616</v>
      </c>
      <c r="E24" s="564">
        <v>4136.18</v>
      </c>
      <c r="F24" s="561">
        <v>4345.16</v>
      </c>
      <c r="G24" s="561">
        <v>5284.52</v>
      </c>
      <c r="H24" s="561">
        <f t="shared" ref="H24:H63" si="2">G24-F24</f>
        <v>939.36000000000058</v>
      </c>
    </row>
    <row r="25" spans="1:8" x14ac:dyDescent="0.2">
      <c r="A25" s="571">
        <v>42846</v>
      </c>
      <c r="B25" s="564">
        <v>5337.82</v>
      </c>
      <c r="C25" s="564">
        <v>4041.14</v>
      </c>
      <c r="D25" s="564">
        <v>3729.1</v>
      </c>
      <c r="E25" s="564">
        <v>4132.83</v>
      </c>
      <c r="F25" s="561">
        <v>4267.46</v>
      </c>
      <c r="G25" s="561">
        <v>4715.9799999999996</v>
      </c>
      <c r="H25" s="561">
        <f t="shared" si="2"/>
        <v>448.51999999999953</v>
      </c>
    </row>
    <row r="26" spans="1:8" x14ac:dyDescent="0.2">
      <c r="A26" s="571">
        <v>42853</v>
      </c>
      <c r="B26" s="564">
        <v>4973.68</v>
      </c>
      <c r="C26" s="564">
        <v>4321.8599999999997</v>
      </c>
      <c r="D26" s="564">
        <v>3706.08</v>
      </c>
      <c r="E26" s="564">
        <v>4536.74</v>
      </c>
      <c r="F26" s="561">
        <v>3953.61</v>
      </c>
      <c r="G26" s="561">
        <v>4499.7</v>
      </c>
      <c r="H26" s="561">
        <f t="shared" si="2"/>
        <v>546.08999999999969</v>
      </c>
    </row>
    <row r="27" spans="1:8" x14ac:dyDescent="0.2">
      <c r="A27" s="571">
        <v>42860</v>
      </c>
      <c r="B27" s="564">
        <v>3187.22</v>
      </c>
      <c r="C27" s="564">
        <v>4732.8999999999996</v>
      </c>
      <c r="D27" s="564">
        <v>3421.72</v>
      </c>
      <c r="E27" s="564">
        <f>3478.64+72+758.56</f>
        <v>4309.2</v>
      </c>
      <c r="F27" s="561">
        <v>4192.32</v>
      </c>
      <c r="G27" s="561">
        <v>4204.16</v>
      </c>
      <c r="H27" s="561">
        <f t="shared" si="2"/>
        <v>11.840000000000146</v>
      </c>
    </row>
    <row r="28" spans="1:8" x14ac:dyDescent="0.2">
      <c r="A28" s="571">
        <v>42867</v>
      </c>
      <c r="B28" s="564">
        <v>2237.2399999999998</v>
      </c>
      <c r="C28" s="564">
        <v>4138.8999999999996</v>
      </c>
      <c r="D28" s="564">
        <v>3907.94</v>
      </c>
      <c r="E28" s="564">
        <f>4050.94+212.76</f>
        <v>4263.7</v>
      </c>
      <c r="F28" s="561">
        <v>4361.47</v>
      </c>
      <c r="G28" s="561">
        <v>4571.82</v>
      </c>
      <c r="H28" s="561">
        <f t="shared" si="2"/>
        <v>210.34999999999945</v>
      </c>
    </row>
    <row r="29" spans="1:8" x14ac:dyDescent="0.2">
      <c r="A29" s="571">
        <v>42874</v>
      </c>
      <c r="B29" s="564">
        <v>3446.22</v>
      </c>
      <c r="C29" s="564">
        <v>5447.82</v>
      </c>
      <c r="D29" s="564">
        <f>3359.74+70.28</f>
        <v>3430.02</v>
      </c>
      <c r="E29" s="564">
        <v>3958.56</v>
      </c>
      <c r="F29" s="561">
        <v>3957.78</v>
      </c>
      <c r="G29" s="561">
        <v>4089.18</v>
      </c>
      <c r="H29" s="561">
        <f t="shared" si="2"/>
        <v>131.39999999999964</v>
      </c>
    </row>
    <row r="30" spans="1:8" x14ac:dyDescent="0.2">
      <c r="A30" s="571">
        <v>42881</v>
      </c>
      <c r="B30" s="564">
        <v>3507.94</v>
      </c>
      <c r="C30" s="564">
        <v>4315.03</v>
      </c>
      <c r="D30" s="564">
        <v>3880.8</v>
      </c>
      <c r="E30" s="564">
        <v>4314.9799999999996</v>
      </c>
      <c r="F30" s="561">
        <v>3634.01</v>
      </c>
      <c r="G30" s="561">
        <v>3993.63</v>
      </c>
      <c r="H30" s="561">
        <f t="shared" si="2"/>
        <v>359.61999999999989</v>
      </c>
    </row>
    <row r="31" spans="1:8" x14ac:dyDescent="0.2">
      <c r="A31" s="571">
        <v>42888</v>
      </c>
      <c r="B31" s="564">
        <v>3609.72</v>
      </c>
      <c r="C31" s="564">
        <v>3053.8</v>
      </c>
      <c r="D31" s="564">
        <v>2686.82</v>
      </c>
      <c r="E31" s="564">
        <v>2987.04</v>
      </c>
      <c r="F31" s="561">
        <v>2684.24</v>
      </c>
      <c r="G31" s="561">
        <v>2384.3200000000002</v>
      </c>
      <c r="H31" s="561">
        <f t="shared" si="2"/>
        <v>-299.91999999999962</v>
      </c>
    </row>
    <row r="32" spans="1:8" x14ac:dyDescent="0.2">
      <c r="A32" s="571">
        <v>42895</v>
      </c>
      <c r="B32" s="564">
        <v>2033.76</v>
      </c>
      <c r="C32" s="564">
        <v>4194.8599999999997</v>
      </c>
      <c r="D32" s="564">
        <v>3006.14</v>
      </c>
      <c r="E32" s="564">
        <v>3675.8</v>
      </c>
      <c r="F32" s="561">
        <v>3674.42</v>
      </c>
      <c r="G32" s="561">
        <v>3297.66</v>
      </c>
      <c r="H32" s="561">
        <f t="shared" si="2"/>
        <v>-376.76000000000022</v>
      </c>
    </row>
    <row r="33" spans="1:8" x14ac:dyDescent="0.2">
      <c r="A33" s="571">
        <v>42902</v>
      </c>
      <c r="B33" s="564">
        <v>2786.98</v>
      </c>
      <c r="C33" s="564">
        <v>3980.08</v>
      </c>
      <c r="D33" s="564">
        <v>3579.53</v>
      </c>
      <c r="E33" s="564">
        <v>4147.8999999999996</v>
      </c>
      <c r="F33" s="561">
        <v>4182.5200000000004</v>
      </c>
      <c r="G33" s="561">
        <v>3252.16</v>
      </c>
      <c r="H33" s="561">
        <f t="shared" si="2"/>
        <v>-930.36000000000058</v>
      </c>
    </row>
    <row r="34" spans="1:8" x14ac:dyDescent="0.2">
      <c r="A34" s="571">
        <v>42909</v>
      </c>
      <c r="B34" s="567">
        <v>2436.9</v>
      </c>
      <c r="C34" s="564">
        <v>4001.26</v>
      </c>
      <c r="D34" s="564">
        <v>3401.21</v>
      </c>
      <c r="E34" s="564">
        <v>3774.82</v>
      </c>
      <c r="F34" s="561">
        <v>3596.56</v>
      </c>
      <c r="G34" s="561">
        <v>3139.68</v>
      </c>
      <c r="H34" s="561">
        <f t="shared" si="2"/>
        <v>-456.88000000000011</v>
      </c>
    </row>
    <row r="35" spans="1:8" ht="15" thickBot="1" x14ac:dyDescent="0.25">
      <c r="A35" s="571">
        <v>42916</v>
      </c>
      <c r="B35" s="567">
        <v>2410.56</v>
      </c>
      <c r="C35" s="564">
        <v>3928.74</v>
      </c>
      <c r="D35" s="567">
        <v>3288.01</v>
      </c>
      <c r="E35" s="567">
        <v>3466.07</v>
      </c>
      <c r="F35" s="568">
        <v>3867.92</v>
      </c>
      <c r="G35" s="568">
        <v>3368.72</v>
      </c>
      <c r="H35" s="561">
        <f t="shared" si="2"/>
        <v>-499.20000000000027</v>
      </c>
    </row>
    <row r="36" spans="1:8" ht="16.5" thickBot="1" x14ac:dyDescent="0.25">
      <c r="A36" s="569" t="s">
        <v>291</v>
      </c>
      <c r="B36" s="570">
        <f t="shared" ref="B36:H36" si="3">SUM(B23:B35)</f>
        <v>43335.9</v>
      </c>
      <c r="C36" s="570">
        <f t="shared" si="3"/>
        <v>55228.710000000006</v>
      </c>
      <c r="D36" s="570">
        <f t="shared" si="3"/>
        <v>46815.49</v>
      </c>
      <c r="E36" s="570">
        <f t="shared" si="3"/>
        <v>51747.520000000004</v>
      </c>
      <c r="F36" s="570">
        <f t="shared" si="3"/>
        <v>50486.159999999989</v>
      </c>
      <c r="G36" s="570">
        <f t="shared" si="3"/>
        <v>48819.970000000008</v>
      </c>
      <c r="H36" s="570">
        <f t="shared" si="3"/>
        <v>-1666.1900000000019</v>
      </c>
    </row>
    <row r="37" spans="1:8" x14ac:dyDescent="0.2">
      <c r="A37" s="571">
        <v>42923</v>
      </c>
      <c r="B37" s="561">
        <f>899.92+2410.56</f>
        <v>3310.48</v>
      </c>
      <c r="C37" s="561">
        <v>3059.59</v>
      </c>
      <c r="D37" s="561">
        <f>952.56+2445.69</f>
        <v>3398.25</v>
      </c>
      <c r="E37" s="561">
        <f>1313.52+1315.48</f>
        <v>2629</v>
      </c>
      <c r="F37" s="561">
        <v>3092.18</v>
      </c>
      <c r="G37" s="561">
        <v>2501.6799999999998</v>
      </c>
      <c r="H37" s="561">
        <f t="shared" si="2"/>
        <v>-590.5</v>
      </c>
    </row>
    <row r="38" spans="1:8" x14ac:dyDescent="0.2">
      <c r="A38" s="563">
        <v>42930</v>
      </c>
      <c r="B38" s="561">
        <v>2613.8200000000002</v>
      </c>
      <c r="C38" s="561">
        <v>4164.28</v>
      </c>
      <c r="D38" s="564">
        <v>3621.49</v>
      </c>
      <c r="E38" s="564">
        <v>3328.78</v>
      </c>
      <c r="F38" s="561">
        <v>4363</v>
      </c>
      <c r="G38" s="561">
        <v>3463.97</v>
      </c>
      <c r="H38" s="561">
        <f t="shared" si="2"/>
        <v>-899.0300000000002</v>
      </c>
    </row>
    <row r="39" spans="1:8" x14ac:dyDescent="0.2">
      <c r="A39" s="563">
        <v>42937</v>
      </c>
      <c r="B39" s="564">
        <v>2285.09</v>
      </c>
      <c r="C39" s="564">
        <v>3698.36</v>
      </c>
      <c r="D39" s="564">
        <v>3478.53</v>
      </c>
      <c r="E39" s="564">
        <v>4114.08</v>
      </c>
      <c r="F39" s="561">
        <v>3936.33</v>
      </c>
      <c r="G39" s="561">
        <v>3416.66</v>
      </c>
      <c r="H39" s="561">
        <f t="shared" si="2"/>
        <v>-519.67000000000007</v>
      </c>
    </row>
    <row r="40" spans="1:8" x14ac:dyDescent="0.2">
      <c r="A40" s="563">
        <v>42944</v>
      </c>
      <c r="B40" s="564">
        <v>1982.06</v>
      </c>
      <c r="C40" s="564">
        <v>3907.78</v>
      </c>
      <c r="D40" s="564">
        <v>3713.11</v>
      </c>
      <c r="E40" s="564">
        <v>4010.57</v>
      </c>
      <c r="F40" s="561">
        <v>3962.85</v>
      </c>
      <c r="G40" s="561">
        <v>3139.68</v>
      </c>
      <c r="H40" s="561">
        <f t="shared" si="2"/>
        <v>-823.17000000000007</v>
      </c>
    </row>
    <row r="41" spans="1:8" x14ac:dyDescent="0.2">
      <c r="A41" s="563">
        <v>42951</v>
      </c>
      <c r="B41" s="564">
        <v>2442</v>
      </c>
      <c r="C41" s="564">
        <v>3807.12</v>
      </c>
      <c r="D41" s="564">
        <v>3318.21</v>
      </c>
      <c r="E41" s="564">
        <v>3520.16</v>
      </c>
      <c r="F41" s="561">
        <v>3810.8</v>
      </c>
      <c r="G41" s="561">
        <v>3171.9</v>
      </c>
      <c r="H41" s="561">
        <f t="shared" si="2"/>
        <v>-638.90000000000009</v>
      </c>
    </row>
    <row r="42" spans="1:8" x14ac:dyDescent="0.2">
      <c r="A42" s="563">
        <v>42958</v>
      </c>
      <c r="B42" s="564">
        <v>2003.68</v>
      </c>
      <c r="C42" s="564">
        <v>3636.64</v>
      </c>
      <c r="D42" s="564">
        <v>2999.63</v>
      </c>
      <c r="E42" s="564">
        <v>3150.64</v>
      </c>
      <c r="F42" s="561">
        <v>3905.08</v>
      </c>
      <c r="G42" s="561">
        <v>3339.76</v>
      </c>
      <c r="H42" s="561">
        <f t="shared" si="2"/>
        <v>-565.31999999999971</v>
      </c>
    </row>
    <row r="43" spans="1:8" x14ac:dyDescent="0.2">
      <c r="A43" s="563">
        <v>42965</v>
      </c>
      <c r="B43" s="564">
        <v>1971.38</v>
      </c>
      <c r="C43" s="564">
        <v>3658.28</v>
      </c>
      <c r="D43" s="564">
        <v>4080.16</v>
      </c>
      <c r="E43" s="564">
        <v>3780.2</v>
      </c>
      <c r="F43" s="561">
        <v>3747.05</v>
      </c>
      <c r="G43" s="561">
        <v>3333.42</v>
      </c>
      <c r="H43" s="561">
        <f t="shared" si="2"/>
        <v>-413.63000000000011</v>
      </c>
    </row>
    <row r="44" spans="1:8" x14ac:dyDescent="0.2">
      <c r="A44" s="563">
        <v>42972</v>
      </c>
      <c r="B44" s="564">
        <v>2725.14</v>
      </c>
      <c r="C44" s="564">
        <v>4096.0200000000004</v>
      </c>
      <c r="D44" s="564">
        <v>4309.82</v>
      </c>
      <c r="E44" s="564">
        <v>3361.86</v>
      </c>
      <c r="F44" s="561">
        <v>3788.4</v>
      </c>
      <c r="G44" s="561">
        <v>3772.14</v>
      </c>
      <c r="H44" s="561">
        <f t="shared" si="2"/>
        <v>-16.260000000000218</v>
      </c>
    </row>
    <row r="45" spans="1:8" x14ac:dyDescent="0.2">
      <c r="A45" s="563">
        <v>42979</v>
      </c>
      <c r="B45" s="564">
        <v>2749.96</v>
      </c>
      <c r="C45" s="564">
        <v>3825.18</v>
      </c>
      <c r="D45" s="564">
        <v>3712.48</v>
      </c>
      <c r="E45" s="564">
        <v>3605.07</v>
      </c>
      <c r="F45" s="561">
        <v>3858.34</v>
      </c>
      <c r="G45" s="561">
        <v>3206</v>
      </c>
      <c r="H45" s="561">
        <f t="shared" si="2"/>
        <v>-652.34000000000015</v>
      </c>
    </row>
    <row r="46" spans="1:8" x14ac:dyDescent="0.2">
      <c r="A46" s="563">
        <v>42986</v>
      </c>
      <c r="B46" s="564">
        <v>2323.9</v>
      </c>
      <c r="C46" s="564">
        <v>2717.46</v>
      </c>
      <c r="D46" s="564">
        <v>3072.96</v>
      </c>
      <c r="E46" s="564">
        <f>753.86+2730.15</f>
        <v>3484.01</v>
      </c>
      <c r="F46" s="561">
        <v>3265.99</v>
      </c>
      <c r="G46" s="561">
        <v>2271.2199999999998</v>
      </c>
      <c r="H46" s="561">
        <f t="shared" si="2"/>
        <v>-994.77</v>
      </c>
    </row>
    <row r="47" spans="1:8" x14ac:dyDescent="0.2">
      <c r="A47" s="563">
        <v>42993</v>
      </c>
      <c r="B47" s="564">
        <v>2621.61</v>
      </c>
      <c r="C47" s="564">
        <v>3748.38</v>
      </c>
      <c r="D47" s="564">
        <v>3926.25</v>
      </c>
      <c r="E47" s="564">
        <v>3212.96</v>
      </c>
      <c r="F47" s="561">
        <v>3712.16</v>
      </c>
      <c r="G47" s="561">
        <v>2688.36</v>
      </c>
      <c r="H47" s="561">
        <f t="shared" si="2"/>
        <v>-1023.7999999999997</v>
      </c>
    </row>
    <row r="48" spans="1:8" x14ac:dyDescent="0.2">
      <c r="A48" s="563">
        <v>43000</v>
      </c>
      <c r="B48" s="564">
        <v>2394.14</v>
      </c>
      <c r="C48" s="564">
        <v>3766.8</v>
      </c>
      <c r="D48" s="564">
        <v>4164.1899999999996</v>
      </c>
      <c r="E48" s="564">
        <v>4004.92</v>
      </c>
      <c r="F48" s="561">
        <v>3509.17</v>
      </c>
      <c r="G48" s="561">
        <v>3180.04</v>
      </c>
      <c r="H48" s="561">
        <f t="shared" si="2"/>
        <v>-329.13000000000011</v>
      </c>
    </row>
    <row r="49" spans="1:8" ht="15" thickBot="1" x14ac:dyDescent="0.25">
      <c r="A49" s="563">
        <v>43007</v>
      </c>
      <c r="B49" s="567">
        <v>2669.64</v>
      </c>
      <c r="C49" s="567">
        <v>4136.58</v>
      </c>
      <c r="D49" s="567">
        <v>3566.31</v>
      </c>
      <c r="E49" s="567">
        <v>3837.41</v>
      </c>
      <c r="F49" s="568">
        <v>3803.3</v>
      </c>
      <c r="G49" s="568">
        <v>2437.88</v>
      </c>
      <c r="H49" s="561">
        <f t="shared" si="2"/>
        <v>-1365.42</v>
      </c>
    </row>
    <row r="50" spans="1:8" ht="16.5" thickBot="1" x14ac:dyDescent="0.25">
      <c r="A50" s="569" t="s">
        <v>292</v>
      </c>
      <c r="B50" s="570">
        <f>SUM(B37:B49)</f>
        <v>32092.899999999998</v>
      </c>
      <c r="C50" s="570">
        <f>SUM(C37:C49)</f>
        <v>48222.47</v>
      </c>
      <c r="D50" s="570">
        <f>SUM(D37:D49)</f>
        <v>47361.39</v>
      </c>
      <c r="E50" s="570">
        <f>SUM(E37:E49)</f>
        <v>46039.66</v>
      </c>
      <c r="F50" s="570">
        <f t="shared" ref="F50:H50" si="4">SUM(F37:F49)</f>
        <v>48754.649999999994</v>
      </c>
      <c r="G50" s="570">
        <f t="shared" si="4"/>
        <v>39922.71</v>
      </c>
      <c r="H50" s="570">
        <f t="shared" si="4"/>
        <v>-8831.9399999999987</v>
      </c>
    </row>
    <row r="51" spans="1:8" x14ac:dyDescent="0.2">
      <c r="A51" s="571">
        <v>43014</v>
      </c>
      <c r="B51" s="561">
        <v>3051.16</v>
      </c>
      <c r="C51" s="561">
        <v>4721</v>
      </c>
      <c r="D51" s="561">
        <f>1531.24+2227.04</f>
        <v>3758.2799999999997</v>
      </c>
      <c r="E51" s="561">
        <v>3921.83</v>
      </c>
      <c r="F51" s="561">
        <v>3911.96</v>
      </c>
      <c r="G51" s="561">
        <v>3047.82</v>
      </c>
      <c r="H51" s="561">
        <f t="shared" si="2"/>
        <v>-864.13999999999987</v>
      </c>
    </row>
    <row r="52" spans="1:8" x14ac:dyDescent="0.2">
      <c r="A52" s="563">
        <v>43021</v>
      </c>
      <c r="B52" s="564">
        <v>2579.96</v>
      </c>
      <c r="C52" s="564">
        <v>4035.24</v>
      </c>
      <c r="D52" s="564">
        <v>4232.92</v>
      </c>
      <c r="E52" s="564">
        <v>3403.46</v>
      </c>
      <c r="F52" s="561">
        <v>3093.5</v>
      </c>
      <c r="G52" s="561">
        <v>2010.94</v>
      </c>
      <c r="H52" s="561">
        <f t="shared" si="2"/>
        <v>-1082.56</v>
      </c>
    </row>
    <row r="53" spans="1:8" x14ac:dyDescent="0.2">
      <c r="A53" s="563">
        <v>43028</v>
      </c>
      <c r="B53" s="564">
        <v>3119.16</v>
      </c>
      <c r="C53" s="564">
        <v>2972.08</v>
      </c>
      <c r="D53" s="564">
        <v>3057.22</v>
      </c>
      <c r="E53" s="564">
        <v>3116.16</v>
      </c>
      <c r="F53" s="561">
        <v>4261.32</v>
      </c>
      <c r="G53" s="561">
        <v>3314.5</v>
      </c>
      <c r="H53" s="561">
        <f t="shared" si="2"/>
        <v>-946.81999999999971</v>
      </c>
    </row>
    <row r="54" spans="1:8" x14ac:dyDescent="0.2">
      <c r="A54" s="563">
        <v>43035</v>
      </c>
      <c r="B54" s="564">
        <v>2378.1999999999998</v>
      </c>
      <c r="C54" s="564">
        <v>3341.66</v>
      </c>
      <c r="D54" s="564">
        <v>3745.65</v>
      </c>
      <c r="E54" s="564">
        <v>3664.58</v>
      </c>
      <c r="F54" s="561">
        <v>3860.55</v>
      </c>
      <c r="G54" s="561">
        <v>2905</v>
      </c>
      <c r="H54" s="561">
        <f t="shared" si="2"/>
        <v>-955.55000000000018</v>
      </c>
    </row>
    <row r="55" spans="1:8" x14ac:dyDescent="0.2">
      <c r="A55" s="563">
        <v>43042</v>
      </c>
      <c r="B55" s="564">
        <v>2153.36</v>
      </c>
      <c r="C55" s="564">
        <v>3165.08</v>
      </c>
      <c r="D55" s="564">
        <f>3171.04+47.44+30.24</f>
        <v>3248.72</v>
      </c>
      <c r="E55" s="564">
        <v>3792.71</v>
      </c>
      <c r="F55" s="561">
        <v>3942.48</v>
      </c>
      <c r="G55" s="561">
        <v>3169.18</v>
      </c>
      <c r="H55" s="561">
        <f t="shared" si="2"/>
        <v>-773.30000000000018</v>
      </c>
    </row>
    <row r="56" spans="1:8" x14ac:dyDescent="0.2">
      <c r="A56" s="563">
        <v>43049</v>
      </c>
      <c r="B56" s="564">
        <v>1549.7</v>
      </c>
      <c r="C56" s="564">
        <v>3024.18</v>
      </c>
      <c r="D56" s="564">
        <v>3967.37</v>
      </c>
      <c r="E56" s="564">
        <v>3804.52</v>
      </c>
      <c r="F56" s="561">
        <v>3933.48</v>
      </c>
      <c r="G56" s="561">
        <v>2670.04</v>
      </c>
      <c r="H56" s="561">
        <f t="shared" si="2"/>
        <v>-1263.44</v>
      </c>
    </row>
    <row r="57" spans="1:8" x14ac:dyDescent="0.2">
      <c r="A57" s="563">
        <v>43056</v>
      </c>
      <c r="B57" s="564">
        <f>(5311.2-178.1)*0.5</f>
        <v>2566.5499999999997</v>
      </c>
      <c r="C57" s="564">
        <v>3500.86</v>
      </c>
      <c r="D57" s="564">
        <v>4007.55</v>
      </c>
      <c r="E57" s="564">
        <v>3693.64</v>
      </c>
      <c r="F57" s="561">
        <v>3860.4</v>
      </c>
      <c r="G57" s="561">
        <v>2400.7199999999998</v>
      </c>
      <c r="H57" s="561">
        <f t="shared" si="2"/>
        <v>-1459.6800000000003</v>
      </c>
    </row>
    <row r="58" spans="1:8" x14ac:dyDescent="0.2">
      <c r="A58" s="563">
        <v>43063</v>
      </c>
      <c r="B58" s="564">
        <f>(5311.2-178.1)*0.5</f>
        <v>2566.5499999999997</v>
      </c>
      <c r="C58" s="564">
        <v>4015.8</v>
      </c>
      <c r="D58" s="564">
        <v>4445.62</v>
      </c>
      <c r="E58" s="564">
        <v>3499.88</v>
      </c>
      <c r="F58" s="561">
        <v>1675.8</v>
      </c>
      <c r="G58" s="561">
        <v>1268.44</v>
      </c>
      <c r="H58" s="561">
        <f t="shared" si="2"/>
        <v>-407.3599999999999</v>
      </c>
    </row>
    <row r="59" spans="1:8" x14ac:dyDescent="0.2">
      <c r="A59" s="563">
        <v>43070</v>
      </c>
      <c r="B59" s="564">
        <v>3577.34</v>
      </c>
      <c r="C59" s="564">
        <v>2434.3200000000002</v>
      </c>
      <c r="D59" s="564">
        <v>1953.09</v>
      </c>
      <c r="E59" s="564">
        <v>2000.54</v>
      </c>
      <c r="F59" s="561">
        <v>3669.06</v>
      </c>
      <c r="G59" s="561">
        <v>2816.72</v>
      </c>
      <c r="H59" s="561">
        <f t="shared" si="2"/>
        <v>-852.34000000000015</v>
      </c>
    </row>
    <row r="60" spans="1:8" x14ac:dyDescent="0.2">
      <c r="A60" s="563">
        <v>43077</v>
      </c>
      <c r="B60" s="564">
        <v>3486.12</v>
      </c>
      <c r="C60" s="564">
        <v>3291.9</v>
      </c>
      <c r="D60" s="564">
        <v>3710.06</v>
      </c>
      <c r="E60" s="564">
        <f>2372.46+627.88</f>
        <v>3000.34</v>
      </c>
      <c r="F60" s="561">
        <v>3225.52</v>
      </c>
      <c r="G60" s="561">
        <v>2427</v>
      </c>
      <c r="H60" s="561">
        <f t="shared" si="2"/>
        <v>-798.52</v>
      </c>
    </row>
    <row r="61" spans="1:8" x14ac:dyDescent="0.2">
      <c r="A61" s="563">
        <v>43084</v>
      </c>
      <c r="B61" s="564">
        <v>3539.16</v>
      </c>
      <c r="C61" s="564">
        <v>4047.94</v>
      </c>
      <c r="D61" s="564">
        <v>3873.59</v>
      </c>
      <c r="E61" s="564">
        <v>4104.09</v>
      </c>
      <c r="F61" s="561">
        <v>2933.78</v>
      </c>
      <c r="G61" s="561">
        <v>2427</v>
      </c>
      <c r="H61" s="561">
        <f t="shared" si="2"/>
        <v>-506.7800000000002</v>
      </c>
    </row>
    <row r="62" spans="1:8" x14ac:dyDescent="0.2">
      <c r="A62" s="563">
        <v>43091</v>
      </c>
      <c r="B62" s="564">
        <v>1609.64</v>
      </c>
      <c r="C62" s="564">
        <v>3903.54</v>
      </c>
      <c r="D62" s="564">
        <v>3580.24</v>
      </c>
      <c r="E62" s="564">
        <v>3625.1</v>
      </c>
      <c r="F62" s="561">
        <v>3555.5</v>
      </c>
      <c r="G62" s="561">
        <v>2649.12</v>
      </c>
      <c r="H62" s="561">
        <f t="shared" si="2"/>
        <v>-906.38000000000011</v>
      </c>
    </row>
    <row r="63" spans="1:8" ht="15" thickBot="1" x14ac:dyDescent="0.25">
      <c r="A63" s="572">
        <v>43098</v>
      </c>
      <c r="B63" s="573">
        <v>5154.84</v>
      </c>
      <c r="C63" s="573">
        <v>2331.48</v>
      </c>
      <c r="D63" s="573">
        <v>2383.63</v>
      </c>
      <c r="E63" s="573">
        <v>2256.69</v>
      </c>
      <c r="F63" s="574">
        <v>2486.06</v>
      </c>
      <c r="G63" s="574">
        <v>2088.3000000000002</v>
      </c>
      <c r="H63" s="561">
        <f t="shared" si="2"/>
        <v>-397.75999999999976</v>
      </c>
    </row>
    <row r="64" spans="1:8" ht="16.5" thickBot="1" x14ac:dyDescent="0.25">
      <c r="A64" s="569" t="s">
        <v>293</v>
      </c>
      <c r="B64" s="570">
        <f>SUM(B51:B63)</f>
        <v>37331.74</v>
      </c>
      <c r="C64" s="570">
        <f>SUM(C51:C63)</f>
        <v>44785.08</v>
      </c>
      <c r="D64" s="570">
        <f>SUM(D51:D63)</f>
        <v>45963.939999999988</v>
      </c>
      <c r="E64" s="570">
        <f>SUM(E51:E63)</f>
        <v>43883.54</v>
      </c>
      <c r="F64" s="570">
        <f>SUM(F51:F63)</f>
        <v>44409.409999999996</v>
      </c>
      <c r="G64" s="570">
        <f t="shared" ref="G64" si="5">SUM(G51:G63)</f>
        <v>33194.78</v>
      </c>
      <c r="H64" s="570">
        <f>SUM(H51:H63)</f>
        <v>-11214.63</v>
      </c>
    </row>
    <row r="65" spans="1:8" ht="15.75" x14ac:dyDescent="0.25">
      <c r="A65" s="575" t="s">
        <v>294</v>
      </c>
      <c r="B65" s="576">
        <f t="shared" ref="B65:H65" si="6">SUM(B9:B63)-B22-B36-B50</f>
        <v>139328.74</v>
      </c>
      <c r="C65" s="576">
        <f t="shared" si="6"/>
        <v>199253.05999999985</v>
      </c>
      <c r="D65" s="576">
        <f t="shared" si="6"/>
        <v>184010.66000000003</v>
      </c>
      <c r="E65" s="576">
        <f t="shared" si="6"/>
        <v>185097.12000000014</v>
      </c>
      <c r="F65" s="576">
        <f t="shared" si="6"/>
        <v>194384.88000000003</v>
      </c>
      <c r="G65" s="576">
        <f t="shared" si="6"/>
        <v>157031.36999999994</v>
      </c>
      <c r="H65" s="576">
        <f t="shared" si="6"/>
        <v>-37353.509999999995</v>
      </c>
    </row>
    <row r="66" spans="1:8" x14ac:dyDescent="0.2">
      <c r="A66" s="56" t="s">
        <v>295</v>
      </c>
      <c r="B66" s="577">
        <f t="shared" ref="B66:G66" si="7">AVERAGE(B9:B21)</f>
        <v>2043.7076923076925</v>
      </c>
      <c r="C66" s="578">
        <f t="shared" si="7"/>
        <v>3924.3692307692318</v>
      </c>
      <c r="D66" s="578">
        <f t="shared" si="7"/>
        <v>3374.6030769230765</v>
      </c>
      <c r="E66" s="578">
        <f t="shared" si="7"/>
        <v>3340.4923076923073</v>
      </c>
      <c r="F66" s="578">
        <f t="shared" si="7"/>
        <v>3902.6661538461535</v>
      </c>
      <c r="G66" s="577">
        <f t="shared" si="7"/>
        <v>2699.5315384615378</v>
      </c>
      <c r="H66" s="579">
        <f>G66-F66</f>
        <v>-1203.1346153846157</v>
      </c>
    </row>
    <row r="67" spans="1:8" x14ac:dyDescent="0.2">
      <c r="A67" s="56" t="s">
        <v>296</v>
      </c>
      <c r="B67" s="580">
        <f t="shared" ref="B67:G67" si="8">AVERAGE(B23:B35)</f>
        <v>3333.5307692307692</v>
      </c>
      <c r="C67" s="581">
        <f t="shared" si="8"/>
        <v>4248.3623076923086</v>
      </c>
      <c r="D67" s="581">
        <f t="shared" si="8"/>
        <v>3601.1915384615381</v>
      </c>
      <c r="E67" s="581">
        <f t="shared" si="8"/>
        <v>3980.5784615384619</v>
      </c>
      <c r="F67" s="581">
        <f t="shared" si="8"/>
        <v>3883.5507692307683</v>
      </c>
      <c r="G67" s="580">
        <f t="shared" si="8"/>
        <v>3755.3823076923081</v>
      </c>
      <c r="H67" s="582">
        <f>G67-F67</f>
        <v>-128.16846153846018</v>
      </c>
    </row>
    <row r="68" spans="1:8" x14ac:dyDescent="0.2">
      <c r="A68" s="56" t="s">
        <v>297</v>
      </c>
      <c r="B68" s="580">
        <f t="shared" ref="B68:F68" si="9">AVERAGE(B37:B49)</f>
        <v>2468.6846153846154</v>
      </c>
      <c r="C68" s="581">
        <f t="shared" si="9"/>
        <v>3709.4207692307691</v>
      </c>
      <c r="D68" s="581">
        <f t="shared" si="9"/>
        <v>3643.1838461538459</v>
      </c>
      <c r="E68" s="581">
        <f t="shared" si="9"/>
        <v>3541.5123076923078</v>
      </c>
      <c r="F68" s="581">
        <f t="shared" si="9"/>
        <v>3750.3576923076917</v>
      </c>
      <c r="G68" s="581">
        <f>AVERAGE(G37:G49)</f>
        <v>3070.9776923076925</v>
      </c>
      <c r="H68" s="582">
        <f>G68-F68</f>
        <v>-679.3799999999992</v>
      </c>
    </row>
    <row r="69" spans="1:8" x14ac:dyDescent="0.2">
      <c r="A69" s="56" t="s">
        <v>298</v>
      </c>
      <c r="B69" s="583">
        <f t="shared" ref="B69:G69" si="10">AVERAGE(B51:B63)</f>
        <v>2871.6723076923076</v>
      </c>
      <c r="C69" s="584">
        <f t="shared" si="10"/>
        <v>3445.0061538461541</v>
      </c>
      <c r="D69" s="584">
        <f t="shared" si="10"/>
        <v>3535.6876923076916</v>
      </c>
      <c r="E69" s="585">
        <f t="shared" si="10"/>
        <v>3375.6569230769232</v>
      </c>
      <c r="F69" s="585">
        <f t="shared" si="10"/>
        <v>3416.1084615384611</v>
      </c>
      <c r="G69" s="585">
        <f t="shared" si="10"/>
        <v>2553.4446153846152</v>
      </c>
      <c r="H69" s="586">
        <f>G69-F69</f>
        <v>-862.66384615384595</v>
      </c>
    </row>
    <row r="71" spans="1:8" x14ac:dyDescent="0.2">
      <c r="H71" s="553"/>
    </row>
    <row r="74" spans="1:8" x14ac:dyDescent="0.2">
      <c r="C74" s="554"/>
    </row>
    <row r="75" spans="1:8" x14ac:dyDescent="0.2">
      <c r="C75" s="554"/>
    </row>
  </sheetData>
  <mergeCells count="1">
    <mergeCell ref="A5:H5"/>
  </mergeCells>
  <pageMargins left="1.2" right="0.2" top="0.25" bottom="0.5" header="0.3" footer="0.3"/>
  <pageSetup scale="74"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2"/>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263</v>
      </c>
      <c r="B2" s="59"/>
      <c r="C2" s="60"/>
      <c r="D2" s="60"/>
      <c r="E2" s="60"/>
      <c r="F2" s="59"/>
      <c r="G2" s="230"/>
      <c r="H2" s="502"/>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258</v>
      </c>
      <c r="B3" s="59"/>
      <c r="C3" s="60"/>
      <c r="D3" s="60"/>
      <c r="E3" s="60"/>
      <c r="F3" s="59"/>
      <c r="G3" s="230"/>
      <c r="H3" s="502"/>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264</v>
      </c>
      <c r="B4" s="59"/>
      <c r="C4" s="60"/>
      <c r="D4" s="60"/>
      <c r="E4" s="60"/>
      <c r="F4" s="59"/>
      <c r="G4" s="230"/>
      <c r="H4" s="502"/>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3"/>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499" t="s">
        <v>49</v>
      </c>
      <c r="H6" s="488"/>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8"/>
    </row>
    <row r="8" spans="1:143" s="72" customFormat="1" ht="21" thickBot="1" x14ac:dyDescent="0.35">
      <c r="A8" s="69"/>
      <c r="B8" s="153" t="s">
        <v>100</v>
      </c>
      <c r="C8" s="153"/>
      <c r="D8" s="153"/>
      <c r="E8" s="153"/>
      <c r="F8" s="153"/>
      <c r="G8" s="281"/>
      <c r="H8" s="504"/>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0" t="s">
        <v>101</v>
      </c>
      <c r="D9" s="420"/>
      <c r="E9" s="420"/>
      <c r="F9" s="73"/>
      <c r="G9" s="263">
        <v>1015000</v>
      </c>
      <c r="H9" s="3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0" t="s">
        <v>173</v>
      </c>
      <c r="D10" s="420"/>
      <c r="E10" s="420"/>
      <c r="F10" s="73"/>
      <c r="G10" s="264">
        <v>13000</v>
      </c>
      <c r="H10" s="3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2"/>
      <c r="C11" s="420" t="s">
        <v>150</v>
      </c>
      <c r="D11" s="420"/>
      <c r="E11" s="420"/>
      <c r="F11" s="73"/>
      <c r="G11" s="264">
        <v>195000</v>
      </c>
      <c r="H11" s="3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2"/>
      <c r="C12" s="420" t="s">
        <v>179</v>
      </c>
      <c r="D12" s="420"/>
      <c r="E12" s="420"/>
      <c r="F12" s="73"/>
      <c r="G12" s="264">
        <v>40000</v>
      </c>
      <c r="H12" s="3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2"/>
      <c r="C13" s="420" t="s">
        <v>102</v>
      </c>
      <c r="D13" s="420"/>
      <c r="E13" s="420"/>
      <c r="F13" s="73"/>
      <c r="G13" s="264"/>
      <c r="H13" s="3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2"/>
      <c r="C14" s="77"/>
      <c r="D14" s="420" t="s">
        <v>139</v>
      </c>
      <c r="E14" s="420"/>
      <c r="F14" s="73"/>
      <c r="G14" s="264">
        <f>43900+41500+122000</f>
        <v>207400</v>
      </c>
      <c r="H14" s="3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2"/>
      <c r="C15" s="77"/>
      <c r="D15" s="420" t="s">
        <v>159</v>
      </c>
      <c r="E15" s="420"/>
      <c r="F15" s="73"/>
      <c r="G15" s="264">
        <v>11000</v>
      </c>
      <c r="H15" s="3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2"/>
      <c r="C16" s="420" t="s">
        <v>103</v>
      </c>
      <c r="D16" s="420"/>
      <c r="E16" s="420"/>
      <c r="F16" s="73"/>
      <c r="G16" s="264">
        <v>9500</v>
      </c>
      <c r="H16" s="3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2"/>
      <c r="C17" s="420" t="s">
        <v>110</v>
      </c>
      <c r="D17" s="420"/>
      <c r="E17" s="420"/>
      <c r="F17" s="73"/>
      <c r="G17" s="264">
        <v>1000</v>
      </c>
      <c r="H17" s="3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2"/>
      <c r="C18" s="420" t="s">
        <v>237</v>
      </c>
      <c r="D18" s="420"/>
      <c r="E18" s="420"/>
      <c r="F18" s="73"/>
      <c r="G18" s="264">
        <v>3000</v>
      </c>
      <c r="H18" s="3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2"/>
      <c r="C19" s="420" t="s">
        <v>238</v>
      </c>
      <c r="D19" s="420"/>
      <c r="E19" s="420"/>
      <c r="F19" s="73"/>
      <c r="G19" s="264">
        <f>25000+8000+20000</f>
        <v>53000</v>
      </c>
      <c r="H19" s="3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2"/>
      <c r="C20" s="420" t="s">
        <v>145</v>
      </c>
      <c r="D20" s="420"/>
      <c r="E20" s="420"/>
      <c r="F20" s="73"/>
      <c r="G20" s="264">
        <v>500</v>
      </c>
      <c r="H20" s="3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2"/>
      <c r="C21" s="420" t="s">
        <v>164</v>
      </c>
      <c r="D21" s="420"/>
      <c r="E21" s="420"/>
      <c r="F21" s="73"/>
      <c r="G21" s="264"/>
      <c r="H21" s="3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2"/>
      <c r="C22" s="420" t="s">
        <v>109</v>
      </c>
      <c r="D22" s="420"/>
      <c r="E22" s="420"/>
      <c r="F22" s="73"/>
      <c r="G22" s="265">
        <v>46575</v>
      </c>
      <c r="H22" s="3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2"/>
      <c r="C23" s="420"/>
      <c r="D23" s="73" t="s">
        <v>105</v>
      </c>
      <c r="E23" s="420"/>
      <c r="F23" s="73"/>
      <c r="G23" s="234">
        <f>SUM(G9:G22)</f>
        <v>1594975</v>
      </c>
      <c r="H23" s="3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2"/>
      <c r="C24" s="73" t="s">
        <v>106</v>
      </c>
      <c r="D24" s="420"/>
      <c r="E24" s="420"/>
      <c r="F24" s="73"/>
      <c r="G24" s="241">
        <f>68000+18000</f>
        <v>86000</v>
      </c>
      <c r="H24" s="3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2"/>
      <c r="C25" s="420"/>
      <c r="D25" s="73" t="s">
        <v>107</v>
      </c>
      <c r="E25" s="420"/>
      <c r="F25" s="73"/>
      <c r="G25" s="234">
        <f>SUM(G23:G24)</f>
        <v>1680975</v>
      </c>
      <c r="H25" s="3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2"/>
      <c r="C26" s="420"/>
      <c r="D26" s="73"/>
      <c r="E26" s="420"/>
      <c r="F26" s="73"/>
      <c r="G26" s="234"/>
      <c r="H26" s="3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3" t="s">
        <v>111</v>
      </c>
      <c r="C27" s="87"/>
      <c r="D27" s="87"/>
      <c r="E27" s="87"/>
      <c r="F27" s="87"/>
      <c r="G27" s="241"/>
      <c r="H27" s="3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4"/>
      <c r="C28" s="79" t="s">
        <v>112</v>
      </c>
      <c r="D28" s="79"/>
      <c r="E28" s="79"/>
      <c r="F28" s="79"/>
      <c r="G28" s="232">
        <f>ROUND((898643.55+40000)*1.02,-2)</f>
        <v>957400</v>
      </c>
      <c r="H28" s="368"/>
    </row>
    <row r="29" spans="1:143" s="68" customFormat="1" ht="20.25" x14ac:dyDescent="0.2">
      <c r="A29" s="67"/>
      <c r="B29" s="394"/>
      <c r="C29" s="79" t="s">
        <v>113</v>
      </c>
      <c r="D29" s="79"/>
      <c r="E29" s="79"/>
      <c r="F29" s="79"/>
      <c r="G29" s="232">
        <f>ROUNDUP(G28*0.195,-2)</f>
        <v>186700</v>
      </c>
      <c r="H29" s="368"/>
    </row>
    <row r="30" spans="1:143" s="68" customFormat="1" ht="20.25" x14ac:dyDescent="0.2">
      <c r="A30" s="67"/>
      <c r="B30" s="394"/>
      <c r="C30" s="79" t="s">
        <v>114</v>
      </c>
      <c r="D30" s="79"/>
      <c r="E30" s="79"/>
      <c r="F30" s="79"/>
      <c r="G30" s="232">
        <f>48831-G22</f>
        <v>2256</v>
      </c>
      <c r="H30" s="368"/>
    </row>
    <row r="31" spans="1:143" s="68" customFormat="1" ht="20.25" x14ac:dyDescent="0.2">
      <c r="A31" s="67"/>
      <c r="B31" s="394"/>
      <c r="C31" s="79" t="s">
        <v>104</v>
      </c>
      <c r="D31" s="79"/>
      <c r="E31" s="79"/>
      <c r="F31" s="79"/>
      <c r="G31" s="232">
        <f>G22</f>
        <v>46575</v>
      </c>
      <c r="H31" s="368"/>
    </row>
    <row r="32" spans="1:143" s="68" customFormat="1" ht="20.25" x14ac:dyDescent="0.2">
      <c r="A32" s="67"/>
      <c r="B32" s="394"/>
      <c r="C32" s="79" t="s">
        <v>115</v>
      </c>
      <c r="D32" s="79"/>
      <c r="E32" s="79"/>
      <c r="F32" s="79"/>
      <c r="G32" s="232">
        <v>14000</v>
      </c>
      <c r="H32" s="368"/>
    </row>
    <row r="33" spans="1:8" s="68" customFormat="1" ht="20.25" x14ac:dyDescent="0.2">
      <c r="A33" s="67"/>
      <c r="B33" s="394"/>
      <c r="C33" s="79" t="s">
        <v>116</v>
      </c>
      <c r="D33" s="79"/>
      <c r="E33" s="79"/>
      <c r="F33" s="79"/>
      <c r="G33" s="232">
        <v>3500</v>
      </c>
      <c r="H33" s="368"/>
    </row>
    <row r="34" spans="1:8" s="68" customFormat="1" ht="20.25" x14ac:dyDescent="0.2">
      <c r="A34" s="67"/>
      <c r="B34" s="394"/>
      <c r="C34" s="79" t="s">
        <v>117</v>
      </c>
      <c r="D34" s="79"/>
      <c r="E34" s="79"/>
      <c r="F34" s="79"/>
      <c r="G34" s="232">
        <v>7000</v>
      </c>
      <c r="H34" s="368"/>
    </row>
    <row r="35" spans="1:8" s="68" customFormat="1" ht="20.25" x14ac:dyDescent="0.2">
      <c r="A35" s="67"/>
      <c r="B35" s="394"/>
      <c r="C35" s="79" t="s">
        <v>118</v>
      </c>
      <c r="D35" s="79"/>
      <c r="E35" s="79"/>
      <c r="F35" s="79"/>
      <c r="G35" s="232">
        <v>13500</v>
      </c>
      <c r="H35" s="368"/>
    </row>
    <row r="36" spans="1:8" s="68" customFormat="1" ht="20.25" x14ac:dyDescent="0.2">
      <c r="A36" s="67"/>
      <c r="B36" s="394"/>
      <c r="C36" s="79" t="s">
        <v>119</v>
      </c>
      <c r="D36" s="79"/>
      <c r="E36" s="79"/>
      <c r="F36" s="79"/>
      <c r="G36" s="232">
        <v>40000</v>
      </c>
      <c r="H36" s="368"/>
    </row>
    <row r="37" spans="1:8" s="68" customFormat="1" ht="20.25" x14ac:dyDescent="0.2">
      <c r="A37" s="67"/>
      <c r="B37" s="394"/>
      <c r="C37" s="79" t="s">
        <v>120</v>
      </c>
      <c r="D37" s="79"/>
      <c r="E37" s="79"/>
      <c r="F37" s="79"/>
      <c r="G37" s="232">
        <v>6600</v>
      </c>
      <c r="H37" s="368"/>
    </row>
    <row r="38" spans="1:8" s="68" customFormat="1" ht="20.25" x14ac:dyDescent="0.2">
      <c r="A38" s="67"/>
      <c r="B38" s="394"/>
      <c r="C38" s="79" t="s">
        <v>121</v>
      </c>
      <c r="D38" s="79"/>
      <c r="E38" s="79"/>
      <c r="F38" s="79"/>
      <c r="G38" s="232">
        <v>1500</v>
      </c>
      <c r="H38" s="368"/>
    </row>
    <row r="39" spans="1:8" s="68" customFormat="1" ht="20.25" x14ac:dyDescent="0.2">
      <c r="A39" s="67"/>
      <c r="B39" s="394"/>
      <c r="C39" s="79" t="s">
        <v>166</v>
      </c>
      <c r="D39" s="79"/>
      <c r="E39" s="79"/>
      <c r="F39" s="79"/>
      <c r="G39" s="232">
        <v>13700</v>
      </c>
      <c r="H39" s="368"/>
    </row>
    <row r="40" spans="1:8" s="76" customFormat="1" ht="20.25" x14ac:dyDescent="0.2">
      <c r="A40" s="79"/>
      <c r="B40" s="390"/>
      <c r="C40" s="79" t="s">
        <v>122</v>
      </c>
      <c r="D40" s="79"/>
      <c r="E40" s="79"/>
      <c r="F40" s="79"/>
      <c r="G40" s="322">
        <f>ROUNDUP(13248.87*1.05,-2)</f>
        <v>14000</v>
      </c>
      <c r="H40" s="367"/>
    </row>
    <row r="41" spans="1:8" s="76" customFormat="1" ht="20.25" x14ac:dyDescent="0.2">
      <c r="A41" s="79"/>
      <c r="B41" s="390"/>
      <c r="C41" s="79" t="s">
        <v>123</v>
      </c>
      <c r="D41" s="79"/>
      <c r="E41" s="79"/>
      <c r="F41" s="79"/>
      <c r="G41" s="232">
        <f>ROUNDUP(12343.85*1.03,-2)</f>
        <v>12800</v>
      </c>
      <c r="H41" s="367"/>
    </row>
    <row r="42" spans="1:8" s="76" customFormat="1" ht="20.25" x14ac:dyDescent="0.2">
      <c r="A42" s="79"/>
      <c r="B42" s="390"/>
      <c r="C42" s="79" t="s">
        <v>130</v>
      </c>
      <c r="D42" s="79"/>
      <c r="E42" s="79"/>
      <c r="F42" s="79"/>
      <c r="G42" s="232">
        <v>3000</v>
      </c>
      <c r="H42" s="367"/>
    </row>
    <row r="43" spans="1:8" s="76" customFormat="1" ht="20.25" x14ac:dyDescent="0.2">
      <c r="A43" s="79"/>
      <c r="B43" s="390"/>
      <c r="C43" s="79" t="s">
        <v>124</v>
      </c>
      <c r="D43" s="79"/>
      <c r="E43" s="79"/>
      <c r="F43" s="79"/>
      <c r="G43" s="322">
        <f>ROUNDUP((3067.88+8008.83)*1.05,-2)</f>
        <v>11700</v>
      </c>
      <c r="H43" s="367"/>
    </row>
    <row r="44" spans="1:8" s="68" customFormat="1" ht="20.25" x14ac:dyDescent="0.2">
      <c r="A44" s="67"/>
      <c r="B44" s="394"/>
      <c r="C44" s="79" t="s">
        <v>199</v>
      </c>
      <c r="D44" s="79"/>
      <c r="E44" s="79"/>
      <c r="F44" s="79"/>
      <c r="G44" s="232">
        <v>17000</v>
      </c>
      <c r="H44" s="368"/>
    </row>
    <row r="45" spans="1:8" s="76" customFormat="1" ht="20.25" x14ac:dyDescent="0.2">
      <c r="A45" s="79"/>
      <c r="B45" s="390"/>
      <c r="C45" s="79" t="s">
        <v>125</v>
      </c>
      <c r="D45" s="79"/>
      <c r="E45" s="79"/>
      <c r="F45" s="79"/>
      <c r="G45" s="322">
        <v>41000</v>
      </c>
      <c r="H45" s="367"/>
    </row>
    <row r="46" spans="1:8" s="76" customFormat="1" ht="20.25" x14ac:dyDescent="0.2">
      <c r="A46" s="79"/>
      <c r="B46" s="390"/>
      <c r="C46" s="79" t="s">
        <v>126</v>
      </c>
      <c r="D46" s="79"/>
      <c r="E46" s="79"/>
      <c r="F46" s="79"/>
      <c r="G46" s="322">
        <f>ROUNDUP((1800+4675.64+34905.29+1033.01-10000-2673-17150-1033+14000)*1.01,-2)</f>
        <v>25900</v>
      </c>
      <c r="H46" s="367"/>
    </row>
    <row r="47" spans="1:8" s="76" customFormat="1" ht="20.25" x14ac:dyDescent="0.2">
      <c r="A47" s="79"/>
      <c r="B47" s="390"/>
      <c r="C47" s="79" t="s">
        <v>167</v>
      </c>
      <c r="D47" s="79"/>
      <c r="E47" s="79"/>
      <c r="F47" s="79"/>
      <c r="G47" s="232">
        <v>36000</v>
      </c>
      <c r="H47" s="367"/>
    </row>
    <row r="48" spans="1:8" s="76" customFormat="1" ht="20.25" x14ac:dyDescent="0.2">
      <c r="A48" s="79"/>
      <c r="B48" s="390"/>
      <c r="C48" s="79" t="s">
        <v>165</v>
      </c>
      <c r="D48" s="79"/>
      <c r="E48" s="79"/>
      <c r="F48" s="79"/>
      <c r="G48" s="232">
        <f>ROUNDUP(46266.27*1.02,-2)</f>
        <v>47200</v>
      </c>
      <c r="H48" s="367"/>
    </row>
    <row r="49" spans="1:8" s="76" customFormat="1" ht="20.25" x14ac:dyDescent="0.2">
      <c r="A49" s="79"/>
      <c r="B49" s="390"/>
      <c r="C49" s="79" t="s">
        <v>127</v>
      </c>
      <c r="D49" s="79"/>
      <c r="E49" s="79"/>
      <c r="F49" s="79"/>
      <c r="G49" s="232">
        <f>ROUND((2604.31+166143.24-12000)*1.01,-2)</f>
        <v>158300</v>
      </c>
      <c r="H49" s="367"/>
    </row>
    <row r="50" spans="1:8" s="76" customFormat="1" ht="20.25" hidden="1" x14ac:dyDescent="0.2">
      <c r="A50" s="79"/>
      <c r="B50" s="390"/>
      <c r="C50" s="79" t="s">
        <v>259</v>
      </c>
      <c r="D50" s="79"/>
      <c r="E50" s="79"/>
      <c r="F50" s="79"/>
      <c r="G50" s="232"/>
      <c r="H50" s="367"/>
    </row>
    <row r="51" spans="1:8" s="68" customFormat="1" ht="20.25" x14ac:dyDescent="0.2">
      <c r="A51" s="67"/>
      <c r="B51" s="394"/>
      <c r="C51" s="67"/>
      <c r="D51" s="73" t="s">
        <v>128</v>
      </c>
      <c r="E51" s="67"/>
      <c r="F51" s="67"/>
      <c r="G51" s="237">
        <f>SUM(G28:G50)</f>
        <v>1659631</v>
      </c>
      <c r="H51" s="368"/>
    </row>
    <row r="52" spans="1:8" s="68" customFormat="1" ht="10.5" customHeight="1" thickBot="1" x14ac:dyDescent="0.25">
      <c r="A52" s="67"/>
      <c r="B52" s="394"/>
      <c r="C52" s="67"/>
      <c r="D52" s="73"/>
      <c r="E52" s="67"/>
      <c r="F52" s="67"/>
      <c r="G52" s="241"/>
      <c r="H52" s="368"/>
    </row>
    <row r="53" spans="1:8" s="68" customFormat="1" ht="21" thickBot="1" x14ac:dyDescent="0.25">
      <c r="A53" s="67"/>
      <c r="B53" s="394"/>
      <c r="C53" s="67"/>
      <c r="D53" s="67" t="s">
        <v>129</v>
      </c>
      <c r="E53" s="67"/>
      <c r="F53" s="67"/>
      <c r="G53" s="241">
        <f>G25-G51</f>
        <v>21344</v>
      </c>
      <c r="H53" s="368"/>
    </row>
    <row r="54" spans="1:8" s="68" customFormat="1" ht="11.25" customHeight="1" x14ac:dyDescent="0.2">
      <c r="A54" s="67"/>
      <c r="B54" s="394"/>
      <c r="C54" s="67"/>
      <c r="D54" s="67"/>
      <c r="E54" s="67"/>
      <c r="F54" s="67"/>
      <c r="G54" s="232"/>
      <c r="H54" s="368"/>
    </row>
    <row r="55" spans="1:8" s="76" customFormat="1" ht="20.25" x14ac:dyDescent="0.2">
      <c r="A55" s="79"/>
      <c r="B55" s="390"/>
      <c r="C55" s="79"/>
      <c r="D55" s="79"/>
      <c r="F55" s="79"/>
      <c r="G55" s="246"/>
      <c r="H55" s="367"/>
    </row>
    <row r="56" spans="1:8" s="76" customFormat="1" ht="20.25" x14ac:dyDescent="0.2">
      <c r="A56" s="79"/>
      <c r="B56" s="390"/>
      <c r="C56" s="79"/>
      <c r="D56" s="79"/>
      <c r="F56" s="79"/>
      <c r="G56" s="232"/>
      <c r="H56" s="367"/>
    </row>
    <row r="57" spans="1:8" s="76" customFormat="1" ht="20.25" x14ac:dyDescent="0.2">
      <c r="A57" s="79"/>
      <c r="B57" s="390"/>
      <c r="C57" s="79"/>
      <c r="D57" s="79"/>
      <c r="F57" s="79"/>
      <c r="G57" s="232"/>
      <c r="H57" s="367"/>
    </row>
    <row r="58" spans="1:8" s="76" customFormat="1" ht="20.25" x14ac:dyDescent="0.2">
      <c r="A58" s="79"/>
      <c r="B58" s="79"/>
      <c r="C58" s="79"/>
      <c r="D58" s="79"/>
      <c r="F58" s="79"/>
      <c r="G58" s="232"/>
      <c r="H58" s="367"/>
    </row>
    <row r="59" spans="1:8" s="76" customFormat="1" ht="20.25" x14ac:dyDescent="0.2">
      <c r="A59" s="79"/>
      <c r="B59" s="79"/>
      <c r="C59" s="79"/>
      <c r="D59" s="79"/>
      <c r="F59" s="79"/>
      <c r="G59" s="232"/>
      <c r="H59" s="367"/>
    </row>
    <row r="60" spans="1:8" s="76" customFormat="1" ht="20.25" x14ac:dyDescent="0.2">
      <c r="A60" s="79"/>
      <c r="B60" s="79"/>
      <c r="C60" s="79"/>
      <c r="D60" s="79"/>
      <c r="F60" s="79"/>
      <c r="G60" s="232"/>
      <c r="H60" s="367"/>
    </row>
    <row r="61" spans="1:8" s="76" customFormat="1" ht="20.25" x14ac:dyDescent="0.2">
      <c r="A61" s="79"/>
      <c r="B61" s="79"/>
      <c r="C61" s="67"/>
      <c r="D61" s="79"/>
      <c r="F61" s="79"/>
      <c r="G61" s="232"/>
      <c r="H61" s="367"/>
    </row>
    <row r="62" spans="1:8" s="76" customFormat="1" ht="20.25" x14ac:dyDescent="0.2">
      <c r="A62" s="79"/>
      <c r="B62" s="79"/>
      <c r="C62" s="79"/>
      <c r="D62" s="79"/>
      <c r="E62" s="79"/>
      <c r="F62" s="79"/>
      <c r="G62" s="232"/>
      <c r="H62" s="367"/>
    </row>
    <row r="63" spans="1:8" s="76" customFormat="1" ht="20.25" x14ac:dyDescent="0.2">
      <c r="A63" s="79"/>
      <c r="B63" s="79"/>
      <c r="C63" s="67"/>
      <c r="D63" s="67"/>
      <c r="G63" s="232"/>
      <c r="H63" s="367"/>
    </row>
    <row r="64" spans="1:8" s="76" customFormat="1" ht="20.25" x14ac:dyDescent="0.2">
      <c r="A64" s="79"/>
      <c r="B64" s="79"/>
      <c r="C64" s="79"/>
      <c r="D64" s="79"/>
      <c r="E64" s="79"/>
      <c r="F64" s="79"/>
      <c r="G64" s="232"/>
      <c r="H64" s="367"/>
    </row>
    <row r="65" spans="1:8" s="76" customFormat="1" ht="20.25" x14ac:dyDescent="0.2">
      <c r="A65" s="79"/>
      <c r="B65" s="79"/>
      <c r="C65" s="79"/>
      <c r="D65" s="79"/>
      <c r="E65" s="79"/>
      <c r="F65" s="79"/>
      <c r="G65" s="232"/>
      <c r="H65" s="367"/>
    </row>
    <row r="66" spans="1:8" s="76" customFormat="1" ht="20.25" x14ac:dyDescent="0.2">
      <c r="A66" s="79"/>
      <c r="B66" s="79"/>
      <c r="C66" s="79"/>
      <c r="D66" s="79"/>
      <c r="E66" s="79"/>
      <c r="F66" s="79"/>
      <c r="G66" s="232"/>
      <c r="H66" s="367"/>
    </row>
    <row r="67" spans="1:8" s="76" customFormat="1" ht="20.25" x14ac:dyDescent="0.2">
      <c r="A67" s="79"/>
      <c r="B67" s="79"/>
      <c r="C67" s="79"/>
      <c r="D67" s="79"/>
      <c r="E67" s="79"/>
      <c r="F67" s="79"/>
      <c r="G67" s="232"/>
      <c r="H67" s="367"/>
    </row>
    <row r="68" spans="1:8" s="76" customFormat="1" ht="20.25" x14ac:dyDescent="0.2">
      <c r="A68" s="79"/>
      <c r="B68" s="79"/>
      <c r="C68" s="67"/>
      <c r="D68" s="79"/>
      <c r="F68" s="79"/>
      <c r="G68" s="232"/>
      <c r="H68" s="367"/>
    </row>
    <row r="69" spans="1:8" s="76" customFormat="1" ht="20.25" x14ac:dyDescent="0.2">
      <c r="A69" s="79"/>
      <c r="B69" s="79"/>
      <c r="C69" s="79"/>
      <c r="D69" s="79"/>
      <c r="E69" s="79"/>
      <c r="F69" s="79"/>
      <c r="G69" s="232"/>
      <c r="H69" s="367"/>
    </row>
    <row r="70" spans="1:8" s="68" customFormat="1" ht="20.25" x14ac:dyDescent="0.2">
      <c r="A70" s="67"/>
      <c r="B70" s="67"/>
      <c r="C70" s="67"/>
      <c r="D70" s="67"/>
      <c r="E70" s="67"/>
      <c r="F70" s="67"/>
      <c r="G70" s="237"/>
      <c r="H70" s="368"/>
    </row>
    <row r="71" spans="1:8" s="68" customFormat="1" ht="20.25" x14ac:dyDescent="0.2">
      <c r="A71" s="67"/>
      <c r="B71" s="67"/>
      <c r="C71" s="67"/>
      <c r="D71" s="67"/>
      <c r="E71" s="67"/>
      <c r="F71" s="67"/>
      <c r="G71" s="237"/>
      <c r="H71" s="368"/>
    </row>
    <row r="72" spans="1:8" s="68" customFormat="1" ht="23.25" x14ac:dyDescent="0.2">
      <c r="A72" s="67"/>
      <c r="B72" s="271"/>
      <c r="C72" s="67"/>
      <c r="D72" s="67"/>
      <c r="E72" s="67"/>
      <c r="F72" s="67"/>
      <c r="G72" s="232"/>
      <c r="H72" s="368"/>
    </row>
    <row r="73" spans="1:8" s="76" customFormat="1" ht="20.25" x14ac:dyDescent="0.2">
      <c r="A73" s="79"/>
      <c r="B73" s="79"/>
      <c r="D73" s="79"/>
      <c r="E73" s="79"/>
      <c r="F73" s="79"/>
      <c r="G73" s="232"/>
      <c r="H73" s="367"/>
    </row>
    <row r="74" spans="1:8" s="76" customFormat="1" ht="20.25" x14ac:dyDescent="0.2">
      <c r="A74" s="79"/>
      <c r="B74" s="79"/>
      <c r="D74" s="79"/>
      <c r="E74" s="79"/>
      <c r="F74" s="79"/>
      <c r="G74" s="232"/>
      <c r="H74" s="367"/>
    </row>
    <row r="75" spans="1:8" s="68" customFormat="1" ht="20.25" x14ac:dyDescent="0.2">
      <c r="A75" s="67"/>
      <c r="B75" s="67"/>
      <c r="D75" s="79"/>
      <c r="E75" s="67"/>
      <c r="F75" s="67"/>
      <c r="G75" s="232"/>
      <c r="H75" s="368"/>
    </row>
    <row r="76" spans="1:8" s="68" customFormat="1" ht="23.25" x14ac:dyDescent="0.2">
      <c r="A76" s="67"/>
      <c r="B76" s="271"/>
      <c r="C76" s="67"/>
      <c r="D76" s="67"/>
      <c r="E76" s="67"/>
      <c r="F76" s="67"/>
      <c r="G76" s="237"/>
      <c r="H76" s="368"/>
    </row>
    <row r="77" spans="1:8" s="68" customFormat="1" ht="20.25" x14ac:dyDescent="0.2">
      <c r="A77" s="67"/>
      <c r="B77" s="67"/>
      <c r="C77" s="67"/>
      <c r="D77" s="67"/>
      <c r="E77" s="67"/>
      <c r="F77" s="67"/>
      <c r="G77" s="232"/>
      <c r="H77" s="368"/>
    </row>
    <row r="78" spans="1:8" s="82" customFormat="1" ht="26.25" x14ac:dyDescent="0.2">
      <c r="A78" s="268"/>
      <c r="B78" s="268"/>
      <c r="C78" s="268"/>
      <c r="D78" s="268"/>
      <c r="E78" s="268"/>
      <c r="F78" s="268"/>
      <c r="G78" s="269"/>
      <c r="H78" s="505"/>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5" t="s">
        <v>49</v>
      </c>
      <c r="H4" s="405"/>
      <c r="I4" s="405"/>
      <c r="J4" s="405"/>
      <c r="K4" s="405"/>
      <c r="L4" s="405"/>
      <c r="M4" s="405"/>
      <c r="N4" s="405"/>
      <c r="O4" s="405"/>
      <c r="P4" s="405"/>
      <c r="Q4" s="405"/>
      <c r="R4" s="405"/>
      <c r="S4" s="405"/>
      <c r="T4" s="405"/>
      <c r="U4" s="405"/>
      <c r="V4" s="405"/>
      <c r="W4" s="405"/>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8"/>
      <c r="B6" s="1044" t="s">
        <v>183</v>
      </c>
      <c r="C6" s="1044"/>
      <c r="D6" s="1044"/>
      <c r="E6" s="1044"/>
      <c r="F6" s="1044"/>
      <c r="G6" s="409">
        <v>42004</v>
      </c>
      <c r="H6" s="409">
        <v>41639</v>
      </c>
      <c r="I6" s="409">
        <v>41274</v>
      </c>
      <c r="J6" s="409">
        <v>41090</v>
      </c>
      <c r="K6" s="409">
        <v>40724</v>
      </c>
      <c r="L6" s="409">
        <v>40359</v>
      </c>
      <c r="M6" s="409">
        <v>39994</v>
      </c>
      <c r="N6" s="409">
        <v>39629</v>
      </c>
      <c r="O6" s="409">
        <v>39263</v>
      </c>
      <c r="P6" s="409">
        <v>38898</v>
      </c>
      <c r="Q6" s="409">
        <v>38533</v>
      </c>
      <c r="R6" s="409">
        <v>38168</v>
      </c>
      <c r="S6" s="409">
        <v>37802</v>
      </c>
      <c r="T6" s="409">
        <v>37437</v>
      </c>
      <c r="U6" s="409">
        <v>37072</v>
      </c>
      <c r="V6" s="409">
        <v>36707</v>
      </c>
      <c r="W6" s="409">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6"/>
      <c r="B9" s="406"/>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6"/>
      <c r="B10" s="406"/>
      <c r="C10" s="1045" t="s">
        <v>160</v>
      </c>
      <c r="D10" s="1045"/>
      <c r="E10" s="1045"/>
      <c r="F10" s="1045"/>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6"/>
      <c r="B11" s="406"/>
      <c r="C11" s="73" t="s">
        <v>186</v>
      </c>
      <c r="D11" s="406"/>
      <c r="E11" s="406"/>
      <c r="F11" s="406"/>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6"/>
      <c r="B12" s="406"/>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6"/>
      <c r="B26" s="406"/>
      <c r="C26" s="406"/>
      <c r="D26" s="406" t="s">
        <v>149</v>
      </c>
      <c r="E26" s="77"/>
      <c r="F26" s="406"/>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6"/>
      <c r="B27" s="406"/>
      <c r="C27" s="406"/>
      <c r="D27" s="406" t="s">
        <v>189</v>
      </c>
      <c r="E27" s="77"/>
      <c r="F27" s="406"/>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6"/>
      <c r="B28" s="406"/>
      <c r="C28" s="406"/>
      <c r="D28" s="406" t="s">
        <v>88</v>
      </c>
      <c r="E28" s="77"/>
      <c r="F28" s="406"/>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6"/>
      <c r="B29" s="406"/>
      <c r="C29" s="406"/>
      <c r="D29" s="406" t="s">
        <v>190</v>
      </c>
      <c r="E29" s="77"/>
      <c r="F29" s="406"/>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6"/>
      <c r="B30" s="406"/>
      <c r="C30" s="406"/>
      <c r="D30" s="79" t="s">
        <v>95</v>
      </c>
      <c r="E30" s="77"/>
      <c r="F30" s="406"/>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6"/>
      <c r="B31" s="406"/>
      <c r="C31" s="406"/>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6"/>
      <c r="B32" s="406"/>
      <c r="C32" s="80" t="s">
        <v>71</v>
      </c>
      <c r="D32" s="406"/>
      <c r="E32" s="77"/>
      <c r="F32" s="406"/>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6"/>
      <c r="B33" s="406"/>
      <c r="C33" s="406"/>
      <c r="D33" s="406"/>
      <c r="E33" s="406"/>
      <c r="F33" s="406"/>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1"/>
      <c r="H34" s="411"/>
      <c r="I34" s="411"/>
      <c r="J34" s="411"/>
      <c r="K34" s="411"/>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6"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6"/>
      <c r="B37" s="406"/>
      <c r="C37" s="77"/>
      <c r="D37" s="406" t="s">
        <v>85</v>
      </c>
      <c r="E37" s="407"/>
      <c r="F37" s="407"/>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0"/>
      <c r="B42" s="410"/>
      <c r="C42" s="410"/>
      <c r="D42" s="410"/>
      <c r="E42" s="410"/>
      <c r="F42" s="410"/>
      <c r="G42" s="272"/>
    </row>
    <row r="43" spans="1:23" s="243" customFormat="1" x14ac:dyDescent="0.2">
      <c r="A43" s="410"/>
      <c r="B43" s="410"/>
      <c r="C43" s="410"/>
      <c r="D43" s="410"/>
      <c r="E43" s="410"/>
      <c r="F43" s="410"/>
      <c r="G43" s="272"/>
    </row>
    <row r="44" spans="1:23" s="243" customFormat="1" x14ac:dyDescent="0.2">
      <c r="A44" s="410"/>
      <c r="B44" s="410"/>
      <c r="C44" s="410"/>
      <c r="D44" s="410"/>
      <c r="E44" s="410"/>
      <c r="F44" s="410"/>
      <c r="G44" s="272"/>
    </row>
    <row r="45" spans="1:23" s="243" customFormat="1" x14ac:dyDescent="0.2">
      <c r="A45" s="410"/>
      <c r="B45" s="410"/>
      <c r="C45" s="410"/>
      <c r="D45" s="410"/>
      <c r="E45" s="410"/>
      <c r="F45" s="410"/>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Updated  Operating Budget</vt:lpstr>
      <vt:lpstr>2023 Operating Budget</vt:lpstr>
      <vt:lpstr>Transportation Historic</vt:lpstr>
      <vt:lpstr>Notes</vt:lpstr>
      <vt:lpstr>Data</vt:lpstr>
      <vt:lpstr>Updated Operating Budget</vt:lpstr>
      <vt:lpstr>December'22 Revenues &amp; Expenses</vt:lpstr>
      <vt:lpstr>December'22 AR Aging </vt:lpstr>
      <vt:lpstr>December'22 Financial Position</vt:lpstr>
      <vt:lpstr>December'22 State of Activities</vt:lpstr>
      <vt:lpstr>December'22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'December''22 AR Aging '!Print_Area</vt:lpstr>
      <vt:lpstr>'December''22 Financial Position'!Print_Area</vt:lpstr>
      <vt:lpstr>'December''22 Revenues &amp; Expenses'!Print_Area</vt:lpstr>
      <vt:lpstr>'December''22 State of Activities'!Print_Area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2021-05-21T15:32:53Z</cp:lastPrinted>
  <dcterms:created xsi:type="dcterms:W3CDTF">2011-11-03T17:20:29Z</dcterms:created>
  <dcterms:modified xsi:type="dcterms:W3CDTF">2023-01-24T20:52:52Z</dcterms:modified>
</cp:coreProperties>
</file>